
<file path=[Content_Types].xml><?xml version="1.0" encoding="utf-8"?>
<Types xmlns="http://schemas.openxmlformats.org/package/2006/content-types">
  <Override PartName="/xl/activeX/activeX4.bin" ContentType="application/vnd.ms-office.activeX"/>
  <Override PartName="/xl/activeX/activeX54.bin" ContentType="application/vnd.ms-office.activeX"/>
  <Override PartName="/xl/queryTables/queryTable139.xml" ContentType="application/vnd.openxmlformats-officedocument.spreadsheetml.queryTable+xml"/>
  <Override PartName="/xl/queryTables/queryTable186.xml" ContentType="application/vnd.openxmlformats-officedocument.spreadsheetml.queryTable+xml"/>
  <Override PartName="/xl/worksheets/sheet13.xml" ContentType="application/vnd.openxmlformats-officedocument.spreadsheetml.worksheet+xml"/>
  <Override PartName="/xl/styles.xml" ContentType="application/vnd.openxmlformats-officedocument.spreadsheetml.styles+xml"/>
  <Override PartName="/xl/activeX/activeX32.bin" ContentType="application/vnd.ms-office.activeX"/>
  <Override PartName="/xl/charts/chart4.xml" ContentType="application/vnd.openxmlformats-officedocument.drawingml.chart+xml"/>
  <Override PartName="/xl/queryTables/queryTable48.xml" ContentType="application/vnd.openxmlformats-officedocument.spreadsheetml.queryTable+xml"/>
  <Override PartName="/xl/queryTables/queryTable95.xml" ContentType="application/vnd.openxmlformats-officedocument.spreadsheetml.queryTable+xml"/>
  <Override PartName="/xl/activeX/activeX77.xml" ContentType="application/vnd.ms-office.activeX+xml"/>
  <Override PartName="/xl/activeX/activeX5.xml" ContentType="application/vnd.ms-office.activeX+xml"/>
  <Override PartName="/xl/activeX/activeX55.xml" ContentType="application/vnd.ms-office.activeX+xml"/>
  <Override PartName="/xl/queryTables/queryTable26.xml" ContentType="application/vnd.openxmlformats-officedocument.spreadsheetml.queryTable+xml"/>
  <Override PartName="/xl/queryTables/queryTable73.xml" ContentType="application/vnd.openxmlformats-officedocument.spreadsheetml.queryTable+xml"/>
  <Override PartName="/xl/queryTables/queryTable117.xml" ContentType="application/vnd.openxmlformats-officedocument.spreadsheetml.queryTable+xml"/>
  <Override PartName="/xl/queryTables/queryTable164.xml" ContentType="application/vnd.openxmlformats-officedocument.spreadsheetml.queryTable+xml"/>
  <Default Extension="xml" ContentType="application/xml"/>
  <Override PartName="/xl/activeX/activeX10.bin" ContentType="application/vnd.ms-office.activeX"/>
  <Override PartName="/xl/queryTables/queryTable142.xml" ContentType="application/vnd.openxmlformats-officedocument.spreadsheetml.queryTable+xml"/>
  <Override PartName="/xl/activeX/activeX33.xml" ContentType="application/vnd.ms-office.activeX+xml"/>
  <Override PartName="/xl/queryTables/queryTable51.xml" ContentType="application/vnd.openxmlformats-officedocument.spreadsheetml.queryTable+xml"/>
  <Override PartName="/xl/activeX/activeX80.xml" ContentType="application/vnd.ms-office.activeX+xml"/>
  <Override PartName="/xl/activeX/activeX11.xml" ContentType="application/vnd.ms-office.activeX+xml"/>
  <Override PartName="/xl/queryTables/queryTable120.xml" ContentType="application/vnd.openxmlformats-officedocument.spreadsheetml.queryTable+xml"/>
  <Override PartName="/xl/activeX/activeX48.bin" ContentType="application/vnd.ms-office.activeX"/>
  <Override PartName="/xl/activeX/activeX95.bin" ContentType="application/vnd.ms-office.activeX"/>
  <Override PartName="/xl/queryTables/queryTable89.xml" ContentType="application/vnd.openxmlformats-officedocument.spreadsheetml.queryTable+xml"/>
  <Override PartName="/xl/activeX/activeX26.bin" ContentType="application/vnd.ms-office.activeX"/>
  <Override PartName="/xl/queryTables/queryTable67.xml" ContentType="application/vnd.openxmlformats-officedocument.spreadsheetml.queryTable+xml"/>
  <Override PartName="/xl/activeX/activeX73.bin" ContentType="application/vnd.ms-office.activeX"/>
  <Override PartName="/xl/queryTables/queryTable158.xml" ContentType="application/vnd.openxmlformats-officedocument.spreadsheetml.queryTable+xml"/>
  <Override PartName="/xl/activeX/activeX1.bin" ContentType="application/vnd.ms-office.activeX"/>
  <Override PartName="/xl/activeX/activeX49.xml" ContentType="application/vnd.ms-office.activeX+xml"/>
  <Override PartName="/xl/activeX/activeX51.bin" ContentType="application/vnd.ms-office.activeX"/>
  <Override PartName="/xl/activeX/activeX96.xml" ContentType="application/vnd.ms-office.activeX+xml"/>
  <Override PartName="/xl/queryTables/queryTable136.xml" ContentType="application/vnd.openxmlformats-officedocument.spreadsheetml.queryTable+xml"/>
  <Override PartName="/xl/queryTables/queryTable183.xml" ContentType="application/vnd.openxmlformats-officedocument.spreadsheetml.queryTable+xml"/>
  <Override PartName="/xl/worksheets/sheet8.xml" ContentType="application/vnd.openxmlformats-officedocument.spreadsheetml.worksheet+xml"/>
  <Default Extension="emf" ContentType="image/x-emf"/>
  <Override PartName="/xl/activeX/activeX27.xml" ContentType="application/vnd.ms-office.activeX+xml"/>
  <Override PartName="/xl/queryTables/queryTable45.xml" ContentType="application/vnd.openxmlformats-officedocument.spreadsheetml.queryTable+xml"/>
  <Override PartName="/xl/queryTables/queryTable92.xml" ContentType="application/vnd.openxmlformats-officedocument.spreadsheetml.queryTable+xml"/>
  <Override PartName="/xl/activeX/activeX74.xml" ContentType="application/vnd.ms-office.activeX+xml"/>
  <Override PartName="/xl/worksheets/sheet10.xml" ContentType="application/vnd.openxmlformats-officedocument.spreadsheetml.worksheet+xml"/>
  <Override PartName="/xl/activeX/activeX2.xml" ContentType="application/vnd.ms-office.activeX+xml"/>
  <Override PartName="/xl/charts/chart1.xml" ContentType="application/vnd.openxmlformats-officedocument.drawingml.chart+xml"/>
  <Override PartName="/xl/queryTables/queryTable114.xml" ContentType="application/vnd.openxmlformats-officedocument.spreadsheetml.queryTable+xml"/>
  <Override PartName="/xl/queryTables/queryTable161.xml" ContentType="application/vnd.openxmlformats-officedocument.spreadsheetml.queryTable+xml"/>
  <Override PartName="/xl/activeX/activeX41.xml" ContentType="application/vnd.ms-office.activeX+xml"/>
  <Override PartName="/xl/activeX/activeX52.xml" ContentType="application/vnd.ms-office.activeX+xml"/>
  <Override PartName="/xl/queryTables/queryTable12.xml" ContentType="application/vnd.openxmlformats-officedocument.spreadsheetml.queryTable+xml"/>
  <Override PartName="/xl/queryTables/queryTable23.xml" ContentType="application/vnd.openxmlformats-officedocument.spreadsheetml.queryTable+xml"/>
  <Override PartName="/xl/queryTables/queryTable70.xml" ContentType="application/vnd.openxmlformats-officedocument.spreadsheetml.queryTable+xml"/>
  <Override PartName="/xl/queryTables/queryTable103.xml" ContentType="application/vnd.openxmlformats-officedocument.spreadsheetml.queryTable+xml"/>
  <Override PartName="/xl/activeX/activeX89.bin" ContentType="application/vnd.ms-office.activeX"/>
  <Override PartName="/xl/queryTables/queryTable150.xml" ContentType="application/vnd.openxmlformats-officedocument.spreadsheetml.queryTable+xml"/>
  <Override PartName="/xl/activeX/activeX30.xml" ContentType="application/vnd.ms-office.activeX+xml"/>
  <Override PartName="/xl/activeX/activeX78.bin" ContentType="application/vnd.ms-office.activeX"/>
  <Override PartName="/xl/calcChain.xml" ContentType="application/vnd.openxmlformats-officedocument.spreadsheetml.calcChain+xml"/>
  <Override PartName="/xl/queryTables/queryTable5.xml" ContentType="application/vnd.openxmlformats-officedocument.spreadsheetml.queryTable+xml"/>
  <Override PartName="/xl/activeX/activeX67.bin" ContentType="application/vnd.ms-office.activeX"/>
  <Override PartName="/xl/charts/chart13.xml" ContentType="application/vnd.openxmlformats-officedocument.drawingml.chart+xml"/>
  <Override PartName="/xl/activeX/activeX6.bin" ContentType="application/vnd.ms-office.activeX"/>
  <Override PartName="/xl/activeX/activeX45.bin" ContentType="application/vnd.ms-office.activeX"/>
  <Override PartName="/xl/activeX/activeX56.bin" ContentType="application/vnd.ms-office.activeX"/>
  <Override PartName="/xl/activeX/activeX92.bin" ContentType="application/vnd.ms-office.activeX"/>
  <Override PartName="/xl/queryTables/queryTable188.xml" ContentType="application/vnd.openxmlformats-officedocument.spreadsheetml.queryTable+xml"/>
  <Override PartName="/xl/worksheets/sheet15.xml" ContentType="application/vnd.openxmlformats-officedocument.spreadsheetml.worksheet+xml"/>
  <Override PartName="/xl/activeX/activeX34.bin" ContentType="application/vnd.ms-office.activeX"/>
  <Override PartName="/xl/charts/chart6.xml" ContentType="application/vnd.openxmlformats-officedocument.drawingml.chart+xml"/>
  <Override PartName="/xl/queryTables/queryTable39.xml" ContentType="application/vnd.openxmlformats-officedocument.spreadsheetml.queryTable+xml"/>
  <Override PartName="/xl/queryTables/queryTable86.xml" ContentType="application/vnd.openxmlformats-officedocument.spreadsheetml.queryTable+xml"/>
  <Override PartName="/xl/queryTables/queryTable97.xml" ContentType="application/vnd.openxmlformats-officedocument.spreadsheetml.queryTable+xml"/>
  <Override PartName="/xl/activeX/activeX68.xml" ContentType="application/vnd.ms-office.activeX+xml"/>
  <Override PartName="/xl/activeX/activeX79.xml" ContentType="application/vnd.ms-office.activeX+xml"/>
  <Override PartName="/xl/activeX/activeX81.bin" ContentType="application/vnd.ms-office.activeX"/>
  <Override PartName="/xl/queryTables/queryTable177.xml" ContentType="application/vnd.openxmlformats-officedocument.spreadsheetml.queryTable+xml"/>
  <Override PartName="/xl/activeX/activeX7.xml" ContentType="application/vnd.ms-office.activeX+xml"/>
  <Override PartName="/xl/activeX/activeX23.bin" ContentType="application/vnd.ms-office.activeX"/>
  <Override PartName="/xl/activeX/activeX57.xml" ContentType="application/vnd.ms-office.activeX+xml"/>
  <Override PartName="/xl/queryTables/queryTable28.xml" ContentType="application/vnd.openxmlformats-officedocument.spreadsheetml.queryTable+xml"/>
  <Override PartName="/xl/queryTables/queryTable75.xml" ContentType="application/vnd.openxmlformats-officedocument.spreadsheetml.queryTable+xml"/>
  <Override PartName="/xl/queryTables/queryTable108.xml" ContentType="application/vnd.openxmlformats-officedocument.spreadsheetml.queryTable+xml"/>
  <Override PartName="/xl/queryTables/queryTable119.xml" ContentType="application/vnd.openxmlformats-officedocument.spreadsheetml.queryTable+xml"/>
  <Override PartName="/xl/activeX/activeX70.bin" ContentType="application/vnd.ms-office.activeX"/>
  <Override PartName="/xl/queryTables/queryTable155.xml" ContentType="application/vnd.openxmlformats-officedocument.spreadsheetml.queryTable+xml"/>
  <Override PartName="/xl/queryTables/queryTable166.xml" ContentType="application/vnd.openxmlformats-officedocument.spreadsheetml.queryTable+xml"/>
  <Override PartName="/xl/activeX/activeX12.bin" ContentType="application/vnd.ms-office.activeX"/>
  <Override PartName="/xl/activeX/activeX46.xml" ContentType="application/vnd.ms-office.activeX+xml"/>
  <Override PartName="/xl/queryTables/queryTable17.xml" ContentType="application/vnd.openxmlformats-officedocument.spreadsheetml.queryTable+xml"/>
  <Override PartName="/xl/queryTables/queryTable64.xml" ContentType="application/vnd.openxmlformats-officedocument.spreadsheetml.queryTable+xml"/>
  <Override PartName="/xl/activeX/activeX93.xml" ContentType="application/vnd.ms-office.activeX+xml"/>
  <Override PartName="/xl/queryTables/queryTable144.xml" ContentType="application/vnd.openxmlformats-officedocument.spreadsheetml.queryTable+xml"/>
  <Override PartName="/xl/queryTables/queryTable191.xml" ContentType="application/vnd.openxmlformats-officedocument.spreadsheetml.queryTable+xml"/>
  <Override PartName="/xl/worksheets/sheet5.xml" ContentType="application/vnd.openxmlformats-officedocument.spreadsheetml.worksheet+xml"/>
  <Override PartName="/xl/activeX/activeX24.xml" ContentType="application/vnd.ms-office.activeX+xml"/>
  <Override PartName="/xl/activeX/activeX35.xml" ContentType="application/vnd.ms-office.activeX+xml"/>
  <Override PartName="/xl/queryTables/queryTable42.xml" ContentType="application/vnd.openxmlformats-officedocument.spreadsheetml.queryTable+xml"/>
  <Override PartName="/xl/queryTables/queryTable53.xml" ContentType="application/vnd.openxmlformats-officedocument.spreadsheetml.queryTable+xml"/>
  <Override PartName="/xl/activeX/activeX82.xml" ContentType="application/vnd.ms-office.activeX+xml"/>
  <Override PartName="/xl/queryTables/queryTable133.xml" ContentType="application/vnd.openxmlformats-officedocument.spreadsheetml.queryTable+xml"/>
  <Override PartName="/xl/queryTables/queryTable180.xml" ContentType="application/vnd.openxmlformats-officedocument.spreadsheetml.queryTable+xml"/>
  <Override PartName="/xl/connections.xml" ContentType="application/vnd.openxmlformats-officedocument.spreadsheetml.connections+xml"/>
  <Override PartName="/xl/activeX/activeX13.xml" ContentType="application/vnd.ms-office.activeX+xml"/>
  <Override PartName="/xl/comments2.xml" ContentType="application/vnd.openxmlformats-officedocument.spreadsheetml.comments+xml"/>
  <Override PartName="/xl/activeX/activeX60.xml" ContentType="application/vnd.ms-office.activeX+xml"/>
  <Override PartName="/xl/queryTables/queryTable31.xml" ContentType="application/vnd.openxmlformats-officedocument.spreadsheetml.queryTable+xml"/>
  <Override PartName="/xl/queryTables/queryTable111.xml" ContentType="application/vnd.openxmlformats-officedocument.spreadsheetml.queryTable+xml"/>
  <Override PartName="/xl/queryTables/queryTable122.xml" ContentType="application/vnd.openxmlformats-officedocument.spreadsheetml.queryTable+xml"/>
  <Override PartName="/xl/activeX/activeX71.xml" ContentType="application/vnd.ms-office.activeX+xml"/>
  <Override PartName="/xl/queryTables/queryTable20.xml" ContentType="application/vnd.openxmlformats-officedocument.spreadsheetml.queryTable+xml"/>
  <Override PartName="/xl/queryTables/queryTable100.xml" ContentType="application/vnd.openxmlformats-officedocument.spreadsheetml.queryTable+xml"/>
  <Override PartName="/xl/activeX/activeX97.bin" ContentType="application/vnd.ms-office.activeX"/>
  <Override PartName="/xl/activeX/activeX39.bin" ContentType="application/vnd.ms-office.activeX"/>
  <Override PartName="/xl/activeX/activeX86.bin" ContentType="application/vnd.ms-office.activeX"/>
  <Override PartName="/xl/activeX/activeX17.bin" ContentType="application/vnd.ms-office.activeX"/>
  <Override PartName="/xl/activeX/activeX28.bin" ContentType="application/vnd.ms-office.activeX"/>
  <Override PartName="/xl/queryTables/queryTable69.xml" ContentType="application/vnd.openxmlformats-officedocument.spreadsheetml.queryTable+xml"/>
  <Override PartName="/xl/activeX/activeX64.bin" ContentType="application/vnd.ms-office.activeX"/>
  <Override PartName="/xl/activeX/activeX75.bin" ContentType="application/vnd.ms-office.activeX"/>
  <Override PartName="/xl/activeX/activeX3.bin" ContentType="application/vnd.ms-office.activeX"/>
  <Override PartName="/xl/activeX/activeX53.bin" ContentType="application/vnd.ms-office.activeX"/>
  <Override PartName="/xl/queryTables/queryTable2.xml" ContentType="application/vnd.openxmlformats-officedocument.spreadsheetml.queryTable+xml"/>
  <Override PartName="/xl/queryTables/queryTable58.xml" ContentType="application/vnd.openxmlformats-officedocument.spreadsheetml.queryTable+xml"/>
  <Override PartName="/xl/charts/chart10.xml" ContentType="application/vnd.openxmlformats-officedocument.drawingml.chart+xml"/>
  <Override PartName="/xl/activeX/activeX87.xml" ContentType="application/vnd.ms-office.activeX+xml"/>
  <Override PartName="/xl/queryTables/queryTable138.xml" ContentType="application/vnd.openxmlformats-officedocument.spreadsheetml.queryTable+xml"/>
  <Override PartName="/xl/activeX/activeX98.xml" ContentType="application/vnd.ms-office.activeX+xml"/>
  <Override PartName="/xl/queryTables/queryTable149.xml" ContentType="application/vnd.openxmlformats-officedocument.spreadsheetml.queryTable+xml"/>
  <Override PartName="/xl/queryTables/queryTable185.xml" ContentType="application/vnd.openxmlformats-officedocument.spreadsheetml.queryTable+xml"/>
  <Override PartName="/xl/queryTables/queryTable196.xml" ContentType="application/vnd.openxmlformats-officedocument.spreadsheetml.queryTable+xml"/>
  <Override PartName="/xl/activeX/activeX29.xml" ContentType="application/vnd.ms-office.activeX+xml"/>
  <Override PartName="/xl/activeX/activeX42.bin" ContentType="application/vnd.ms-office.activeX"/>
  <Override PartName="/xl/queryTables/queryTable47.xml" ContentType="application/vnd.openxmlformats-officedocument.spreadsheetml.queryTable+xml"/>
  <Override PartName="/xl/queryTables/queryTable94.xml" ContentType="application/vnd.openxmlformats-officedocument.spreadsheetml.queryTable+xml"/>
  <Override PartName="/xl/queryTables/queryTable127.xml" ContentType="application/vnd.openxmlformats-officedocument.spreadsheetml.queryTable+xml"/>
  <Override PartName="/xl/activeX/activeX76.xml" ContentType="application/vnd.ms-office.activeX+xml"/>
  <Override PartName="/xl/queryTables/queryTable174.xml" ContentType="application/vnd.openxmlformats-officedocument.spreadsheetml.queryTable+xml"/>
  <Override PartName="/xl/worksheets/sheet12.xml" ContentType="application/vnd.openxmlformats-officedocument.spreadsheetml.worksheet+xml"/>
  <Override PartName="/xl/activeX/activeX18.xml" ContentType="application/vnd.ms-office.activeX+xml"/>
  <Override PartName="/xl/activeX/activeX20.bin" ContentType="application/vnd.ms-office.activeX"/>
  <Override PartName="/xl/activeX/activeX31.bin" ContentType="application/vnd.ms-office.activeX"/>
  <Override PartName="/xl/charts/chart3.xml" ContentType="application/vnd.openxmlformats-officedocument.drawingml.chart+xml"/>
  <Override PartName="/xl/queryTables/queryTable36.xml" ContentType="application/vnd.openxmlformats-officedocument.spreadsheetml.queryTable+xml"/>
  <Override PartName="/xl/queryTables/queryTable83.xml" ContentType="application/vnd.openxmlformats-officedocument.spreadsheetml.queryTable+xml"/>
  <Override PartName="/xl/queryTables/queryTable116.xml" ContentType="application/vnd.openxmlformats-officedocument.spreadsheetml.queryTable+xml"/>
  <Override PartName="/xl/activeX/activeX65.xml" ContentType="application/vnd.ms-office.activeX+xml"/>
  <Override PartName="/xl/queryTables/queryTable163.xml" ContentType="application/vnd.openxmlformats-officedocument.spreadsheetml.queryTable+xml"/>
  <Override PartName="/xl/activeX/activeX4.xml" ContentType="application/vnd.ms-office.activeX+xml"/>
  <Override PartName="/xl/activeX/activeX43.xml" ContentType="application/vnd.ms-office.activeX+xml"/>
  <Override PartName="/xl/activeX/activeX54.xml" ContentType="application/vnd.ms-office.activeX+xml"/>
  <Override PartName="/xl/queryTables/queryTable14.xml" ContentType="application/vnd.openxmlformats-officedocument.spreadsheetml.queryTable+xml"/>
  <Override PartName="/xl/queryTables/queryTable25.xml" ContentType="application/vnd.openxmlformats-officedocument.spreadsheetml.queryTable+xml"/>
  <Override PartName="/xl/queryTables/queryTable61.xml" ContentType="application/vnd.openxmlformats-officedocument.spreadsheetml.queryTable+xml"/>
  <Override PartName="/xl/queryTables/queryTable72.xml" ContentType="application/vnd.openxmlformats-officedocument.spreadsheetml.queryTable+xml"/>
  <Override PartName="/xl/queryTables/queryTable105.xml" ContentType="application/vnd.openxmlformats-officedocument.spreadsheetml.queryTable+xml"/>
  <Override PartName="/xl/activeX/activeX90.xml" ContentType="application/vnd.ms-office.activeX+xml"/>
  <Override PartName="/xl/queryTables/queryTable152.xml" ContentType="application/vnd.openxmlformats-officedocument.spreadsheetml.queryTable+xml"/>
  <Override PartName="/xl/worksheets/sheet2.xml" ContentType="application/vnd.openxmlformats-officedocument.spreadsheetml.worksheet+xml"/>
  <Override PartName="/xl/drawings/drawing1.xml" ContentType="application/vnd.openxmlformats-officedocument.drawing+xml"/>
  <Override PartName="/xl/activeX/activeX32.xml" ContentType="application/vnd.ms-office.activeX+xml"/>
  <Override PartName="/xl/queryTables/queryTable50.xml" ContentType="application/vnd.openxmlformats-officedocument.spreadsheetml.queryTable+xml"/>
  <Override PartName="/xl/queryTables/queryTable130.xml" ContentType="application/vnd.openxmlformats-officedocument.spreadsheetml.queryTable+xml"/>
  <Override PartName="/xl/queryTables/queryTable141.xml" ContentType="application/vnd.openxmlformats-officedocument.spreadsheetml.queryTable+xml"/>
  <Override PartName="/xl/activeX/activeX21.xml" ContentType="application/vnd.ms-office.activeX+xml"/>
  <Override PartName="/xl/queryTables/queryTable7.xml" ContentType="application/vnd.openxmlformats-officedocument.spreadsheetml.queryTable+xml"/>
  <Override PartName="/xl/activeX/activeX69.bin" ContentType="application/vnd.ms-office.activeX"/>
  <Override PartName="/xl/activeX/activeX8.bin" ContentType="application/vnd.ms-office.activeX"/>
  <Override PartName="/xl/activeX/activeX10.xml" ContentType="application/vnd.ms-office.activeX+xml"/>
  <Override PartName="/xl/activeX/activeX58.bin" ContentType="application/vnd.ms-office.activeX"/>
  <Override PartName="/xl/worksheets/sheet17.xml" ContentType="application/vnd.openxmlformats-officedocument.spreadsheetml.worksheet+xml"/>
  <Override PartName="/xl/charts/chart8.xml" ContentType="application/vnd.openxmlformats-officedocument.drawingml.chart+xml"/>
  <Override PartName="/xl/activeX/activeX36.bin" ContentType="application/vnd.ms-office.activeX"/>
  <Override PartName="/xl/activeX/activeX47.bin" ContentType="application/vnd.ms-office.activeX"/>
  <Override PartName="/xl/queryTables/queryTable88.xml" ContentType="application/vnd.openxmlformats-officedocument.spreadsheetml.queryTable+xml"/>
  <Override PartName="/xl/queryTables/queryTable99.xml" ContentType="application/vnd.openxmlformats-officedocument.spreadsheetml.queryTable+xml"/>
  <Override PartName="/xl/activeX/activeX83.bin" ContentType="application/vnd.ms-office.activeX"/>
  <Override PartName="/xl/activeX/activeX94.bin" ContentType="application/vnd.ms-office.activeX"/>
  <Override PartName="/xl/queryTables/queryTable179.xml" ContentType="application/vnd.openxmlformats-officedocument.spreadsheetml.queryTable+xml"/>
  <Override PartName="/xl/activeX/activeX9.xml" ContentType="application/vnd.ms-office.activeX+xml"/>
  <Override PartName="/xl/activeX/activeX25.bin" ContentType="application/vnd.ms-office.activeX"/>
  <Override PartName="/xl/activeX/activeX59.xml" ContentType="application/vnd.ms-office.activeX+xml"/>
  <Override PartName="/xl/queryTables/queryTable77.xml" ContentType="application/vnd.openxmlformats-officedocument.spreadsheetml.queryTable+xml"/>
  <Override PartName="/xl/activeX/activeX72.bin" ContentType="application/vnd.ms-office.activeX"/>
  <Override PartName="/xl/queryTables/queryTable157.xml" ContentType="application/vnd.openxmlformats-officedocument.spreadsheetml.queryTable+xml"/>
  <Override PartName="/xl/queryTables/queryTable168.xml" ContentType="application/vnd.openxmlformats-officedocument.spreadsheetml.queryTable+xml"/>
  <Override PartName="/xl/activeX/activeX14.bin" ContentType="application/vnd.ms-office.activeX"/>
  <Override PartName="/xl/activeX/activeX48.xml" ContentType="application/vnd.ms-office.activeX+xml"/>
  <Override PartName="/xl/activeX/activeX61.bin" ContentType="application/vnd.ms-office.activeX"/>
  <Override PartName="/xl/queryTables/queryTable19.xml" ContentType="application/vnd.openxmlformats-officedocument.spreadsheetml.queryTable+xml"/>
  <Override PartName="/xl/queryTables/queryTable66.xml" ContentType="application/vnd.openxmlformats-officedocument.spreadsheetml.queryTable+xml"/>
  <Override PartName="/xl/activeX/activeX95.xml" ContentType="application/vnd.ms-office.activeX+xml"/>
  <Override PartName="/xl/queryTables/queryTable146.xml" ContentType="application/vnd.openxmlformats-officedocument.spreadsheetml.queryTable+xml"/>
  <Override PartName="/xl/queryTables/queryTable193.xml" ContentType="application/vnd.openxmlformats-officedocument.spreadsheetml.queryTable+xml"/>
  <Override PartName="/xl/worksheets/sheet7.xml" ContentType="application/vnd.openxmlformats-officedocument.spreadsheetml.worksheet+xml"/>
  <Override PartName="/xl/worksheets/sheet20.xml" ContentType="application/vnd.openxmlformats-officedocument.spreadsheetml.worksheet+xml"/>
  <Override PartName="/xl/activeX/activeX37.xml" ContentType="application/vnd.ms-office.activeX+xml"/>
  <Override PartName="/xl/activeX/activeX50.bin" ContentType="application/vnd.ms-office.activeX"/>
  <Override PartName="/xl/queryTables/queryTable44.xml" ContentType="application/vnd.openxmlformats-officedocument.spreadsheetml.queryTable+xml"/>
  <Override PartName="/xl/queryTables/queryTable55.xml" ContentType="application/vnd.openxmlformats-officedocument.spreadsheetml.queryTable+xml"/>
  <Override PartName="/xl/queryTables/queryTable91.xml" ContentType="application/vnd.openxmlformats-officedocument.spreadsheetml.queryTable+xml"/>
  <Override PartName="/xl/activeX/activeX84.xml" ContentType="application/vnd.ms-office.activeX+xml"/>
  <Override PartName="/xl/queryTables/queryTable135.xml" ContentType="application/vnd.openxmlformats-officedocument.spreadsheetml.queryTable+xml"/>
  <Override PartName="/xl/queryTables/queryTable182.xml" ContentType="application/vnd.openxmlformats-officedocument.spreadsheetml.queryTable+xml"/>
  <Override PartName="/xl/vbaProject.bin" ContentType="application/vnd.ms-office.vbaProject"/>
  <Override PartName="/xl/activeX/activeX15.xml" ContentType="application/vnd.ms-office.activeX+xml"/>
  <Override PartName="/xl/activeX/activeX26.xml" ContentType="application/vnd.ms-office.activeX+xml"/>
  <Override PartName="/xl/activeX/activeX62.xml" ContentType="application/vnd.ms-office.activeX+xml"/>
  <Override PartName="/xl/queryTables/queryTable33.xml" ContentType="application/vnd.openxmlformats-officedocument.spreadsheetml.queryTable+xml"/>
  <Override PartName="/xl/queryTables/queryTable80.xml" ContentType="application/vnd.openxmlformats-officedocument.spreadsheetml.queryTable+xml"/>
  <Override PartName="/xl/queryTables/queryTable113.xml" ContentType="application/vnd.openxmlformats-officedocument.spreadsheetml.queryTable+xml"/>
  <Override PartName="/xl/queryTables/queryTable124.xml" ContentType="application/vnd.openxmlformats-officedocument.spreadsheetml.queryTable+xml"/>
  <Override PartName="/xl/activeX/activeX73.xml" ContentType="application/vnd.ms-office.activeX+xml"/>
  <Override PartName="/xl/queryTables/queryTable160.xml" ContentType="application/vnd.openxmlformats-officedocument.spreadsheetml.queryTable+xml"/>
  <Override PartName="/xl/queryTables/queryTable171.xml" ContentType="application/vnd.openxmlformats-officedocument.spreadsheetml.queryTable+xml"/>
  <Override PartName="/xl/charts/style2.xml" ContentType="application/vnd.ms-office.chartstyle+xml"/>
  <Override PartName="/xl/activeX/activeX1.xml" ContentType="application/vnd.ms-office.activeX+xml"/>
  <Override PartName="/xl/activeX/activeX51.xml" ContentType="application/vnd.ms-office.activeX+xml"/>
  <Override PartName="/xl/queryTables/queryTable22.xml" ContentType="application/vnd.openxmlformats-officedocument.spreadsheetml.queryTable+xml"/>
  <Override PartName="/xl/queryTables/queryTable102.xml" ContentType="application/vnd.openxmlformats-officedocument.spreadsheetml.queryTable+xml"/>
  <Override PartName="/xl/activeX/activeX99.bin" ContentType="application/vnd.ms-office.activeX"/>
  <Override PartName="/xl/activeX/activeX40.xml" ContentType="application/vnd.ms-office.activeX+xml"/>
  <Override PartName="/xl/queryTables/queryTable11.xml" ContentType="application/vnd.openxmlformats-officedocument.spreadsheetml.queryTable+xml"/>
  <Override PartName="/xl/activeX/activeX88.bin" ContentType="application/vnd.ms-office.activeX"/>
  <Override PartName="/xl/sharedStrings.xml" ContentType="application/vnd.openxmlformats-officedocument.spreadsheetml.sharedStrings+xml"/>
  <Override PartName="/xl/activeX/activeX19.bin" ContentType="application/vnd.ms-office.activeX"/>
  <Override PartName="/xl/activeX/activeX66.bin" ContentType="application/vnd.ms-office.activeX"/>
  <Override PartName="/xl/activeX/activeX77.bin" ContentType="application/vnd.ms-office.activeX"/>
  <Override PartName="/xl/activeX/activeX5.bin" ContentType="application/vnd.ms-office.activeX"/>
  <Override PartName="/xl/activeX/activeX55.bin" ContentType="application/vnd.ms-office.activeX"/>
  <Override PartName="/xl/queryTables/queryTable4.xml" ContentType="application/vnd.openxmlformats-officedocument.spreadsheetml.queryTable+xml"/>
  <Override PartName="/xl/charts/chart12.xml" ContentType="application/vnd.openxmlformats-officedocument.drawingml.chart+xml"/>
  <Override PartName="/xl/activeX/activeX89.xml" ContentType="application/vnd.ms-office.activeX+xml"/>
  <Override PartName="/xl/queryTables/queryTable198.xml" ContentType="application/vnd.openxmlformats-officedocument.spreadsheetml.queryTable+xml"/>
  <Default Extension="bin" ContentType="application/vnd.openxmlformats-officedocument.spreadsheetml.printerSettings"/>
  <Override PartName="/xl/activeX/activeX44.bin" ContentType="application/vnd.ms-office.activeX"/>
  <Override PartName="/xl/queryTables/queryTable49.xml" ContentType="application/vnd.openxmlformats-officedocument.spreadsheetml.queryTable+xml"/>
  <Override PartName="/xl/queryTables/queryTable96.xml" ContentType="application/vnd.openxmlformats-officedocument.spreadsheetml.queryTable+xml"/>
  <Override PartName="/xl/queryTables/queryTable129.xml" ContentType="application/vnd.openxmlformats-officedocument.spreadsheetml.queryTable+xml"/>
  <Override PartName="/xl/activeX/activeX78.xml" ContentType="application/vnd.ms-office.activeX+xml"/>
  <Override PartName="/xl/activeX/activeX91.bin" ContentType="application/vnd.ms-office.activeX"/>
  <Override PartName="/xl/queryTables/queryTable176.xml" ContentType="application/vnd.openxmlformats-officedocument.spreadsheetml.queryTable+xml"/>
  <Override PartName="/xl/queryTables/queryTable187.xml" ContentType="application/vnd.openxmlformats-officedocument.spreadsheetml.queryTable+xml"/>
  <Override PartName="/xl/worksheets/sheet14.xml" ContentType="application/vnd.openxmlformats-officedocument.spreadsheetml.worksheet+xml"/>
  <Override PartName="/xl/activeX/activeX22.bin" ContentType="application/vnd.ms-office.activeX"/>
  <Override PartName="/xl/activeX/activeX33.bin" ContentType="application/vnd.ms-office.activeX"/>
  <Override PartName="/xl/charts/chart5.xml" ContentType="application/vnd.openxmlformats-officedocument.drawingml.chart+xml"/>
  <Override PartName="/xl/queryTables/queryTable38.xml" ContentType="application/vnd.openxmlformats-officedocument.spreadsheetml.queryTable+xml"/>
  <Override PartName="/xl/queryTables/queryTable85.xml" ContentType="application/vnd.openxmlformats-officedocument.spreadsheetml.queryTable+xml"/>
  <Override PartName="/xl/queryTables/queryTable118.xml" ContentType="application/vnd.openxmlformats-officedocument.spreadsheetml.queryTable+xml"/>
  <Override PartName="/xl/activeX/activeX67.xml" ContentType="application/vnd.ms-office.activeX+xml"/>
  <Override PartName="/xl/activeX/activeX80.bin" ContentType="application/vnd.ms-office.activeX"/>
  <Override PartName="/xl/queryTables/queryTable165.xml" ContentType="application/vnd.openxmlformats-officedocument.spreadsheetml.queryTable+xml"/>
  <Override PartName="/xl/activeX/activeX6.xml" ContentType="application/vnd.ms-office.activeX+xml"/>
  <Override PartName="/xl/activeX/activeX11.bin" ContentType="application/vnd.ms-office.activeX"/>
  <Override PartName="/xl/activeX/activeX45.xml" ContentType="application/vnd.ms-office.activeX+xml"/>
  <Override PartName="/xl/activeX/activeX56.xml" ContentType="application/vnd.ms-office.activeX+xml"/>
  <Override PartName="/xl/queryTables/queryTable16.xml" ContentType="application/vnd.openxmlformats-officedocument.spreadsheetml.queryTable+xml"/>
  <Override PartName="/xl/queryTables/queryTable27.xml" ContentType="application/vnd.openxmlformats-officedocument.spreadsheetml.queryTable+xml"/>
  <Override PartName="/xl/queryTables/queryTable63.xml" ContentType="application/vnd.openxmlformats-officedocument.spreadsheetml.queryTable+xml"/>
  <Override PartName="/xl/queryTables/queryTable74.xml" ContentType="application/vnd.openxmlformats-officedocument.spreadsheetml.queryTable+xml"/>
  <Override PartName="/xl/queryTables/queryTable107.xml" ContentType="application/vnd.openxmlformats-officedocument.spreadsheetml.queryTable+xml"/>
  <Override PartName="/xl/activeX/activeX92.xml" ContentType="application/vnd.ms-office.activeX+xml"/>
  <Override PartName="/xl/queryTables/queryTable154.xml" ContentType="application/vnd.openxmlformats-officedocument.spreadsheetml.queryTable+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activeX/activeX34.xml" ContentType="application/vnd.ms-office.activeX+xml"/>
  <Override PartName="/xl/queryTables/queryTable52.xml" ContentType="application/vnd.openxmlformats-officedocument.spreadsheetml.queryTable+xml"/>
  <Override PartName="/xl/queryTables/queryTable132.xml" ContentType="application/vnd.openxmlformats-officedocument.spreadsheetml.queryTable+xml"/>
  <Override PartName="/xl/activeX/activeX81.xml" ContentType="application/vnd.ms-office.activeX+xml"/>
  <Override PartName="/xl/queryTables/queryTable143.xml" ContentType="application/vnd.openxmlformats-officedocument.spreadsheetml.queryTable+xml"/>
  <Override PartName="/xl/queryTables/queryTable190.xml" ContentType="application/vnd.openxmlformats-officedocument.spreadsheetml.queryTable+xml"/>
  <Override PartName="/xl/activeX/activeX23.xml" ContentType="application/vnd.ms-office.activeX+xml"/>
  <Override PartName="/xl/queryTables/queryTable9.xml" ContentType="application/vnd.openxmlformats-officedocument.spreadsheetml.queryTable+xml"/>
  <Override PartName="/xl/queryTables/queryTable41.xml" ContentType="application/vnd.openxmlformats-officedocument.spreadsheetml.queryTable+xml"/>
  <Override PartName="/xl/queryTables/queryTable121.xml" ContentType="application/vnd.openxmlformats-officedocument.spreadsheetml.queryTable+xml"/>
  <Override PartName="/xl/activeX/activeX70.xml" ContentType="application/vnd.ms-office.activeX+xml"/>
  <Default Extension="vml" ContentType="application/vnd.openxmlformats-officedocument.vmlDrawing"/>
  <Override PartName="/xl/comments1.xml" ContentType="application/vnd.openxmlformats-officedocument.spreadsheetml.comments+xml"/>
  <Override PartName="/xl/activeX/activeX12.xml" ContentType="application/vnd.ms-office.activeX+xml"/>
  <Override PartName="/xl/queryTables/queryTable30.xml" ContentType="application/vnd.openxmlformats-officedocument.spreadsheetml.queryTable+xml"/>
  <Override PartName="/xl/queryTables/queryTable110.xml" ContentType="application/vnd.openxmlformats-officedocument.spreadsheetml.queryTable+xml"/>
  <Override PartName="/xl/worksheets/sheet19.xml" ContentType="application/vnd.openxmlformats-officedocument.spreadsheetml.worksheet+xml"/>
  <Override PartName="/xl/activeX/activeX38.bin" ContentType="application/vnd.ms-office.activeX"/>
  <Override PartName="/xl/activeX/activeX49.bin" ContentType="application/vnd.ms-office.activeX"/>
  <Override PartName="/xl/activeX/activeX85.bin" ContentType="application/vnd.ms-office.activeX"/>
  <Override PartName="/xl/activeX/activeX96.bin" ContentType="application/vnd.ms-office.activeX"/>
  <Override PartName="/xl/charts/colors2.xml" ContentType="application/vnd.ms-office.chartcolorstyle+xml"/>
  <Override PartName="/xl/activeX/activeX27.bin" ContentType="application/vnd.ms-office.activeX"/>
  <Override PartName="/xl/queryTables/queryTable79.xml" ContentType="application/vnd.openxmlformats-officedocument.spreadsheetml.queryTable+xml"/>
  <Override PartName="/xl/activeX/activeX74.bin" ContentType="application/vnd.ms-office.activeX"/>
  <Override PartName="/xl/queryTables/queryTable159.xml" ContentType="application/vnd.openxmlformats-officedocument.spreadsheetml.queryTable+xml"/>
  <Override PartName="/docProps/core.xml" ContentType="application/vnd.openxmlformats-package.core-properties+xml"/>
  <Override PartName="/xl/activeX/activeX2.bin" ContentType="application/vnd.ms-office.activeX"/>
  <Override PartName="/xl/activeX/activeX16.bin" ContentType="application/vnd.ms-office.activeX"/>
  <Override PartName="/xl/queryTables/queryTable1.xml" ContentType="application/vnd.openxmlformats-officedocument.spreadsheetml.queryTable+xml"/>
  <Override PartName="/xl/activeX/activeX63.bin" ContentType="application/vnd.ms-office.activeX"/>
  <Override PartName="/xl/queryTables/queryTable68.xml" ContentType="application/vnd.openxmlformats-officedocument.spreadsheetml.queryTable+xml"/>
  <Override PartName="/xl/activeX/activeX97.xml" ContentType="application/vnd.ms-office.activeX+xml"/>
  <Override PartName="/xl/queryTables/queryTable148.xml" ContentType="application/vnd.openxmlformats-officedocument.spreadsheetml.queryTable+xml"/>
  <Override PartName="/xl/queryTables/queryTable195.xml" ContentType="application/vnd.openxmlformats-officedocument.spreadsheetml.queryTable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activeX/activeX39.xml" ContentType="application/vnd.ms-office.activeX+xml"/>
  <Override PartName="/xl/activeX/activeX41.bin" ContentType="application/vnd.ms-office.activeX"/>
  <Override PartName="/xl/activeX/activeX52.bin" ContentType="application/vnd.ms-office.activeX"/>
  <Override PartName="/xl/queryTables/queryTable46.xml" ContentType="application/vnd.openxmlformats-officedocument.spreadsheetml.queryTable+xml"/>
  <Override PartName="/xl/queryTables/queryTable57.xml" ContentType="application/vnd.openxmlformats-officedocument.spreadsheetml.queryTable+xml"/>
  <Override PartName="/xl/activeX/activeX86.xml" ContentType="application/vnd.ms-office.activeX+xml"/>
  <Override PartName="/xl/queryTables/queryTable137.xml" ContentType="application/vnd.openxmlformats-officedocument.spreadsheetml.queryTable+xml"/>
  <Override PartName="/xl/queryTables/queryTable184.xml" ContentType="application/vnd.openxmlformats-officedocument.spreadsheetml.queryTable+xml"/>
  <Override PartName="/xl/worksheets/sheet11.xml" ContentType="application/vnd.openxmlformats-officedocument.spreadsheetml.worksheet+xml"/>
  <Override PartName="/xl/activeX/activeX17.xml" ContentType="application/vnd.ms-office.activeX+xml"/>
  <Override PartName="/xl/activeX/activeX28.xml" ContentType="application/vnd.ms-office.activeX+xml"/>
  <Override PartName="/xl/activeX/activeX30.bin" ContentType="application/vnd.ms-office.activeX"/>
  <Override PartName="/xl/charts/chart2.xml" ContentType="application/vnd.openxmlformats-officedocument.drawingml.chart+xml"/>
  <Override PartName="/xl/queryTables/queryTable35.xml" ContentType="application/vnd.openxmlformats-officedocument.spreadsheetml.queryTable+xml"/>
  <Override PartName="/xl/queryTables/queryTable82.xml" ContentType="application/vnd.openxmlformats-officedocument.spreadsheetml.queryTable+xml"/>
  <Override PartName="/xl/queryTables/queryTable93.xml" ContentType="application/vnd.openxmlformats-officedocument.spreadsheetml.queryTable+xml"/>
  <Override PartName="/xl/queryTables/queryTable115.xml" ContentType="application/vnd.openxmlformats-officedocument.spreadsheetml.queryTable+xml"/>
  <Override PartName="/xl/queryTables/queryTable126.xml" ContentType="application/vnd.openxmlformats-officedocument.spreadsheetml.queryTable+xml"/>
  <Override PartName="/xl/activeX/activeX64.xml" ContentType="application/vnd.ms-office.activeX+xml"/>
  <Override PartName="/xl/activeX/activeX75.xml" ContentType="application/vnd.ms-office.activeX+xml"/>
  <Override PartName="/xl/queryTables/queryTable162.xml" ContentType="application/vnd.openxmlformats-officedocument.spreadsheetml.queryTable+xml"/>
  <Override PartName="/xl/queryTables/queryTable173.xml" ContentType="application/vnd.openxmlformats-officedocument.spreadsheetml.queryTable+xml"/>
  <Default Extension="rels" ContentType="application/vnd.openxmlformats-package.relationships+xml"/>
  <Override PartName="/xl/activeX/activeX3.xml" ContentType="application/vnd.ms-office.activeX+xml"/>
  <Override PartName="/xl/activeX/activeX53.xml" ContentType="application/vnd.ms-office.activeX+xml"/>
  <Override PartName="/xl/queryTables/queryTable24.xml" ContentType="application/vnd.openxmlformats-officedocument.spreadsheetml.queryTable+xml"/>
  <Override PartName="/xl/queryTables/queryTable71.xml" ContentType="application/vnd.openxmlformats-officedocument.spreadsheetml.queryTable+xml"/>
  <Override PartName="/xl/queryTables/queryTable104.xml" ContentType="application/vnd.openxmlformats-officedocument.spreadsheetml.queryTable+xml"/>
  <Override PartName="/xl/queryTables/queryTable151.xml" ContentType="application/vnd.openxmlformats-officedocument.spreadsheetml.queryTable+xml"/>
  <Override PartName="/xl/activeX/activeX42.xml" ContentType="application/vnd.ms-office.activeX+xml"/>
  <Override PartName="/xl/queryTables/queryTable13.xml" ContentType="application/vnd.openxmlformats-officedocument.spreadsheetml.queryTable+xml"/>
  <Override PartName="/xl/queryTables/queryTable60.xml" ContentType="application/vnd.openxmlformats-officedocument.spreadsheetml.queryTable+xml"/>
  <Override PartName="/xl/queryTables/queryTable140.xml" ContentType="application/vnd.openxmlformats-officedocument.spreadsheetml.queryTable+xml"/>
  <Override PartName="/xl/worksheets/sheet1.xml" ContentType="application/vnd.openxmlformats-officedocument.spreadsheetml.worksheet+xml"/>
  <Override PartName="/xl/activeX/activeX20.xml" ContentType="application/vnd.ms-office.activeX+xml"/>
  <Override PartName="/xl/activeX/activeX31.xml" ContentType="application/vnd.ms-office.activeX+xml"/>
  <Override PartName="/xl/activeX/activeX68.bin" ContentType="application/vnd.ms-office.activeX"/>
  <Override PartName="/xl/activeX/activeX79.bin" ContentType="application/vnd.ms-office.activeX"/>
  <Override PartName="/xl/activeX/activeX7.bin" ContentType="application/vnd.ms-office.activeX"/>
  <Override PartName="/xl/activeX/activeX57.bin" ContentType="application/vnd.ms-office.activeX"/>
  <Override PartName="/xl/queryTables/queryTable6.xml" ContentType="application/vnd.openxmlformats-officedocument.spreadsheetml.queryTable+xml"/>
  <Override PartName="/xl/charts/chart14.xml" ContentType="application/vnd.openxmlformats-officedocument.drawingml.chart+xml"/>
  <Override PartName="/xl/activeX/activeX46.bin" ContentType="application/vnd.ms-office.activeX"/>
  <Override PartName="/xl/queryTables/queryTable98.xml" ContentType="application/vnd.openxmlformats-officedocument.spreadsheetml.queryTable+xml"/>
  <Override PartName="/xl/activeX/activeX93.bin" ContentType="application/vnd.ms-office.activeX"/>
  <Override PartName="/xl/queryTables/queryTable178.xml" ContentType="application/vnd.openxmlformats-officedocument.spreadsheetml.queryTable+xml"/>
  <Override PartName="/xl/queryTables/queryTable189.xml" ContentType="application/vnd.openxmlformats-officedocument.spreadsheetml.queryTable+xml"/>
  <Override PartName="/xl/worksheets/sheet16.xml" ContentType="application/vnd.openxmlformats-officedocument.spreadsheetml.worksheet+xml"/>
  <Override PartName="/xl/activeX/activeX35.bin" ContentType="application/vnd.ms-office.activeX"/>
  <Override PartName="/xl/charts/chart7.xml" ContentType="application/vnd.openxmlformats-officedocument.drawingml.chart+xml"/>
  <Override PartName="/xl/queryTables/queryTable87.xml" ContentType="application/vnd.openxmlformats-officedocument.spreadsheetml.queryTable+xml"/>
  <Override PartName="/xl/activeX/activeX69.xml" ContentType="application/vnd.ms-office.activeX+xml"/>
  <Override PartName="/xl/activeX/activeX82.bin" ContentType="application/vnd.ms-office.activeX"/>
  <Override PartName="/xl/queryTables/queryTable167.xml" ContentType="application/vnd.openxmlformats-officedocument.spreadsheetml.queryTable+xml"/>
  <Override PartName="/xl/activeX/activeX8.xml" ContentType="application/vnd.ms-office.activeX+xml"/>
  <Override PartName="/xl/activeX/activeX13.bin" ContentType="application/vnd.ms-office.activeX"/>
  <Override PartName="/xl/activeX/activeX24.bin" ContentType="application/vnd.ms-office.activeX"/>
  <Override PartName="/xl/activeX/activeX47.xml" ContentType="application/vnd.ms-office.activeX+xml"/>
  <Override PartName="/xl/activeX/activeX58.xml" ContentType="application/vnd.ms-office.activeX+xml"/>
  <Override PartName="/xl/activeX/activeX60.bin" ContentType="application/vnd.ms-office.activeX"/>
  <Override PartName="/xl/queryTables/queryTable18.xml" ContentType="application/vnd.openxmlformats-officedocument.spreadsheetml.queryTable+xml"/>
  <Override PartName="/xl/queryTables/queryTable29.xml" ContentType="application/vnd.openxmlformats-officedocument.spreadsheetml.queryTable+xml"/>
  <Override PartName="/xl/queryTables/queryTable65.xml" ContentType="application/vnd.openxmlformats-officedocument.spreadsheetml.queryTable+xml"/>
  <Override PartName="/xl/queryTables/queryTable76.xml" ContentType="application/vnd.openxmlformats-officedocument.spreadsheetml.queryTable+xml"/>
  <Override PartName="/xl/queryTables/queryTable109.xml" ContentType="application/vnd.openxmlformats-officedocument.spreadsheetml.queryTable+xml"/>
  <Override PartName="/xl/activeX/activeX71.bin" ContentType="application/vnd.ms-office.activeX"/>
  <Override PartName="/xl/queryTables/queryTable156.xml" ContentType="application/vnd.openxmlformats-officedocument.spreadsheetml.queryTable+xml"/>
  <Override PartName="/xl/worksheets/sheet6.xml" ContentType="application/vnd.openxmlformats-officedocument.spreadsheetml.worksheet+xml"/>
  <Override PartName="/xl/activeX/activeX36.xml" ContentType="application/vnd.ms-office.activeX+xml"/>
  <Override PartName="/xl/queryTables/queryTable54.xml" ContentType="application/vnd.openxmlformats-officedocument.spreadsheetml.queryTable+xml"/>
  <Override PartName="/xl/activeX/activeX83.xml" ContentType="application/vnd.ms-office.activeX+xml"/>
  <Override PartName="/xl/activeX/activeX94.xml" ContentType="application/vnd.ms-office.activeX+xml"/>
  <Override PartName="/xl/queryTables/queryTable134.xml" ContentType="application/vnd.openxmlformats-officedocument.spreadsheetml.queryTable+xml"/>
  <Override PartName="/xl/queryTables/queryTable145.xml" ContentType="application/vnd.openxmlformats-officedocument.spreadsheetml.queryTable+xml"/>
  <Override PartName="/xl/queryTables/queryTable181.xml" ContentType="application/vnd.openxmlformats-officedocument.spreadsheetml.queryTable+xml"/>
  <Override PartName="/xl/queryTables/queryTable192.xml" ContentType="application/vnd.openxmlformats-officedocument.spreadsheetml.queryTable+xml"/>
  <Override PartName="/xl/activeX/activeX25.xml" ContentType="application/vnd.ms-office.activeX+xml"/>
  <Override PartName="/xl/queryTables/queryTable43.xml" ContentType="application/vnd.openxmlformats-officedocument.spreadsheetml.queryTable+xml"/>
  <Override PartName="/xl/queryTables/queryTable90.xml" ContentType="application/vnd.openxmlformats-officedocument.spreadsheetml.queryTable+xml"/>
  <Override PartName="/xl/queryTables/queryTable123.xml" ContentType="application/vnd.openxmlformats-officedocument.spreadsheetml.queryTable+xml"/>
  <Override PartName="/xl/activeX/activeX72.xml" ContentType="application/vnd.ms-office.activeX+xml"/>
  <Override PartName="/xl/queryTables/queryTable170.xml" ContentType="application/vnd.openxmlformats-officedocument.spreadsheetml.queryTable+xml"/>
  <Override PartName="/xl/charts/style1.xml" ContentType="application/vnd.ms-office.chartstyle+xml"/>
  <Override PartName="/xl/activeX/activeX14.xml" ContentType="application/vnd.ms-office.activeX+xml"/>
  <Override PartName="/xl/comments3.xml" ContentType="application/vnd.openxmlformats-officedocument.spreadsheetml.comments+xml"/>
  <Override PartName="/xl/activeX/activeX61.xml" ContentType="application/vnd.ms-office.activeX+xml"/>
  <Override PartName="/xl/queryTables/queryTable21.xml" ContentType="application/vnd.openxmlformats-officedocument.spreadsheetml.queryTable+xml"/>
  <Override PartName="/xl/queryTables/queryTable32.xml" ContentType="application/vnd.openxmlformats-officedocument.spreadsheetml.queryTable+xml"/>
  <Override PartName="/xl/queryTables/queryTable112.xml" ContentType="application/vnd.openxmlformats-officedocument.spreadsheetml.queryTable+xml"/>
  <Override PartName="/xl/activeX/activeX50.xml" ContentType="application/vnd.ms-office.activeX+xml"/>
  <Override PartName="/xl/queryTables/queryTable10.xml" ContentType="application/vnd.openxmlformats-officedocument.spreadsheetml.queryTable+xml"/>
  <Override PartName="/xl/queryTables/queryTable101.xml" ContentType="application/vnd.openxmlformats-officedocument.spreadsheetml.queryTable+xml"/>
  <Override PartName="/xl/activeX/activeX87.bin" ContentType="application/vnd.ms-office.activeX"/>
  <Override PartName="/xl/activeX/activeX98.bin" ContentType="application/vnd.ms-office.activeX"/>
  <Override PartName="/xl/activeX/activeX29.bin" ContentType="application/vnd.ms-office.activeX"/>
  <Override PartName="/xl/activeX/activeX76.bin" ContentType="application/vnd.ms-office.activeX"/>
  <Override PartName="/xl/activeX/activeX18.bin" ContentType="application/vnd.ms-office.activeX"/>
  <Override PartName="/xl/queryTables/queryTable3.xml" ContentType="application/vnd.openxmlformats-officedocument.spreadsheetml.queryTable+xml"/>
  <Override PartName="/xl/activeX/activeX65.bin" ContentType="application/vnd.ms-office.activeX"/>
  <Override PartName="/xl/charts/chart11.xml" ContentType="application/vnd.openxmlformats-officedocument.drawingml.chart+xml"/>
  <Override PartName="/xl/activeX/activeX99.xml" ContentType="application/vnd.ms-office.activeX+xml"/>
  <Override PartName="/xl/queryTables/queryTable197.xml" ContentType="application/vnd.openxmlformats-officedocument.spreadsheetml.queryTable+xml"/>
  <Override PartName="/xl/activeX/activeX43.bin" ContentType="application/vnd.ms-office.activeX"/>
  <Override PartName="/xl/queryTables/queryTable59.xml" ContentType="application/vnd.openxmlformats-officedocument.spreadsheetml.queryTable+xml"/>
  <Override PartName="/xl/activeX/activeX88.xml" ContentType="application/vnd.ms-office.activeX+xml"/>
  <Override PartName="/xl/activeX/activeX90.bin" ContentType="application/vnd.ms-office.activeX"/>
  <Override PartName="/xl/activeX/activeX19.xml" ContentType="application/vnd.ms-office.activeX+xml"/>
  <Override PartName="/xl/queryTables/queryTable37.xml" ContentType="application/vnd.openxmlformats-officedocument.spreadsheetml.queryTable+xml"/>
  <Override PartName="/xl/queryTables/queryTable84.xml" ContentType="application/vnd.openxmlformats-officedocument.spreadsheetml.queryTable+xml"/>
  <Override PartName="/xl/queryTables/queryTable128.xml" ContentType="application/vnd.openxmlformats-officedocument.spreadsheetml.queryTable+xml"/>
  <Override PartName="/xl/activeX/activeX66.xml" ContentType="application/vnd.ms-office.activeX+xml"/>
  <Override PartName="/xl/queryTables/queryTable175.xml" ContentType="application/vnd.openxmlformats-officedocument.spreadsheetml.queryTable+xml"/>
  <Override PartName="/xl/activeX/activeX21.bin" ContentType="application/vnd.ms-office.activeX"/>
  <Override PartName="/xl/queryTables/queryTable106.xml" ContentType="application/vnd.openxmlformats-officedocument.spreadsheetml.queryTable+xml"/>
  <Override PartName="/xl/queryTables/queryTable153.xml" ContentType="application/vnd.openxmlformats-officedocument.spreadsheetml.queryTable+xml"/>
  <Override PartName="/xl/activeX/activeX44.xml" ContentType="application/vnd.ms-office.activeX+xml"/>
  <Override PartName="/xl/queryTables/queryTable15.xml" ContentType="application/vnd.openxmlformats-officedocument.spreadsheetml.queryTable+xml"/>
  <Override PartName="/xl/queryTables/queryTable62.xml" ContentType="application/vnd.openxmlformats-officedocument.spreadsheetml.queryTable+xml"/>
  <Override PartName="/xl/drawings/drawing2.xml" ContentType="application/vnd.openxmlformats-officedocument.drawing+xml"/>
  <Override PartName="/xl/activeX/activeX91.xml" ContentType="application/vnd.ms-office.activeX+xml"/>
  <Override PartName="/xl/worksheets/sheet3.xml" ContentType="application/vnd.openxmlformats-officedocument.spreadsheetml.worksheet+xml"/>
  <Override PartName="/xl/activeX/activeX22.xml" ContentType="application/vnd.ms-office.activeX+xml"/>
  <Override PartName="/xl/queryTables/queryTable40.xml" ContentType="application/vnd.openxmlformats-officedocument.spreadsheetml.queryTable+xml"/>
  <Override PartName="/xl/queryTables/queryTable131.xml" ContentType="application/vnd.openxmlformats-officedocument.spreadsheetml.queryTable+xml"/>
  <Override PartName="/xl/activeX/activeX9.bin" ContentType="application/vnd.ms-office.activeX"/>
  <Override PartName="/xl/activeX/activeX59.bin" ContentType="application/vnd.ms-office.activeX"/>
  <Override PartName="/xl/queryTables/queryTable8.xml" ContentType="application/vnd.openxmlformats-officedocument.spreadsheetml.queryTable+xml"/>
  <Override PartName="/xl/worksheets/sheet18.xml" ContentType="application/vnd.openxmlformats-officedocument.spreadsheetml.worksheet+xml"/>
  <Override PartName="/xl/activeX/activeX37.bin" ContentType="application/vnd.ms-office.activeX"/>
  <Override PartName="/xl/charts/chart9.xml" ContentType="application/vnd.openxmlformats-officedocument.drawingml.chart+xml"/>
  <Override PartName="/xl/activeX/activeX84.bin" ContentType="application/vnd.ms-office.activeX"/>
  <Override PartName="/xl/queryTables/queryTable169.xml" ContentType="application/vnd.openxmlformats-officedocument.spreadsheetml.queryTable+xml"/>
  <Override PartName="/xl/charts/colors1.xml" ContentType="application/vnd.ms-office.chartcolorstyle+xml"/>
  <Override PartName="/xl/activeX/activeX15.bin" ContentType="application/vnd.ms-office.activeX"/>
  <Override PartName="/xl/activeX/activeX62.bin" ContentType="application/vnd.ms-office.activeX"/>
  <Override PartName="/xl/queryTables/queryTable78.xml" ContentType="application/vnd.openxmlformats-officedocument.spreadsheetml.queryTable+xml"/>
  <Override PartName="/xl/activeX/activeX38.xml" ContentType="application/vnd.ms-office.activeX+xml"/>
  <Override PartName="/xl/queryTables/queryTable56.xml" ContentType="application/vnd.openxmlformats-officedocument.spreadsheetml.queryTable+xml"/>
  <Override PartName="/xl/activeX/activeX85.xml" ContentType="application/vnd.ms-office.activeX+xml"/>
  <Override PartName="/xl/queryTables/queryTable147.xml" ContentType="application/vnd.openxmlformats-officedocument.spreadsheetml.queryTable+xml"/>
  <Override PartName="/xl/queryTables/queryTable194.xml" ContentType="application/vnd.openxmlformats-officedocument.spreadsheetml.queryTable+xml"/>
  <Override PartName="/xl/worksheets/sheet21.xml" ContentType="application/vnd.openxmlformats-officedocument.spreadsheetml.worksheet+xml"/>
  <Override PartName="/xl/activeX/activeX40.bin" ContentType="application/vnd.ms-office.activeX"/>
  <Override PartName="/xl/queryTables/queryTable125.xml" ContentType="application/vnd.openxmlformats-officedocument.spreadsheetml.queryTable+xml"/>
  <Override PartName="/xl/queryTables/queryTable172.xml" ContentType="application/vnd.openxmlformats-officedocument.spreadsheetml.queryTable+xml"/>
  <Override PartName="/xl/activeX/activeX16.xml" ContentType="application/vnd.ms-office.activeX+xml"/>
  <Override PartName="/xl/activeX/activeX63.xml" ContentType="application/vnd.ms-office.activeX+xml"/>
  <Override PartName="/xl/queryTables/queryTable34.xml" ContentType="application/vnd.openxmlformats-officedocument.spreadsheetml.queryTable+xml"/>
  <Override PartName="/xl/queryTables/queryTable81.xml" ContentType="application/vnd.openxmlformats-officedocument.spreadsheetml.queryTable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6" rupBuild="4507" codeName="{B7FE6334-C1A2-E50D-BD3D-5F4D41BBC2E3}"/>
  <workbookPr codeName="ThisWorkbook" defaultThemeVersion="124226"/>
  <bookViews>
    <workbookView xWindow="0" yWindow="0" windowWidth="19200" windowHeight="6855" tabRatio="853" activeTab="4"/>
  </bookViews>
  <sheets>
    <sheet name="基本設定" sheetId="4" r:id="rId1"/>
    <sheet name="收盤價" sheetId="15" r:id="rId2"/>
    <sheet name="紅綠燈" sheetId="1" r:id="rId3"/>
    <sheet name="個股檢查表" sheetId="22" r:id="rId4"/>
    <sheet name="評比系統" sheetId="2" r:id="rId5"/>
    <sheet name="篩股系統" sheetId="5" r:id="rId6"/>
    <sheet name="財報PK" sheetId="7" r:id="rId7"/>
    <sheet name="營收搶先報" sheetId="13" r:id="rId8"/>
    <sheet name="PSR" sheetId="3" r:id="rId9"/>
    <sheet name="RPS" sheetId="17" r:id="rId10"/>
    <sheet name="葛林公式" sheetId="19" r:id="rId11"/>
    <sheet name="重訊追蹤" sheetId="16" r:id="rId12"/>
    <sheet name="篩穀結果" sheetId="6" r:id="rId13"/>
    <sheet name="季財報" sheetId="18" r:id="rId14"/>
    <sheet name="PK" sheetId="8" r:id="rId15"/>
    <sheet name="PKA" sheetId="9" r:id="rId16"/>
    <sheet name="PKB" sheetId="10" r:id="rId17"/>
    <sheet name="PKC" sheetId="11" r:id="rId18"/>
    <sheet name="福邦" sheetId="14" r:id="rId19"/>
    <sheet name="IS" sheetId="20" r:id="rId20"/>
    <sheet name="BS" sheetId="21" r:id="rId21"/>
  </sheets>
  <definedNames>
    <definedName name="_xlnm._FilterDatabase" localSheetId="8" hidden="1">PSR!$A$1:$J$1481</definedName>
    <definedName name="_xlnm._FilterDatabase" localSheetId="13" hidden="1">季財報!$A$1:$H$1514</definedName>
    <definedName name="_xlnm._FilterDatabase" localSheetId="10" hidden="1">葛林公式!$A$1:$M$1519</definedName>
    <definedName name="_xlnm._FilterDatabase" localSheetId="12" hidden="1">篩穀結果!$A$1:$AC$1544</definedName>
    <definedName name="_xlnm._FilterDatabase" localSheetId="7" hidden="1">營收搶先報!$A$1:$K$7824</definedName>
    <definedName name="EE" localSheetId="2">紅綠燈!#REF!</definedName>
    <definedName name="外部資料_1" localSheetId="15">PKA!#REF!</definedName>
    <definedName name="外部資料_1" localSheetId="16">PKB!#REF!</definedName>
    <definedName name="外部資料_1" localSheetId="17">PKC!#REF!</definedName>
    <definedName name="外部資料_1" localSheetId="8">PSR!#REF!</definedName>
    <definedName name="外部資料_1" localSheetId="2">紅綠燈!#REF!</definedName>
    <definedName name="外部資料_1" localSheetId="4">評比系統!#REF!</definedName>
    <definedName name="外部資料_1" localSheetId="18">福邦!#REF!</definedName>
    <definedName name="外部資料_1" localSheetId="5">篩股系統!#REF!</definedName>
    <definedName name="外部資料_1" localSheetId="7">營收搶先報!#REF!</definedName>
    <definedName name="外部資料_10" localSheetId="15">PKA!#REF!</definedName>
    <definedName name="外部資料_10" localSheetId="16">PKB!#REF!</definedName>
    <definedName name="外部資料_10" localSheetId="17">PKC!#REF!</definedName>
    <definedName name="外部資料_10" localSheetId="8">PSR!#REF!</definedName>
    <definedName name="外部資料_10" localSheetId="2">紅綠燈!#REF!</definedName>
    <definedName name="外部資料_10" localSheetId="4">評比系統!#REF!</definedName>
    <definedName name="外部資料_10" localSheetId="18">福邦!#REF!</definedName>
    <definedName name="外部資料_10" localSheetId="5">篩股系統!#REF!</definedName>
    <definedName name="外部資料_10" localSheetId="7">營收搶先報!#REF!</definedName>
    <definedName name="外部資料_100" localSheetId="15">PKA!#REF!</definedName>
    <definedName name="外部資料_100" localSheetId="16">PKB!#REF!</definedName>
    <definedName name="外部資料_100" localSheetId="17">PKC!#REF!</definedName>
    <definedName name="外部資料_100" localSheetId="8">PSR!#REF!</definedName>
    <definedName name="外部資料_100" localSheetId="2">紅綠燈!#REF!</definedName>
    <definedName name="外部資料_100" localSheetId="4">評比系統!#REF!</definedName>
    <definedName name="外部資料_100" localSheetId="18">福邦!#REF!</definedName>
    <definedName name="外部資料_100" localSheetId="7">營收搶先報!#REF!</definedName>
    <definedName name="外部資料_1000" localSheetId="2">紅綠燈!#REF!</definedName>
    <definedName name="外部資料_1001" localSheetId="2">紅綠燈!#REF!</definedName>
    <definedName name="外部資料_1003" localSheetId="2">紅綠燈!#REF!</definedName>
    <definedName name="外部資料_1004" localSheetId="2">紅綠燈!#REF!</definedName>
    <definedName name="外部資料_1005" localSheetId="2">紅綠燈!#REF!</definedName>
    <definedName name="外部資料_1007" localSheetId="2">紅綠燈!#REF!</definedName>
    <definedName name="外部資料_1008" localSheetId="2">紅綠燈!#REF!</definedName>
    <definedName name="外部資料_1009" localSheetId="2">紅綠燈!#REF!</definedName>
    <definedName name="外部資料_101" localSheetId="15">PKA!#REF!</definedName>
    <definedName name="外部資料_101" localSheetId="16">PKB!#REF!</definedName>
    <definedName name="外部資料_101" localSheetId="17">PKC!#REF!</definedName>
    <definedName name="外部資料_101" localSheetId="8">PSR!#REF!</definedName>
    <definedName name="外部資料_101" localSheetId="4">評比系統!$T$1:$T$3</definedName>
    <definedName name="外部資料_101" localSheetId="18">福邦!#REF!</definedName>
    <definedName name="外部資料_101" localSheetId="7">營收搶先報!#REF!</definedName>
    <definedName name="外部資料_1011" localSheetId="2">紅綠燈!#REF!</definedName>
    <definedName name="外部資料_1012" localSheetId="2">紅綠燈!#REF!</definedName>
    <definedName name="外部資料_1013" localSheetId="2">紅綠燈!#REF!</definedName>
    <definedName name="外部資料_1015" localSheetId="2">紅綠燈!#REF!</definedName>
    <definedName name="外部資料_1016" localSheetId="2">紅綠燈!#REF!</definedName>
    <definedName name="外部資料_1017" localSheetId="2">紅綠燈!#REF!</definedName>
    <definedName name="外部資料_1019" localSheetId="2">紅綠燈!#REF!</definedName>
    <definedName name="外部資料_102" localSheetId="15">PKA!#REF!</definedName>
    <definedName name="外部資料_102" localSheetId="16">PKB!#REF!</definedName>
    <definedName name="外部資料_102" localSheetId="17">PKC!#REF!</definedName>
    <definedName name="外部資料_102" localSheetId="8">PSR!#REF!</definedName>
    <definedName name="外部資料_102" localSheetId="4">評比系統!$T$1:$T$3</definedName>
    <definedName name="外部資料_102" localSheetId="18">福邦!#REF!</definedName>
    <definedName name="外部資料_102" localSheetId="7">營收搶先報!#REF!</definedName>
    <definedName name="外部資料_1020" localSheetId="2">紅綠燈!#REF!</definedName>
    <definedName name="外部資料_1021" localSheetId="2">紅綠燈!#REF!</definedName>
    <definedName name="外部資料_1023" localSheetId="2">紅綠燈!#REF!</definedName>
    <definedName name="外部資料_1024" localSheetId="2">紅綠燈!#REF!</definedName>
    <definedName name="外部資料_1025" localSheetId="2">紅綠燈!#REF!</definedName>
    <definedName name="外部資料_1027" localSheetId="2">紅綠燈!#REF!</definedName>
    <definedName name="外部資料_1028" localSheetId="2">紅綠燈!#REF!</definedName>
    <definedName name="外部資料_1029" localSheetId="2">紅綠燈!#REF!</definedName>
    <definedName name="外部資料_103" localSheetId="15">PKA!#REF!</definedName>
    <definedName name="外部資料_103" localSheetId="16">PKB!#REF!</definedName>
    <definedName name="外部資料_103" localSheetId="17">PKC!#REF!</definedName>
    <definedName name="外部資料_103" localSheetId="8">PSR!#REF!</definedName>
    <definedName name="外部資料_103" localSheetId="4">評比系統!$T$1:$T$3</definedName>
    <definedName name="外部資料_103" localSheetId="18">福邦!#REF!</definedName>
    <definedName name="外部資料_103" localSheetId="7">營收搶先報!#REF!</definedName>
    <definedName name="外部資料_1031" localSheetId="2">紅綠燈!#REF!</definedName>
    <definedName name="外部資料_1032" localSheetId="2">紅綠燈!#REF!</definedName>
    <definedName name="外部資料_1033" localSheetId="2">紅綠燈!#REF!</definedName>
    <definedName name="外部資料_1035" localSheetId="2">紅綠燈!#REF!</definedName>
    <definedName name="外部資料_1036" localSheetId="2">紅綠燈!#REF!</definedName>
    <definedName name="外部資料_1037" localSheetId="2">紅綠燈!#REF!</definedName>
    <definedName name="外部資料_1039" localSheetId="2">紅綠燈!#REF!</definedName>
    <definedName name="外部資料_104" localSheetId="15">PKA!#REF!</definedName>
    <definedName name="外部資料_104" localSheetId="16">PKB!#REF!</definedName>
    <definedName name="外部資料_104" localSheetId="17">PKC!#REF!</definedName>
    <definedName name="外部資料_104" localSheetId="8">PSR!#REF!</definedName>
    <definedName name="外部資料_104" localSheetId="4">評比系統!$T$1:$T$3</definedName>
    <definedName name="外部資料_104" localSheetId="18">福邦!#REF!</definedName>
    <definedName name="外部資料_104" localSheetId="7">營收搶先報!#REF!</definedName>
    <definedName name="外部資料_1040" localSheetId="2">紅綠燈!#REF!</definedName>
    <definedName name="外部資料_1041" localSheetId="2">紅綠燈!#REF!</definedName>
    <definedName name="外部資料_1043" localSheetId="2">紅綠燈!#REF!</definedName>
    <definedName name="外部資料_1044" localSheetId="2">紅綠燈!#REF!</definedName>
    <definedName name="外部資料_1045" localSheetId="2">紅綠燈!#REF!</definedName>
    <definedName name="外部資料_1047" localSheetId="2">紅綠燈!#REF!</definedName>
    <definedName name="外部資料_1048" localSheetId="2">紅綠燈!#REF!</definedName>
    <definedName name="外部資料_1049" localSheetId="2">紅綠燈!#REF!</definedName>
    <definedName name="外部資料_105" localSheetId="15">PKA!#REF!</definedName>
    <definedName name="外部資料_105" localSheetId="16">PKB!#REF!</definedName>
    <definedName name="外部資料_105" localSheetId="17">PKC!#REF!</definedName>
    <definedName name="外部資料_105" localSheetId="8">PSR!#REF!</definedName>
    <definedName name="外部資料_105" localSheetId="4">評比系統!$T$1:$T$3</definedName>
    <definedName name="外部資料_105" localSheetId="18">福邦!#REF!</definedName>
    <definedName name="外部資料_105" localSheetId="7">營收搶先報!#REF!</definedName>
    <definedName name="外部資料_1051" localSheetId="2">紅綠燈!#REF!</definedName>
    <definedName name="外部資料_1052" localSheetId="2">紅綠燈!#REF!</definedName>
    <definedName name="外部資料_1053" localSheetId="2">紅綠燈!#REF!</definedName>
    <definedName name="外部資料_1055" localSheetId="2">紅綠燈!#REF!</definedName>
    <definedName name="外部資料_1056" localSheetId="2">紅綠燈!#REF!</definedName>
    <definedName name="外部資料_1057" localSheetId="2">紅綠燈!#REF!</definedName>
    <definedName name="外部資料_1059" localSheetId="2">紅綠燈!#REF!</definedName>
    <definedName name="外部資料_106" localSheetId="15">PKA!#REF!</definedName>
    <definedName name="外部資料_106" localSheetId="16">PKB!#REF!</definedName>
    <definedName name="外部資料_106" localSheetId="17">PKC!#REF!</definedName>
    <definedName name="外部資料_106" localSheetId="8">PSR!#REF!</definedName>
    <definedName name="外部資料_106" localSheetId="4">評比系統!$T$1:$T$3</definedName>
    <definedName name="外部資料_106" localSheetId="18">福邦!#REF!</definedName>
    <definedName name="外部資料_106" localSheetId="7">營收搶先報!#REF!</definedName>
    <definedName name="外部資料_1060" localSheetId="2">紅綠燈!#REF!</definedName>
    <definedName name="外部資料_1061" localSheetId="2">紅綠燈!#REF!</definedName>
    <definedName name="外部資料_1063" localSheetId="2">紅綠燈!#REF!</definedName>
    <definedName name="外部資料_1064" localSheetId="2">紅綠燈!#REF!</definedName>
    <definedName name="外部資料_1065" localSheetId="2">紅綠燈!#REF!</definedName>
    <definedName name="外部資料_1067" localSheetId="2">紅綠燈!#REF!</definedName>
    <definedName name="外部資料_1068" localSheetId="2">紅綠燈!#REF!</definedName>
    <definedName name="外部資料_1069" localSheetId="2">紅綠燈!#REF!</definedName>
    <definedName name="外部資料_107" localSheetId="15">PKA!#REF!</definedName>
    <definedName name="外部資料_107" localSheetId="16">PKB!#REF!</definedName>
    <definedName name="外部資料_107" localSheetId="17">PKC!#REF!</definedName>
    <definedName name="外部資料_107" localSheetId="8">PSR!#REF!</definedName>
    <definedName name="外部資料_107" localSheetId="4">評比系統!$T$1:$T$3</definedName>
    <definedName name="外部資料_107" localSheetId="18">福邦!#REF!</definedName>
    <definedName name="外部資料_107" localSheetId="7">營收搶先報!#REF!</definedName>
    <definedName name="外部資料_1071" localSheetId="2">紅綠燈!#REF!</definedName>
    <definedName name="外部資料_1072" localSheetId="2">紅綠燈!#REF!</definedName>
    <definedName name="外部資料_1073" localSheetId="2">紅綠燈!#REF!</definedName>
    <definedName name="外部資料_1075" localSheetId="2">紅綠燈!#REF!</definedName>
    <definedName name="外部資料_1076" localSheetId="2">紅綠燈!#REF!</definedName>
    <definedName name="外部資料_1077" localSheetId="2">紅綠燈!#REF!</definedName>
    <definedName name="外部資料_1079" localSheetId="2">紅綠燈!#REF!</definedName>
    <definedName name="外部資料_108" localSheetId="15">PKA!#REF!</definedName>
    <definedName name="外部資料_108" localSheetId="16">PKB!#REF!</definedName>
    <definedName name="外部資料_108" localSheetId="17">PKC!#REF!</definedName>
    <definedName name="外部資料_108" localSheetId="8">PSR!#REF!</definedName>
    <definedName name="外部資料_108" localSheetId="4">評比系統!$T$1:$T$3</definedName>
    <definedName name="外部資料_108" localSheetId="18">福邦!#REF!</definedName>
    <definedName name="外部資料_108" localSheetId="7">營收搶先報!#REF!</definedName>
    <definedName name="外部資料_1080" localSheetId="2">紅綠燈!#REF!</definedName>
    <definedName name="外部資料_1081" localSheetId="2">紅綠燈!#REF!</definedName>
    <definedName name="外部資料_1083" localSheetId="2">紅綠燈!#REF!</definedName>
    <definedName name="外部資料_1084" localSheetId="2">紅綠燈!#REF!</definedName>
    <definedName name="外部資料_1085" localSheetId="2">紅綠燈!#REF!</definedName>
    <definedName name="外部資料_1087" localSheetId="2">紅綠燈!#REF!</definedName>
    <definedName name="外部資料_1088" localSheetId="2">紅綠燈!#REF!</definedName>
    <definedName name="外部資料_1089" localSheetId="2">紅綠燈!#REF!</definedName>
    <definedName name="外部資料_109" localSheetId="15">PKA!#REF!</definedName>
    <definedName name="外部資料_109" localSheetId="16">PKB!#REF!</definedName>
    <definedName name="外部資料_109" localSheetId="17">PKC!#REF!</definedName>
    <definedName name="外部資料_109" localSheetId="8">PSR!#REF!</definedName>
    <definedName name="外部資料_109" localSheetId="4">評比系統!$T$1:$T$3</definedName>
    <definedName name="外部資料_109" localSheetId="18">福邦!#REF!</definedName>
    <definedName name="外部資料_109" localSheetId="7">營收搶先報!#REF!</definedName>
    <definedName name="外部資料_1091" localSheetId="2">紅綠燈!#REF!</definedName>
    <definedName name="外部資料_1092" localSheetId="2">紅綠燈!#REF!</definedName>
    <definedName name="外部資料_1093" localSheetId="2">紅綠燈!#REF!</definedName>
    <definedName name="外部資料_1095" localSheetId="2">紅綠燈!#REF!</definedName>
    <definedName name="外部資料_1096" localSheetId="2">紅綠燈!#REF!</definedName>
    <definedName name="外部資料_1097" localSheetId="2">紅綠燈!#REF!</definedName>
    <definedName name="外部資料_1099" localSheetId="2">紅綠燈!#REF!</definedName>
    <definedName name="外部資料_11" localSheetId="15">PKA!#REF!</definedName>
    <definedName name="外部資料_11" localSheetId="16">PKB!#REF!</definedName>
    <definedName name="外部資料_11" localSheetId="17">PKC!#REF!</definedName>
    <definedName name="外部資料_11" localSheetId="8">PSR!#REF!</definedName>
    <definedName name="外部資料_11" localSheetId="2">紅綠燈!#REF!</definedName>
    <definedName name="外部資料_11" localSheetId="4">評比系統!#REF!</definedName>
    <definedName name="外部資料_11" localSheetId="18">福邦!#REF!</definedName>
    <definedName name="外部資料_11" localSheetId="5">篩股系統!#REF!</definedName>
    <definedName name="外部資料_11" localSheetId="7">營收搶先報!#REF!</definedName>
    <definedName name="外部資料_110" localSheetId="15">PKA!#REF!</definedName>
    <definedName name="外部資料_110" localSheetId="16">PKB!#REF!</definedName>
    <definedName name="外部資料_110" localSheetId="17">PKC!#REF!</definedName>
    <definedName name="外部資料_110" localSheetId="8">PSR!#REF!</definedName>
    <definedName name="外部資料_110" localSheetId="4">評比系統!$T$1:$T$3</definedName>
    <definedName name="外部資料_110" localSheetId="18">福邦!#REF!</definedName>
    <definedName name="外部資料_110" localSheetId="7">營收搶先報!#REF!</definedName>
    <definedName name="外部資料_1100" localSheetId="2">紅綠燈!#REF!</definedName>
    <definedName name="外部資料_1101" localSheetId="2">紅綠燈!#REF!</definedName>
    <definedName name="外部資料_1103" localSheetId="2">紅綠燈!#REF!</definedName>
    <definedName name="外部資料_1104" localSheetId="2">紅綠燈!#REF!</definedName>
    <definedName name="外部資料_1105" localSheetId="2">紅綠燈!#REF!</definedName>
    <definedName name="外部資料_1107" localSheetId="2">紅綠燈!#REF!</definedName>
    <definedName name="外部資料_1108" localSheetId="2">紅綠燈!#REF!</definedName>
    <definedName name="外部資料_1109" localSheetId="2">紅綠燈!#REF!</definedName>
    <definedName name="外部資料_111" localSheetId="15">PKA!#REF!</definedName>
    <definedName name="外部資料_111" localSheetId="16">PKB!#REF!</definedName>
    <definedName name="外部資料_111" localSheetId="17">PKC!#REF!</definedName>
    <definedName name="外部資料_111" localSheetId="8">PSR!#REF!</definedName>
    <definedName name="外部資料_111" localSheetId="4">評比系統!$T$1:$T$3</definedName>
    <definedName name="外部資料_111" localSheetId="18">福邦!#REF!</definedName>
    <definedName name="外部資料_111" localSheetId="7">營收搶先報!#REF!</definedName>
    <definedName name="外部資料_1111" localSheetId="2">紅綠燈!#REF!</definedName>
    <definedName name="外部資料_1112" localSheetId="2">紅綠燈!#REF!</definedName>
    <definedName name="外部資料_1113" localSheetId="2">紅綠燈!#REF!</definedName>
    <definedName name="外部資料_1115" localSheetId="2">紅綠燈!#REF!</definedName>
    <definedName name="外部資料_1116" localSheetId="2">紅綠燈!#REF!</definedName>
    <definedName name="外部資料_1117" localSheetId="2">紅綠燈!#REF!</definedName>
    <definedName name="外部資料_1119" localSheetId="2">紅綠燈!#REF!</definedName>
    <definedName name="外部資料_112" localSheetId="15">PKA!#REF!</definedName>
    <definedName name="外部資料_112" localSheetId="16">PKB!#REF!</definedName>
    <definedName name="外部資料_112" localSheetId="17">PKC!#REF!</definedName>
    <definedName name="外部資料_112" localSheetId="8">PSR!#REF!</definedName>
    <definedName name="外部資料_112" localSheetId="4">評比系統!$T$1:$T$3</definedName>
    <definedName name="外部資料_112" localSheetId="18">福邦!#REF!</definedName>
    <definedName name="外部資料_112" localSheetId="7">營收搶先報!#REF!</definedName>
    <definedName name="外部資料_1120" localSheetId="2">紅綠燈!#REF!</definedName>
    <definedName name="外部資料_1121" localSheetId="2">紅綠燈!#REF!</definedName>
    <definedName name="外部資料_1123" localSheetId="2">紅綠燈!#REF!</definedName>
    <definedName name="外部資料_1124" localSheetId="2">紅綠燈!#REF!</definedName>
    <definedName name="外部資料_1125" localSheetId="2">紅綠燈!#REF!</definedName>
    <definedName name="外部資料_1127" localSheetId="2">紅綠燈!#REF!</definedName>
    <definedName name="外部資料_1128" localSheetId="2">紅綠燈!#REF!</definedName>
    <definedName name="外部資料_1129" localSheetId="2">紅綠燈!#REF!</definedName>
    <definedName name="外部資料_113" localSheetId="15">PKA!#REF!</definedName>
    <definedName name="外部資料_113" localSheetId="16">PKB!#REF!</definedName>
    <definedName name="外部資料_113" localSheetId="17">PKC!#REF!</definedName>
    <definedName name="外部資料_113" localSheetId="8">PSR!#REF!</definedName>
    <definedName name="外部資料_113" localSheetId="4">評比系統!$T$1:$T$3</definedName>
    <definedName name="外部資料_113" localSheetId="18">福邦!#REF!</definedName>
    <definedName name="外部資料_113" localSheetId="7">營收搶先報!#REF!</definedName>
    <definedName name="外部資料_1131" localSheetId="2">紅綠燈!#REF!</definedName>
    <definedName name="外部資料_1132" localSheetId="2">紅綠燈!#REF!</definedName>
    <definedName name="外部資料_1134" localSheetId="2">紅綠燈!#REF!</definedName>
    <definedName name="外部資料_1135" localSheetId="2">紅綠燈!#REF!</definedName>
    <definedName name="外部資料_1136" localSheetId="2">紅綠燈!#REF!</definedName>
    <definedName name="外部資料_1138" localSheetId="2">紅綠燈!#REF!</definedName>
    <definedName name="外部資料_1139" localSheetId="2">紅綠燈!#REF!</definedName>
    <definedName name="外部資料_114" localSheetId="15">PKA!#REF!</definedName>
    <definedName name="外部資料_114" localSheetId="16">PKB!#REF!</definedName>
    <definedName name="外部資料_114" localSheetId="17">PKC!#REF!</definedName>
    <definedName name="外部資料_114" localSheetId="8">PSR!#REF!</definedName>
    <definedName name="外部資料_114" localSheetId="4">評比系統!$T$1:$T$3</definedName>
    <definedName name="外部資料_114" localSheetId="18">福邦!#REF!</definedName>
    <definedName name="外部資料_114" localSheetId="7">營收搶先報!#REF!</definedName>
    <definedName name="外部資料_1140" localSheetId="2">紅綠燈!#REF!</definedName>
    <definedName name="外部資料_1142" localSheetId="2">紅綠燈!#REF!</definedName>
    <definedName name="外部資料_1143" localSheetId="2">紅綠燈!#REF!</definedName>
    <definedName name="外部資料_1144" localSheetId="2">紅綠燈!#REF!</definedName>
    <definedName name="外部資料_1146" localSheetId="2">紅綠燈!#REF!</definedName>
    <definedName name="外部資料_1147" localSheetId="2">紅綠燈!#REF!</definedName>
    <definedName name="外部資料_1148" localSheetId="2">紅綠燈!#REF!</definedName>
    <definedName name="外部資料_115" localSheetId="15">PKA!#REF!</definedName>
    <definedName name="外部資料_115" localSheetId="16">PKB!#REF!</definedName>
    <definedName name="外部資料_115" localSheetId="17">PKC!#REF!</definedName>
    <definedName name="外部資料_115" localSheetId="8">PSR!#REF!</definedName>
    <definedName name="外部資料_115" localSheetId="4">評比系統!$T$1:$T$3</definedName>
    <definedName name="外部資料_115" localSheetId="18">福邦!#REF!</definedName>
    <definedName name="外部資料_115" localSheetId="7">營收搶先報!#REF!</definedName>
    <definedName name="外部資料_1150" localSheetId="2">紅綠燈!#REF!</definedName>
    <definedName name="外部資料_1151" localSheetId="2">紅綠燈!#REF!</definedName>
    <definedName name="外部資料_1152" localSheetId="2">紅綠燈!#REF!</definedName>
    <definedName name="外部資料_1154" localSheetId="2">紅綠燈!#REF!</definedName>
    <definedName name="外部資料_1155" localSheetId="2">紅綠燈!#REF!</definedName>
    <definedName name="外部資料_1156" localSheetId="2">紅綠燈!#REF!</definedName>
    <definedName name="外部資料_1158" localSheetId="2">紅綠燈!#REF!</definedName>
    <definedName name="外部資料_1159" localSheetId="2">紅綠燈!#REF!</definedName>
    <definedName name="外部資料_116" localSheetId="15">PKA!#REF!</definedName>
    <definedName name="外部資料_116" localSheetId="16">PKB!#REF!</definedName>
    <definedName name="外部資料_116" localSheetId="17">PKC!#REF!</definedName>
    <definedName name="外部資料_116" localSheetId="8">PSR!#REF!</definedName>
    <definedName name="外部資料_116" localSheetId="4">評比系統!$T$1:$T$3</definedName>
    <definedName name="外部資料_116" localSheetId="18">福邦!#REF!</definedName>
    <definedName name="外部資料_116" localSheetId="7">營收搶先報!#REF!</definedName>
    <definedName name="外部資料_1160" localSheetId="2">紅綠燈!#REF!</definedName>
    <definedName name="外部資料_1162" localSheetId="2">紅綠燈!#REF!</definedName>
    <definedName name="外部資料_1163" localSheetId="2">紅綠燈!#REF!</definedName>
    <definedName name="外部資料_1164" localSheetId="2">紅綠燈!#REF!</definedName>
    <definedName name="外部資料_1166" localSheetId="2">紅綠燈!#REF!</definedName>
    <definedName name="外部資料_1167" localSheetId="2">紅綠燈!#REF!</definedName>
    <definedName name="外部資料_1168" localSheetId="2">紅綠燈!#REF!</definedName>
    <definedName name="外部資料_117" localSheetId="15">PKA!#REF!</definedName>
    <definedName name="外部資料_117" localSheetId="16">PKB!#REF!</definedName>
    <definedName name="外部資料_117" localSheetId="17">PKC!#REF!</definedName>
    <definedName name="外部資料_117" localSheetId="8">PSR!#REF!</definedName>
    <definedName name="外部資料_117" localSheetId="4">評比系統!$T$1:$T$3</definedName>
    <definedName name="外部資料_117" localSheetId="18">福邦!#REF!</definedName>
    <definedName name="外部資料_117" localSheetId="7">營收搶先報!#REF!</definedName>
    <definedName name="外部資料_1170" localSheetId="2">紅綠燈!#REF!</definedName>
    <definedName name="外部資料_1171" localSheetId="2">紅綠燈!#REF!</definedName>
    <definedName name="外部資料_1172" localSheetId="2">紅綠燈!#REF!</definedName>
    <definedName name="外部資料_1174" localSheetId="2">紅綠燈!#REF!</definedName>
    <definedName name="外部資料_1175" localSheetId="2">紅綠燈!#REF!</definedName>
    <definedName name="外部資料_1176" localSheetId="2">紅綠燈!#REF!</definedName>
    <definedName name="外部資料_1178" localSheetId="2">紅綠燈!#REF!</definedName>
    <definedName name="外部資料_1179" localSheetId="2">紅綠燈!#REF!</definedName>
    <definedName name="外部資料_118" localSheetId="15">PKA!#REF!</definedName>
    <definedName name="外部資料_118" localSheetId="16">PKB!#REF!</definedName>
    <definedName name="外部資料_118" localSheetId="17">PKC!#REF!</definedName>
    <definedName name="外部資料_118" localSheetId="8">PSR!#REF!</definedName>
    <definedName name="外部資料_118" localSheetId="4">評比系統!$T$1:$T$3</definedName>
    <definedName name="外部資料_118" localSheetId="18">福邦!#REF!</definedName>
    <definedName name="外部資料_118" localSheetId="7">營收搶先報!#REF!</definedName>
    <definedName name="外部資料_1180" localSheetId="2">紅綠燈!#REF!</definedName>
    <definedName name="外部資料_1182" localSheetId="2">紅綠燈!#REF!</definedName>
    <definedName name="外部資料_1183" localSheetId="2">紅綠燈!#REF!</definedName>
    <definedName name="外部資料_1184" localSheetId="2">紅綠燈!#REF!</definedName>
    <definedName name="外部資料_1186" localSheetId="2">紅綠燈!#REF!</definedName>
    <definedName name="外部資料_1187" localSheetId="2">紅綠燈!#REF!</definedName>
    <definedName name="外部資料_1188" localSheetId="2">紅綠燈!#REF!</definedName>
    <definedName name="外部資料_119" localSheetId="15">PKA!#REF!</definedName>
    <definedName name="外部資料_119" localSheetId="16">PKB!#REF!</definedName>
    <definedName name="外部資料_119" localSheetId="17">PKC!#REF!</definedName>
    <definedName name="外部資料_119" localSheetId="8">PSR!#REF!</definedName>
    <definedName name="外部資料_119" localSheetId="4">評比系統!$T$1:$T$3</definedName>
    <definedName name="外部資料_119" localSheetId="18">福邦!#REF!</definedName>
    <definedName name="外部資料_119" localSheetId="5">篩股系統!#REF!</definedName>
    <definedName name="外部資料_119" localSheetId="7">營收搶先報!#REF!</definedName>
    <definedName name="外部資料_1190" localSheetId="2">紅綠燈!#REF!</definedName>
    <definedName name="外部資料_1191" localSheetId="2">紅綠燈!#REF!</definedName>
    <definedName name="外部資料_1192" localSheetId="2">紅綠燈!#REF!</definedName>
    <definedName name="外部資料_1194" localSheetId="2">紅綠燈!#REF!</definedName>
    <definedName name="外部資料_1195" localSheetId="2">紅綠燈!#REF!</definedName>
    <definedName name="外部資料_1196" localSheetId="2">紅綠燈!#REF!</definedName>
    <definedName name="外部資料_1198" localSheetId="2">紅綠燈!#REF!</definedName>
    <definedName name="外部資料_1199" localSheetId="2">紅綠燈!#REF!</definedName>
    <definedName name="外部資料_12" localSheetId="15">PKA!#REF!</definedName>
    <definedName name="外部資料_12" localSheetId="16">PKB!#REF!</definedName>
    <definedName name="外部資料_12" localSheetId="17">PKC!#REF!</definedName>
    <definedName name="外部資料_12" localSheetId="8">PSR!#REF!</definedName>
    <definedName name="外部資料_12" localSheetId="2">紅綠燈!#REF!</definedName>
    <definedName name="外部資料_12" localSheetId="4">評比系統!#REF!</definedName>
    <definedName name="外部資料_12" localSheetId="18">福邦!#REF!</definedName>
    <definedName name="外部資料_12" localSheetId="5">篩股系統!#REF!</definedName>
    <definedName name="外部資料_12" localSheetId="7">營收搶先報!#REF!</definedName>
    <definedName name="外部資料_120" localSheetId="15">PKA!#REF!</definedName>
    <definedName name="外部資料_120" localSheetId="16">PKB!#REF!</definedName>
    <definedName name="外部資料_120" localSheetId="17">PKC!#REF!</definedName>
    <definedName name="外部資料_120" localSheetId="8">PSR!#REF!</definedName>
    <definedName name="外部資料_120" localSheetId="4">評比系統!$T$1:$T$3</definedName>
    <definedName name="外部資料_120" localSheetId="18">福邦!#REF!</definedName>
    <definedName name="外部資料_120" localSheetId="7">營收搶先報!#REF!</definedName>
    <definedName name="外部資料_1200" localSheetId="2">紅綠燈!#REF!</definedName>
    <definedName name="外部資料_1202" localSheetId="2">紅綠燈!#REF!</definedName>
    <definedName name="外部資料_1203" localSheetId="2">紅綠燈!#REF!</definedName>
    <definedName name="外部資料_1204" localSheetId="2">紅綠燈!#REF!</definedName>
    <definedName name="外部資料_1206" localSheetId="2">紅綠燈!#REF!</definedName>
    <definedName name="外部資料_1207" localSheetId="2">紅綠燈!#REF!</definedName>
    <definedName name="外部資料_1209" localSheetId="2">紅綠燈!#REF!</definedName>
    <definedName name="外部資料_121" localSheetId="15">PKA!#REF!</definedName>
    <definedName name="外部資料_121" localSheetId="16">PKB!#REF!</definedName>
    <definedName name="外部資料_121" localSheetId="17">PKC!#REF!</definedName>
    <definedName name="外部資料_121" localSheetId="8">PSR!#REF!</definedName>
    <definedName name="外部資料_121" localSheetId="4">評比系統!$T$1:$T$3</definedName>
    <definedName name="外部資料_121" localSheetId="18">福邦!#REF!</definedName>
    <definedName name="外部資料_121" localSheetId="7">營收搶先報!#REF!</definedName>
    <definedName name="外部資料_1210" localSheetId="2">紅綠燈!#REF!</definedName>
    <definedName name="外部資料_1211" localSheetId="2">紅綠燈!#REF!</definedName>
    <definedName name="外部資料_1213" localSheetId="2">紅綠燈!#REF!</definedName>
    <definedName name="外部資料_1214" localSheetId="2">紅綠燈!#REF!</definedName>
    <definedName name="外部資料_1215" localSheetId="2">紅綠燈!#REF!</definedName>
    <definedName name="外部資料_1217" localSheetId="2">紅綠燈!#REF!</definedName>
    <definedName name="外部資料_1218" localSheetId="2">紅綠燈!#REF!</definedName>
    <definedName name="外部資料_1219" localSheetId="2">紅綠燈!#REF!</definedName>
    <definedName name="外部資料_122" localSheetId="15">PKA!#REF!</definedName>
    <definedName name="外部資料_122" localSheetId="16">PKB!#REF!</definedName>
    <definedName name="外部資料_122" localSheetId="17">PKC!#REF!</definedName>
    <definedName name="外部資料_122" localSheetId="8">PSR!#REF!</definedName>
    <definedName name="外部資料_122" localSheetId="4">評比系統!$T$1:$T$3</definedName>
    <definedName name="外部資料_122" localSheetId="18">福邦!#REF!</definedName>
    <definedName name="外部資料_122" localSheetId="7">營收搶先報!#REF!</definedName>
    <definedName name="外部資料_1221" localSheetId="2">紅綠燈!#REF!</definedName>
    <definedName name="外部資料_1222" localSheetId="2">紅綠燈!#REF!</definedName>
    <definedName name="外部資料_1223" localSheetId="2">紅綠燈!#REF!</definedName>
    <definedName name="外部資料_1225" localSheetId="2">紅綠燈!#REF!</definedName>
    <definedName name="外部資料_1226" localSheetId="2">紅綠燈!#REF!</definedName>
    <definedName name="外部資料_1227" localSheetId="2">紅綠燈!#REF!</definedName>
    <definedName name="外部資料_1229" localSheetId="2">紅綠燈!#REF!</definedName>
    <definedName name="外部資料_123" localSheetId="15">PKA!#REF!</definedName>
    <definedName name="外部資料_123" localSheetId="16">PKB!#REF!</definedName>
    <definedName name="外部資料_123" localSheetId="17">PKC!#REF!</definedName>
    <definedName name="外部資料_123" localSheetId="8">PSR!#REF!</definedName>
    <definedName name="外部資料_123" localSheetId="4">評比系統!$T$1:$T$3</definedName>
    <definedName name="外部資料_123" localSheetId="18">福邦!#REF!</definedName>
    <definedName name="外部資料_123" localSheetId="7">營收搶先報!#REF!</definedName>
    <definedName name="外部資料_1230" localSheetId="2">紅綠燈!#REF!</definedName>
    <definedName name="外部資料_1231" localSheetId="2">紅綠燈!#REF!</definedName>
    <definedName name="外部資料_1233" localSheetId="2">紅綠燈!#REF!</definedName>
    <definedName name="外部資料_1234" localSheetId="2">紅綠燈!#REF!</definedName>
    <definedName name="外部資料_1235" localSheetId="2">紅綠燈!#REF!</definedName>
    <definedName name="外部資料_1237" localSheetId="2">紅綠燈!#REF!</definedName>
    <definedName name="外部資料_1238" localSheetId="2">紅綠燈!#REF!</definedName>
    <definedName name="外部資料_1239" localSheetId="2">紅綠燈!#REF!</definedName>
    <definedName name="外部資料_124" localSheetId="15">PKA!#REF!</definedName>
    <definedName name="外部資料_124" localSheetId="16">PKB!#REF!</definedName>
    <definedName name="外部資料_124" localSheetId="17">PKC!#REF!</definedName>
    <definedName name="外部資料_124" localSheetId="8">PSR!#REF!</definedName>
    <definedName name="外部資料_124" localSheetId="4">評比系統!$T$1:$T$3</definedName>
    <definedName name="外部資料_124" localSheetId="18">福邦!#REF!</definedName>
    <definedName name="外部資料_124" localSheetId="7">營收搶先報!#REF!</definedName>
    <definedName name="外部資料_1241" localSheetId="2">紅綠燈!#REF!</definedName>
    <definedName name="外部資料_1242" localSheetId="2">紅綠燈!#REF!</definedName>
    <definedName name="外部資料_1243" localSheetId="2">紅綠燈!#REF!</definedName>
    <definedName name="外部資料_1245" localSheetId="2">紅綠燈!#REF!</definedName>
    <definedName name="外部資料_1246" localSheetId="2">紅綠燈!#REF!</definedName>
    <definedName name="外部資料_1247" localSheetId="2">紅綠燈!#REF!</definedName>
    <definedName name="外部資料_1249" localSheetId="2">紅綠燈!#REF!</definedName>
    <definedName name="外部資料_125" localSheetId="15">PKA!#REF!</definedName>
    <definedName name="外部資料_125" localSheetId="16">PKB!#REF!</definedName>
    <definedName name="外部資料_125" localSheetId="17">PKC!#REF!</definedName>
    <definedName name="外部資料_125" localSheetId="8">PSR!#REF!</definedName>
    <definedName name="外部資料_125" localSheetId="4">評比系統!$T$1:$T$3</definedName>
    <definedName name="外部資料_125" localSheetId="18">福邦!#REF!</definedName>
    <definedName name="外部資料_125" localSheetId="7">營收搶先報!#REF!</definedName>
    <definedName name="外部資料_1250" localSheetId="2">紅綠燈!#REF!</definedName>
    <definedName name="外部資料_1251" localSheetId="2">紅綠燈!#REF!</definedName>
    <definedName name="外部資料_1253" localSheetId="2">紅綠燈!#REF!</definedName>
    <definedName name="外部資料_1254" localSheetId="2">紅綠燈!#REF!</definedName>
    <definedName name="外部資料_1255" localSheetId="2">紅綠燈!#REF!</definedName>
    <definedName name="外部資料_1257" localSheetId="2">紅綠燈!#REF!</definedName>
    <definedName name="外部資料_1258" localSheetId="2">紅綠燈!#REF!</definedName>
    <definedName name="外部資料_1259" localSheetId="2">紅綠燈!#REF!</definedName>
    <definedName name="外部資料_126" localSheetId="15">PKA!#REF!</definedName>
    <definedName name="外部資料_126" localSheetId="16">PKB!#REF!</definedName>
    <definedName name="外部資料_126" localSheetId="17">PKC!#REF!</definedName>
    <definedName name="外部資料_126" localSheetId="8">PSR!#REF!</definedName>
    <definedName name="外部資料_126" localSheetId="4">評比系統!$T$1:$T$3</definedName>
    <definedName name="外部資料_126" localSheetId="18">福邦!#REF!</definedName>
    <definedName name="外部資料_126" localSheetId="7">營收搶先報!#REF!</definedName>
    <definedName name="外部資料_1261" localSheetId="2">紅綠燈!#REF!</definedName>
    <definedName name="外部資料_1262" localSheetId="2">紅綠燈!#REF!</definedName>
    <definedName name="外部資料_1263" localSheetId="2">紅綠燈!#REF!</definedName>
    <definedName name="外部資料_1265" localSheetId="2">紅綠燈!#REF!</definedName>
    <definedName name="外部資料_1266" localSheetId="2">紅綠燈!#REF!</definedName>
    <definedName name="外部資料_1267" localSheetId="2">紅綠燈!#REF!</definedName>
    <definedName name="外部資料_1269" localSheetId="2">紅綠燈!#REF!</definedName>
    <definedName name="外部資料_127" localSheetId="15">PKA!#REF!</definedName>
    <definedName name="外部資料_127" localSheetId="16">PKB!#REF!</definedName>
    <definedName name="外部資料_127" localSheetId="17">PKC!#REF!</definedName>
    <definedName name="外部資料_127" localSheetId="8">PSR!#REF!</definedName>
    <definedName name="外部資料_127" localSheetId="4">評比系統!$T$1:$T$3</definedName>
    <definedName name="外部資料_127" localSheetId="18">福邦!#REF!</definedName>
    <definedName name="外部資料_127" localSheetId="7">營收搶先報!#REF!</definedName>
    <definedName name="外部資料_1270" localSheetId="2">紅綠燈!#REF!</definedName>
    <definedName name="外部資料_1271" localSheetId="2">紅綠燈!#REF!</definedName>
    <definedName name="外部資料_1273" localSheetId="2">紅綠燈!#REF!</definedName>
    <definedName name="外部資料_1274" localSheetId="2">紅綠燈!#REF!</definedName>
    <definedName name="外部資料_1275" localSheetId="2">紅綠燈!#REF!</definedName>
    <definedName name="外部資料_1277" localSheetId="2">紅綠燈!#REF!</definedName>
    <definedName name="外部資料_1278" localSheetId="2">紅綠燈!#REF!</definedName>
    <definedName name="外部資料_1279" localSheetId="2">紅綠燈!#REF!</definedName>
    <definedName name="外部資料_128" localSheetId="15">PKA!#REF!</definedName>
    <definedName name="外部資料_128" localSheetId="16">PKB!#REF!</definedName>
    <definedName name="外部資料_128" localSheetId="17">PKC!#REF!</definedName>
    <definedName name="外部資料_128" localSheetId="8">PSR!#REF!</definedName>
    <definedName name="外部資料_128" localSheetId="4">評比系統!$T$1:$T$3</definedName>
    <definedName name="外部資料_128" localSheetId="18">福邦!#REF!</definedName>
    <definedName name="外部資料_1281" localSheetId="2">紅綠燈!#REF!</definedName>
    <definedName name="外部資料_1282" localSheetId="2">紅綠燈!#REF!</definedName>
    <definedName name="外部資料_1283" localSheetId="2">紅綠燈!#REF!</definedName>
    <definedName name="外部資料_1285" localSheetId="2">紅綠燈!#REF!</definedName>
    <definedName name="外部資料_1286" localSheetId="2">紅綠燈!#REF!</definedName>
    <definedName name="外部資料_1287" localSheetId="2">紅綠燈!#REF!</definedName>
    <definedName name="外部資料_1289" localSheetId="2">紅綠燈!#REF!</definedName>
    <definedName name="外部資料_129" localSheetId="15">PKA!#REF!</definedName>
    <definedName name="外部資料_129" localSheetId="16">PKB!#REF!</definedName>
    <definedName name="外部資料_129" localSheetId="17">PKC!#REF!</definedName>
    <definedName name="外部資料_129" localSheetId="8">PSR!#REF!</definedName>
    <definedName name="外部資料_129" localSheetId="4">評比系統!$T$1:$T$3</definedName>
    <definedName name="外部資料_129" localSheetId="18">福邦!#REF!</definedName>
    <definedName name="外部資料_129" localSheetId="7">營收搶先報!#REF!</definedName>
    <definedName name="外部資料_1290" localSheetId="2">紅綠燈!#REF!</definedName>
    <definedName name="外部資料_1291" localSheetId="2">紅綠燈!#REF!</definedName>
    <definedName name="外部資料_1293" localSheetId="2">紅綠燈!#REF!</definedName>
    <definedName name="外部資料_1294" localSheetId="2">紅綠燈!#REF!</definedName>
    <definedName name="外部資料_1295" localSheetId="2">紅綠燈!#REF!</definedName>
    <definedName name="外部資料_1297" localSheetId="2">紅綠燈!#REF!</definedName>
    <definedName name="外部資料_1298" localSheetId="2">紅綠燈!#REF!</definedName>
    <definedName name="外部資料_1299" localSheetId="2">紅綠燈!#REF!</definedName>
    <definedName name="外部資料_13" localSheetId="15">PKA!#REF!</definedName>
    <definedName name="外部資料_13" localSheetId="16">PKB!#REF!</definedName>
    <definedName name="外部資料_13" localSheetId="17">PKC!#REF!</definedName>
    <definedName name="外部資料_13" localSheetId="8">PSR!#REF!</definedName>
    <definedName name="外部資料_13" localSheetId="2">紅綠燈!#REF!</definedName>
    <definedName name="外部資料_13" localSheetId="4">評比系統!#REF!</definedName>
    <definedName name="外部資料_13" localSheetId="18">福邦!#REF!</definedName>
    <definedName name="外部資料_13" localSheetId="5">篩股系統!#REF!</definedName>
    <definedName name="外部資料_13" localSheetId="7">營收搶先報!#REF!</definedName>
    <definedName name="外部資料_130" localSheetId="15">PKA!#REF!</definedName>
    <definedName name="外部資料_130" localSheetId="16">PKB!#REF!</definedName>
    <definedName name="外部資料_130" localSheetId="17">PKC!#REF!</definedName>
    <definedName name="外部資料_130" localSheetId="8">PSR!#REF!</definedName>
    <definedName name="外部資料_130" localSheetId="4">評比系統!$T$1:$T$3</definedName>
    <definedName name="外部資料_130" localSheetId="18">福邦!#REF!</definedName>
    <definedName name="外部資料_130" localSheetId="7">營收搶先報!#REF!</definedName>
    <definedName name="外部資料_1301" localSheetId="2">紅綠燈!#REF!</definedName>
    <definedName name="外部資料_1302" localSheetId="2">紅綠燈!#REF!</definedName>
    <definedName name="外部資料_1303" localSheetId="2">紅綠燈!#REF!</definedName>
    <definedName name="外部資料_1305" localSheetId="2">紅綠燈!#REF!</definedName>
    <definedName name="外部資料_1306" localSheetId="2">紅綠燈!#REF!</definedName>
    <definedName name="外部資料_1307" localSheetId="2">紅綠燈!#REF!</definedName>
    <definedName name="外部資料_1309" localSheetId="2">紅綠燈!#REF!</definedName>
    <definedName name="外部資料_131" localSheetId="15">PKA!#REF!</definedName>
    <definedName name="外部資料_131" localSheetId="16">PKB!#REF!</definedName>
    <definedName name="外部資料_131" localSheetId="17">PKC!#REF!</definedName>
    <definedName name="外部資料_131" localSheetId="8">PSR!#REF!</definedName>
    <definedName name="外部資料_131" localSheetId="4">評比系統!$T$1:$T$3</definedName>
    <definedName name="外部資料_131" localSheetId="18">福邦!#REF!</definedName>
    <definedName name="外部資料_131" localSheetId="7">營收搶先報!#REF!</definedName>
    <definedName name="外部資料_1310" localSheetId="2">紅綠燈!#REF!</definedName>
    <definedName name="外部資料_1311" localSheetId="2">紅綠燈!#REF!</definedName>
    <definedName name="外部資料_1313" localSheetId="2">紅綠燈!#REF!</definedName>
    <definedName name="外部資料_1314" localSheetId="2">紅綠燈!#REF!</definedName>
    <definedName name="外部資料_1315" localSheetId="2">紅綠燈!#REF!</definedName>
    <definedName name="外部資料_1317" localSheetId="2">紅綠燈!#REF!</definedName>
    <definedName name="外部資料_1318" localSheetId="2">紅綠燈!#REF!</definedName>
    <definedName name="外部資料_1319" localSheetId="2">紅綠燈!#REF!</definedName>
    <definedName name="外部資料_132" localSheetId="15">PKA!#REF!</definedName>
    <definedName name="外部資料_132" localSheetId="16">PKB!#REF!</definedName>
    <definedName name="外部資料_132" localSheetId="17">PKC!#REF!</definedName>
    <definedName name="外部資料_132" localSheetId="8">PSR!#REF!</definedName>
    <definedName name="外部資料_132" localSheetId="4">評比系統!$T$1:$T$3</definedName>
    <definedName name="外部資料_132" localSheetId="18">福邦!#REF!</definedName>
    <definedName name="外部資料_132" localSheetId="7">營收搶先報!#REF!</definedName>
    <definedName name="外部資料_1321" localSheetId="2">紅綠燈!#REF!</definedName>
    <definedName name="外部資料_1322" localSheetId="2">紅綠燈!#REF!</definedName>
    <definedName name="外部資料_1323" localSheetId="2">紅綠燈!#REF!</definedName>
    <definedName name="外部資料_1325" localSheetId="2">紅綠燈!#REF!</definedName>
    <definedName name="外部資料_1326" localSheetId="2">紅綠燈!#REF!</definedName>
    <definedName name="外部資料_1327" localSheetId="2">紅綠燈!#REF!</definedName>
    <definedName name="外部資料_1329" localSheetId="2">紅綠燈!#REF!</definedName>
    <definedName name="外部資料_133" localSheetId="15">PKA!#REF!</definedName>
    <definedName name="外部資料_133" localSheetId="16">PKB!#REF!</definedName>
    <definedName name="外部資料_133" localSheetId="17">PKC!#REF!</definedName>
    <definedName name="外部資料_133" localSheetId="8">PSR!#REF!</definedName>
    <definedName name="外部資料_133" localSheetId="4">評比系統!$T$1:$T$3</definedName>
    <definedName name="外部資料_133" localSheetId="18">福邦!#REF!</definedName>
    <definedName name="外部資料_133" localSheetId="7">營收搶先報!#REF!</definedName>
    <definedName name="外部資料_1330" localSheetId="2">紅綠燈!#REF!</definedName>
    <definedName name="外部資料_1332" localSheetId="2">紅綠燈!#REF!</definedName>
    <definedName name="外部資料_1333" localSheetId="2">紅綠燈!#REF!</definedName>
    <definedName name="外部資料_1334" localSheetId="2">紅綠燈!#REF!</definedName>
    <definedName name="外部資料_1336" localSheetId="2">紅綠燈!#REF!</definedName>
    <definedName name="外部資料_1337" localSheetId="2">紅綠燈!#REF!</definedName>
    <definedName name="外部資料_1338" localSheetId="2">紅綠燈!#REF!</definedName>
    <definedName name="外部資料_134" localSheetId="15">PKA!#REF!</definedName>
    <definedName name="外部資料_134" localSheetId="16">PKB!#REF!</definedName>
    <definedName name="外部資料_134" localSheetId="17">PKC!#REF!</definedName>
    <definedName name="外部資料_134" localSheetId="8">PSR!#REF!</definedName>
    <definedName name="外部資料_134" localSheetId="4">評比系統!$T$1:$T$3</definedName>
    <definedName name="外部資料_134" localSheetId="18">福邦!#REF!</definedName>
    <definedName name="外部資料_134" localSheetId="7">營收搶先報!#REF!</definedName>
    <definedName name="外部資料_1340" localSheetId="2">紅綠燈!#REF!</definedName>
    <definedName name="外部資料_1341" localSheetId="2">紅綠燈!#REF!</definedName>
    <definedName name="外部資料_1342" localSheetId="2">紅綠燈!#REF!</definedName>
    <definedName name="外部資料_1344" localSheetId="2">紅綠燈!#REF!</definedName>
    <definedName name="外部資料_1345" localSheetId="2">紅綠燈!#REF!</definedName>
    <definedName name="外部資料_1346" localSheetId="2">紅綠燈!#REF!</definedName>
    <definedName name="外部資料_1348" localSheetId="2">紅綠燈!#REF!</definedName>
    <definedName name="外部資料_1349" localSheetId="2">紅綠燈!#REF!</definedName>
    <definedName name="外部資料_135" localSheetId="15">PKA!#REF!</definedName>
    <definedName name="外部資料_135" localSheetId="16">PKB!#REF!</definedName>
    <definedName name="外部資料_135" localSheetId="17">PKC!#REF!</definedName>
    <definedName name="外部資料_135" localSheetId="8">PSR!#REF!</definedName>
    <definedName name="外部資料_135" localSheetId="4">評比系統!$T$1:$T$3</definedName>
    <definedName name="外部資料_135" localSheetId="18">福邦!#REF!</definedName>
    <definedName name="外部資料_135" localSheetId="7">營收搶先報!#REF!</definedName>
    <definedName name="外部資料_1350" localSheetId="2">紅綠燈!#REF!</definedName>
    <definedName name="外部資料_1352" localSheetId="2">紅綠燈!#REF!</definedName>
    <definedName name="外部資料_1353" localSheetId="2">紅綠燈!#REF!</definedName>
    <definedName name="外部資料_1354" localSheetId="2">紅綠燈!#REF!</definedName>
    <definedName name="外部資料_1356" localSheetId="2">紅綠燈!#REF!</definedName>
    <definedName name="外部資料_1357" localSheetId="2">紅綠燈!#REF!</definedName>
    <definedName name="外部資料_1358" localSheetId="2">紅綠燈!#REF!</definedName>
    <definedName name="外部資料_136" localSheetId="15">PKA!#REF!</definedName>
    <definedName name="外部資料_136" localSheetId="16">PKB!#REF!</definedName>
    <definedName name="外部資料_136" localSheetId="17">PKC!#REF!</definedName>
    <definedName name="外部資料_136" localSheetId="8">PSR!#REF!</definedName>
    <definedName name="外部資料_136" localSheetId="4">評比系統!$T$1:$T$3</definedName>
    <definedName name="外部資料_136" localSheetId="18">福邦!#REF!</definedName>
    <definedName name="外部資料_136" localSheetId="7">營收搶先報!#REF!</definedName>
    <definedName name="外部資料_1360" localSheetId="2">紅綠燈!#REF!</definedName>
    <definedName name="外部資料_1360" localSheetId="5">篩股系統!$M$2:$Q$18</definedName>
    <definedName name="外部資料_1361" localSheetId="2">紅綠燈!#REF!</definedName>
    <definedName name="外部資料_1362" localSheetId="2">紅綠燈!#REF!</definedName>
    <definedName name="外部資料_1364" localSheetId="2">紅綠燈!#REF!</definedName>
    <definedName name="外部資料_1365" localSheetId="2">紅綠燈!#REF!</definedName>
    <definedName name="外部資料_1366" localSheetId="2">紅綠燈!#REF!</definedName>
    <definedName name="外部資料_1368" localSheetId="2">紅綠燈!#REF!</definedName>
    <definedName name="外部資料_1369" localSheetId="2">紅綠燈!#REF!</definedName>
    <definedName name="外部資料_137" localSheetId="15">PKA!#REF!</definedName>
    <definedName name="外部資料_137" localSheetId="16">PKB!#REF!</definedName>
    <definedName name="外部資料_137" localSheetId="17">PKC!#REF!</definedName>
    <definedName name="外部資料_137" localSheetId="8">PSR!#REF!</definedName>
    <definedName name="外部資料_137" localSheetId="4">評比系統!$T$1:$T$3</definedName>
    <definedName name="外部資料_137" localSheetId="18">福邦!#REF!</definedName>
    <definedName name="外部資料_137" localSheetId="7">營收搶先報!$A$2:$K$39</definedName>
    <definedName name="外部資料_1371" localSheetId="2">紅綠燈!#REF!</definedName>
    <definedName name="外部資料_1372" localSheetId="2">紅綠燈!#REF!</definedName>
    <definedName name="外部資料_1373" localSheetId="2">紅綠燈!#REF!</definedName>
    <definedName name="外部資料_1375" localSheetId="2">紅綠燈!#REF!</definedName>
    <definedName name="外部資料_1376" localSheetId="2">紅綠燈!#REF!</definedName>
    <definedName name="外部資料_1378" localSheetId="2">紅綠燈!#REF!</definedName>
    <definedName name="外部資料_1379" localSheetId="2">紅綠燈!#REF!</definedName>
    <definedName name="外部資料_138" localSheetId="15">PKA!#REF!</definedName>
    <definedName name="外部資料_138" localSheetId="16">PKB!#REF!</definedName>
    <definedName name="外部資料_138" localSheetId="17">PKC!#REF!</definedName>
    <definedName name="外部資料_138" localSheetId="8">PSR!#REF!</definedName>
    <definedName name="外部資料_138" localSheetId="4">評比系統!$T$1:$T$3</definedName>
    <definedName name="外部資料_138" localSheetId="18">福邦!#REF!</definedName>
    <definedName name="外部資料_138" localSheetId="7">營收搶先報!$A$2:$K$107</definedName>
    <definedName name="外部資料_1380" localSheetId="2">紅綠燈!#REF!</definedName>
    <definedName name="外部資料_1382" localSheetId="2">紅綠燈!#REF!</definedName>
    <definedName name="外部資料_1383" localSheetId="2">紅綠燈!#REF!</definedName>
    <definedName name="外部資料_1384" localSheetId="2">紅綠燈!#REF!</definedName>
    <definedName name="外部資料_1386" localSheetId="2">紅綠燈!#REF!</definedName>
    <definedName name="外部資料_1387" localSheetId="2">紅綠燈!#REF!</definedName>
    <definedName name="外部資料_1388" localSheetId="2">紅綠燈!#REF!</definedName>
    <definedName name="外部資料_139" localSheetId="15">PKA!#REF!</definedName>
    <definedName name="外部資料_139" localSheetId="16">PKB!#REF!</definedName>
    <definedName name="外部資料_139" localSheetId="17">PKC!#REF!</definedName>
    <definedName name="外部資料_139" localSheetId="8">PSR!#REF!</definedName>
    <definedName name="外部資料_139" localSheetId="4">評比系統!$T$1:$T$3</definedName>
    <definedName name="外部資料_139" localSheetId="18">福邦!#REF!</definedName>
    <definedName name="外部資料_1390" localSheetId="2">紅綠燈!#REF!</definedName>
    <definedName name="外部資料_1391" localSheetId="2">紅綠燈!#REF!</definedName>
    <definedName name="外部資料_1392" localSheetId="2">紅綠燈!#REF!</definedName>
    <definedName name="外部資料_1394" localSheetId="2">紅綠燈!#REF!</definedName>
    <definedName name="外部資料_1395" localSheetId="2">紅綠燈!#REF!</definedName>
    <definedName name="外部資料_1397" localSheetId="2">紅綠燈!#REF!</definedName>
    <definedName name="外部資料_1398" localSheetId="2">紅綠燈!#REF!</definedName>
    <definedName name="外部資料_14" localSheetId="15">PKA!#REF!</definedName>
    <definedName name="外部資料_14" localSheetId="16">PKB!#REF!</definedName>
    <definedName name="外部資料_14" localSheetId="17">PKC!#REF!</definedName>
    <definedName name="外部資料_14" localSheetId="8">PSR!#REF!</definedName>
    <definedName name="外部資料_14" localSheetId="2">紅綠燈!#REF!</definedName>
    <definedName name="外部資料_14" localSheetId="4">評比系統!#REF!</definedName>
    <definedName name="外部資料_14" localSheetId="18">福邦!#REF!</definedName>
    <definedName name="外部資料_14" localSheetId="5">篩股系統!#REF!</definedName>
    <definedName name="外部資料_14" localSheetId="7">營收搶先報!#REF!</definedName>
    <definedName name="外部資料_140" localSheetId="15">PKA!#REF!</definedName>
    <definedName name="外部資料_140" localSheetId="16">PKB!#REF!</definedName>
    <definedName name="外部資料_140" localSheetId="17">PKC!#REF!</definedName>
    <definedName name="外部資料_140" localSheetId="8">PSR!#REF!</definedName>
    <definedName name="外部資料_140" localSheetId="4">評比系統!$T$1:$T$3</definedName>
    <definedName name="外部資料_140" localSheetId="18">福邦!#REF!</definedName>
    <definedName name="外部資料_1400" localSheetId="2">紅綠燈!#REF!</definedName>
    <definedName name="外部資料_1401" localSheetId="2">紅綠燈!#REF!</definedName>
    <definedName name="外部資料_1402" localSheetId="2">紅綠燈!#REF!</definedName>
    <definedName name="外部資料_1404" localSheetId="2">紅綠燈!#REF!</definedName>
    <definedName name="外部資料_1405" localSheetId="2">紅綠燈!#REF!</definedName>
    <definedName name="外部資料_1406" localSheetId="2">紅綠燈!#REF!</definedName>
    <definedName name="外部資料_1408" localSheetId="2">紅綠燈!#REF!</definedName>
    <definedName name="外部資料_1409" localSheetId="2">紅綠燈!#REF!</definedName>
    <definedName name="外部資料_141" localSheetId="15">PKA!#REF!</definedName>
    <definedName name="外部資料_141" localSheetId="16">PKB!#REF!</definedName>
    <definedName name="外部資料_141" localSheetId="17">PKC!#REF!</definedName>
    <definedName name="外部資料_141" localSheetId="8">PSR!#REF!</definedName>
    <definedName name="外部資料_141" localSheetId="4">評比系統!$T$1:$T$3</definedName>
    <definedName name="外部資料_141" localSheetId="18">福邦!#REF!</definedName>
    <definedName name="外部資料_1410" localSheetId="2">紅綠燈!#REF!</definedName>
    <definedName name="外部資料_1412" localSheetId="2">紅綠燈!#REF!</definedName>
    <definedName name="外部資料_1413" localSheetId="2">紅綠燈!#REF!</definedName>
    <definedName name="外部資料_1414" localSheetId="2">紅綠燈!#REF!</definedName>
    <definedName name="外部資料_1416" localSheetId="2">紅綠燈!#REF!</definedName>
    <definedName name="外部資料_1417" localSheetId="2">紅綠燈!#REF!</definedName>
    <definedName name="外部資料_1418" localSheetId="2">紅綠燈!#REF!</definedName>
    <definedName name="外部資料_142" localSheetId="15">PKA!#REF!</definedName>
    <definedName name="外部資料_142" localSheetId="16">PKB!#REF!</definedName>
    <definedName name="外部資料_142" localSheetId="17">PKC!#REF!</definedName>
    <definedName name="外部資料_142" localSheetId="8">PSR!#REF!</definedName>
    <definedName name="外部資料_142" localSheetId="4">評比系統!$T$1:$T$3</definedName>
    <definedName name="外部資料_142" localSheetId="18">福邦!#REF!</definedName>
    <definedName name="外部資料_1420" localSheetId="2">紅綠燈!#REF!</definedName>
    <definedName name="外部資料_1421" localSheetId="2">紅綠燈!#REF!</definedName>
    <definedName name="外部資料_1423" localSheetId="2">紅綠燈!#REF!</definedName>
    <definedName name="外部資料_1424" localSheetId="2">紅綠燈!#REF!</definedName>
    <definedName name="外部資料_1425" localSheetId="2">紅綠燈!#REF!</definedName>
    <definedName name="外部資料_1427" localSheetId="2">紅綠燈!#REF!</definedName>
    <definedName name="外部資料_1428" localSheetId="2">紅綠燈!#REF!</definedName>
    <definedName name="外部資料_1429" localSheetId="2">紅綠燈!#REF!</definedName>
    <definedName name="外部資料_143" localSheetId="15">PKA!#REF!</definedName>
    <definedName name="外部資料_143" localSheetId="16">PKB!#REF!</definedName>
    <definedName name="外部資料_143" localSheetId="17">PKC!#REF!</definedName>
    <definedName name="外部資料_143" localSheetId="8">PSR!#REF!</definedName>
    <definedName name="外部資料_143" localSheetId="4">評比系統!$T$1:$T$3</definedName>
    <definedName name="外部資料_143" localSheetId="18">福邦!#REF!</definedName>
    <definedName name="外部資料_1431" localSheetId="2">紅綠燈!#REF!</definedName>
    <definedName name="外部資料_1432" localSheetId="2">紅綠燈!#REF!</definedName>
    <definedName name="外部資料_1433" localSheetId="2">紅綠燈!#REF!</definedName>
    <definedName name="外部資料_1435" localSheetId="2">紅綠燈!#REF!</definedName>
    <definedName name="外部資料_1436" localSheetId="2">紅綠燈!#REF!</definedName>
    <definedName name="外部資料_1437" localSheetId="2">紅綠燈!#REF!</definedName>
    <definedName name="外部資料_1439" localSheetId="2">紅綠燈!#REF!</definedName>
    <definedName name="外部資料_144" localSheetId="15">PKA!#REF!</definedName>
    <definedName name="外部資料_144" localSheetId="16">PKB!#REF!</definedName>
    <definedName name="外部資料_144" localSheetId="17">PKC!#REF!</definedName>
    <definedName name="外部資料_144" localSheetId="8">PSR!#REF!</definedName>
    <definedName name="外部資料_144" localSheetId="4">評比系統!$T$1:$T$3</definedName>
    <definedName name="外部資料_144" localSheetId="18">福邦!#REF!</definedName>
    <definedName name="外部資料_1440" localSheetId="2">紅綠燈!#REF!</definedName>
    <definedName name="外部資料_1441" localSheetId="2">紅綠燈!#REF!</definedName>
    <definedName name="外部資料_1443" localSheetId="2">紅綠燈!#REF!</definedName>
    <definedName name="外部資料_1444" localSheetId="2">紅綠燈!#REF!</definedName>
    <definedName name="外部資料_1445" localSheetId="2">紅綠燈!#REF!</definedName>
    <definedName name="外部資料_1447" localSheetId="2">紅綠燈!#REF!</definedName>
    <definedName name="外部資料_1448" localSheetId="2">紅綠燈!#REF!</definedName>
    <definedName name="外部資料_1449" localSheetId="2">紅綠燈!#REF!</definedName>
    <definedName name="外部資料_145" localSheetId="15">PKA!#REF!</definedName>
    <definedName name="外部資料_145" localSheetId="16">PKB!#REF!</definedName>
    <definedName name="外部資料_145" localSheetId="17">PKC!#REF!</definedName>
    <definedName name="外部資料_145" localSheetId="8">PSR!#REF!</definedName>
    <definedName name="外部資料_145" localSheetId="4">評比系統!$T$1:$T$3</definedName>
    <definedName name="外部資料_145" localSheetId="18">福邦!#REF!</definedName>
    <definedName name="外部資料_1451" localSheetId="2">紅綠燈!#REF!</definedName>
    <definedName name="外部資料_1452" localSheetId="2">紅綠燈!#REF!</definedName>
    <definedName name="外部資料_1453" localSheetId="2">紅綠燈!#REF!</definedName>
    <definedName name="外部資料_1455" localSheetId="2">紅綠燈!#REF!</definedName>
    <definedName name="外部資料_1456" localSheetId="2">紅綠燈!#REF!</definedName>
    <definedName name="外部資料_1457" localSheetId="2">紅綠燈!#REF!</definedName>
    <definedName name="外部資料_1459" localSheetId="2">紅綠燈!#REF!</definedName>
    <definedName name="外部資料_146" localSheetId="15">PKA!#REF!</definedName>
    <definedName name="外部資料_146" localSheetId="16">PKB!#REF!</definedName>
    <definedName name="外部資料_146" localSheetId="17">PKC!#REF!</definedName>
    <definedName name="外部資料_146" localSheetId="8">PSR!#REF!</definedName>
    <definedName name="外部資料_146" localSheetId="4">評比系統!$T$1:$T$3</definedName>
    <definedName name="外部資料_146" localSheetId="18">福邦!#REF!</definedName>
    <definedName name="外部資料_1460" localSheetId="2">紅綠燈!#REF!</definedName>
    <definedName name="外部資料_1461" localSheetId="2">紅綠燈!#REF!</definedName>
    <definedName name="外部資料_1463" localSheetId="2">紅綠燈!#REF!</definedName>
    <definedName name="外部資料_1464" localSheetId="2">紅綠燈!#REF!</definedName>
    <definedName name="外部資料_1465" localSheetId="2">紅綠燈!#REF!</definedName>
    <definedName name="外部資料_1467" localSheetId="2">紅綠燈!#REF!</definedName>
    <definedName name="外部資料_1468" localSheetId="2">紅綠燈!#REF!</definedName>
    <definedName name="外部資料_1469" localSheetId="2">紅綠燈!#REF!</definedName>
    <definedName name="外部資料_147" localSheetId="15">PKA!#REF!</definedName>
    <definedName name="外部資料_147" localSheetId="16">PKB!#REF!</definedName>
    <definedName name="外部資料_147" localSheetId="17">PKC!#REF!</definedName>
    <definedName name="外部資料_147" localSheetId="8">PSR!#REF!</definedName>
    <definedName name="外部資料_147" localSheetId="4">評比系統!$T$1:$T$3</definedName>
    <definedName name="外部資料_147" localSheetId="18">福邦!#REF!</definedName>
    <definedName name="外部資料_1471" localSheetId="2">紅綠燈!#REF!</definedName>
    <definedName name="外部資料_1472" localSheetId="2">紅綠燈!#REF!</definedName>
    <definedName name="外部資料_1473" localSheetId="2">紅綠燈!#REF!</definedName>
    <definedName name="外部資料_1475" localSheetId="2">紅綠燈!#REF!</definedName>
    <definedName name="外部資料_1476" localSheetId="2">紅綠燈!#REF!</definedName>
    <definedName name="外部資料_1478" localSheetId="2">紅綠燈!#REF!</definedName>
    <definedName name="外部資料_1479" localSheetId="2">紅綠燈!#REF!</definedName>
    <definedName name="外部資料_148" localSheetId="15">PKA!#REF!</definedName>
    <definedName name="外部資料_148" localSheetId="16">PKB!#REF!</definedName>
    <definedName name="外部資料_148" localSheetId="17">PKC!#REF!</definedName>
    <definedName name="外部資料_148" localSheetId="8">PSR!#REF!</definedName>
    <definedName name="外部資料_148" localSheetId="4">評比系統!$T$1:$T$3</definedName>
    <definedName name="外部資料_148" localSheetId="18">福邦!#REF!</definedName>
    <definedName name="外部資料_1480" localSheetId="2">紅綠燈!#REF!</definedName>
    <definedName name="外部資料_1482" localSheetId="2">紅綠燈!#REF!</definedName>
    <definedName name="外部資料_1483" localSheetId="2">紅綠燈!#REF!</definedName>
    <definedName name="外部資料_1484" localSheetId="2">紅綠燈!#REF!</definedName>
    <definedName name="外部資料_1486" localSheetId="2">紅綠燈!#REF!</definedName>
    <definedName name="外部資料_1487" localSheetId="2">紅綠燈!#REF!</definedName>
    <definedName name="外部資料_1489" localSheetId="2">紅綠燈!#REF!</definedName>
    <definedName name="外部資料_149" localSheetId="15">PKA!#REF!</definedName>
    <definedName name="外部資料_149" localSheetId="16">PKB!#REF!</definedName>
    <definedName name="外部資料_149" localSheetId="17">PKC!#REF!</definedName>
    <definedName name="外部資料_149" localSheetId="8">PSR!#REF!</definedName>
    <definedName name="外部資料_149" localSheetId="4">評比系統!$T$1:$T$3</definedName>
    <definedName name="外部資料_149" localSheetId="18">福邦!#REF!</definedName>
    <definedName name="外部資料_1490" localSheetId="2">紅綠燈!#REF!</definedName>
    <definedName name="外部資料_1491" localSheetId="2">紅綠燈!#REF!</definedName>
    <definedName name="外部資料_1493" localSheetId="2">紅綠燈!#REF!</definedName>
    <definedName name="外部資料_1494" localSheetId="2">紅綠燈!#REF!</definedName>
    <definedName name="外部資料_1495" localSheetId="2">紅綠燈!#REF!</definedName>
    <definedName name="外部資料_1497" localSheetId="2">紅綠燈!#REF!</definedName>
    <definedName name="外部資料_1498" localSheetId="2">紅綠燈!#REF!</definedName>
    <definedName name="外部資料_1499" localSheetId="2">紅綠燈!#REF!</definedName>
    <definedName name="外部資料_15" localSheetId="15">PKA!#REF!</definedName>
    <definedName name="外部資料_15" localSheetId="16">PKB!#REF!</definedName>
    <definedName name="外部資料_15" localSheetId="17">PKC!#REF!</definedName>
    <definedName name="外部資料_15" localSheetId="8">PSR!#REF!</definedName>
    <definedName name="外部資料_15" localSheetId="4">評比系統!#REF!</definedName>
    <definedName name="外部資料_15" localSheetId="18">福邦!#REF!</definedName>
    <definedName name="外部資料_15" localSheetId="5">篩股系統!#REF!</definedName>
    <definedName name="外部資料_15" localSheetId="7">營收搶先報!#REF!</definedName>
    <definedName name="外部資料_150" localSheetId="15">PKA!#REF!</definedName>
    <definedName name="外部資料_150" localSheetId="16">PKB!#REF!</definedName>
    <definedName name="外部資料_150" localSheetId="17">PKC!#REF!</definedName>
    <definedName name="外部資料_150" localSheetId="8">PSR!#REF!</definedName>
    <definedName name="外部資料_150" localSheetId="4">評比系統!$T$1:$T$3</definedName>
    <definedName name="外部資料_150" localSheetId="18">福邦!#REF!</definedName>
    <definedName name="外部資料_1501" localSheetId="2">紅綠燈!#REF!</definedName>
    <definedName name="外部資料_1502" localSheetId="2">紅綠燈!#REF!</definedName>
    <definedName name="外部資料_1504" localSheetId="2">紅綠燈!#REF!</definedName>
    <definedName name="外部資料_1505" localSheetId="2">紅綠燈!#REF!</definedName>
    <definedName name="外部資料_1506" localSheetId="2">紅綠燈!#REF!</definedName>
    <definedName name="外部資料_1508" localSheetId="2">紅綠燈!#REF!</definedName>
    <definedName name="外部資料_1509" localSheetId="2">紅綠燈!#REF!</definedName>
    <definedName name="外部資料_151" localSheetId="15">PKA!#REF!</definedName>
    <definedName name="外部資料_151" localSheetId="16">PKB!#REF!</definedName>
    <definedName name="外部資料_151" localSheetId="17">PKC!#REF!</definedName>
    <definedName name="外部資料_151" localSheetId="8">PSR!#REF!</definedName>
    <definedName name="外部資料_151" localSheetId="4">評比系統!$T$1:$T$3</definedName>
    <definedName name="外部資料_151" localSheetId="18">福邦!#REF!</definedName>
    <definedName name="外部資料_1510" localSheetId="2">紅綠燈!#REF!</definedName>
    <definedName name="外部資料_1512" localSheetId="2">紅綠燈!#REF!</definedName>
    <definedName name="外部資料_1513" localSheetId="2">紅綠燈!#REF!</definedName>
    <definedName name="外部資料_1514" localSheetId="2">紅綠燈!#REF!</definedName>
    <definedName name="外部資料_1516" localSheetId="2">紅綠燈!#REF!</definedName>
    <definedName name="外部資料_1517" localSheetId="2">紅綠燈!#REF!</definedName>
    <definedName name="外部資料_1518" localSheetId="2">紅綠燈!#REF!</definedName>
    <definedName name="外部資料_152" localSheetId="15">PKA!#REF!</definedName>
    <definedName name="外部資料_152" localSheetId="16">PKB!#REF!</definedName>
    <definedName name="外部資料_152" localSheetId="17">PKC!#REF!</definedName>
    <definedName name="外部資料_152" localSheetId="8">PSR!#REF!</definedName>
    <definedName name="外部資料_152" localSheetId="4">評比系統!$T$1:$T$3</definedName>
    <definedName name="外部資料_152" localSheetId="18">福邦!#REF!</definedName>
    <definedName name="外部資料_1520" localSheetId="2">紅綠燈!#REF!</definedName>
    <definedName name="外部資料_1521" localSheetId="2">紅綠燈!#REF!</definedName>
    <definedName name="外部資料_1522" localSheetId="2">紅綠燈!#REF!</definedName>
    <definedName name="外部資料_1524" localSheetId="2">紅綠燈!#REF!</definedName>
    <definedName name="外部資料_1525" localSheetId="2">紅綠燈!#REF!</definedName>
    <definedName name="外部資料_1526" localSheetId="2">紅綠燈!#REF!</definedName>
    <definedName name="外部資料_1528" localSheetId="2">紅綠燈!#REF!</definedName>
    <definedName name="外部資料_1529" localSheetId="2">紅綠燈!#REF!</definedName>
    <definedName name="外部資料_153" localSheetId="15">PKA!#REF!</definedName>
    <definedName name="外部資料_153" localSheetId="16">PKB!#REF!</definedName>
    <definedName name="外部資料_153" localSheetId="17">PKC!#REF!</definedName>
    <definedName name="外部資料_153" localSheetId="8">PSR!#REF!</definedName>
    <definedName name="外部資料_153" localSheetId="4">評比系統!$T$1:$T$3</definedName>
    <definedName name="外部資料_153" localSheetId="18">福邦!#REF!</definedName>
    <definedName name="外部資料_1530" localSheetId="2">紅綠燈!#REF!</definedName>
    <definedName name="外部資料_1532" localSheetId="2">紅綠燈!#REF!</definedName>
    <definedName name="外部資料_1533" localSheetId="2">紅綠燈!#REF!</definedName>
    <definedName name="外部資料_1534" localSheetId="2">紅綠燈!#REF!</definedName>
    <definedName name="外部資料_1536" localSheetId="2">紅綠燈!#REF!</definedName>
    <definedName name="外部資料_1537" localSheetId="2">紅綠燈!#REF!</definedName>
    <definedName name="外部資料_1538" localSheetId="2">紅綠燈!#REF!</definedName>
    <definedName name="外部資料_154" localSheetId="15">PKA!#REF!</definedName>
    <definedName name="外部資料_154" localSheetId="16">PKB!#REF!</definedName>
    <definedName name="外部資料_154" localSheetId="17">PKC!#REF!</definedName>
    <definedName name="外部資料_154" localSheetId="8">PSR!#REF!</definedName>
    <definedName name="外部資料_154" localSheetId="4">評比系統!$T$1:$T$3</definedName>
    <definedName name="外部資料_154" localSheetId="18">福邦!#REF!</definedName>
    <definedName name="外部資料_1540" localSheetId="2">紅綠燈!#REF!</definedName>
    <definedName name="外部資料_1541" localSheetId="2">紅綠燈!#REF!</definedName>
    <definedName name="外部資料_1542" localSheetId="2">紅綠燈!#REF!</definedName>
    <definedName name="外部資料_1544" localSheetId="2">紅綠燈!#REF!</definedName>
    <definedName name="外部資料_1545" localSheetId="2">紅綠燈!#REF!</definedName>
    <definedName name="外部資料_1546" localSheetId="2">紅綠燈!#REF!</definedName>
    <definedName name="外部資料_1548" localSheetId="2">紅綠燈!#REF!</definedName>
    <definedName name="外部資料_1549" localSheetId="2">紅綠燈!#REF!</definedName>
    <definedName name="外部資料_155" localSheetId="15">PKA!#REF!</definedName>
    <definedName name="外部資料_155" localSheetId="16">PKB!#REF!</definedName>
    <definedName name="外部資料_155" localSheetId="17">PKC!#REF!</definedName>
    <definedName name="外部資料_155" localSheetId="8">PSR!#REF!</definedName>
    <definedName name="外部資料_155" localSheetId="2">紅綠燈!#REF!</definedName>
    <definedName name="外部資料_155" localSheetId="4">評比系統!#REF!</definedName>
    <definedName name="外部資料_155" localSheetId="18">福邦!#REF!</definedName>
    <definedName name="外部資料_1550" localSheetId="2">紅綠燈!#REF!</definedName>
    <definedName name="外部資料_1552" localSheetId="2">紅綠燈!#REF!</definedName>
    <definedName name="外部資料_1553" localSheetId="2">紅綠燈!#REF!</definedName>
    <definedName name="外部資料_1554" localSheetId="2">紅綠燈!#REF!</definedName>
    <definedName name="外部資料_1556" localSheetId="2">紅綠燈!#REF!</definedName>
    <definedName name="外部資料_1557" localSheetId="2">紅綠燈!#REF!</definedName>
    <definedName name="外部資料_1558" localSheetId="2">紅綠燈!#REF!</definedName>
    <definedName name="外部資料_156" localSheetId="15">PKA!#REF!</definedName>
    <definedName name="外部資料_156" localSheetId="16">PKB!#REF!</definedName>
    <definedName name="外部資料_156" localSheetId="17">PKC!#REF!</definedName>
    <definedName name="外部資料_156" localSheetId="8">PSR!#REF!</definedName>
    <definedName name="外部資料_156" localSheetId="4">評比系統!$T$1:$T$3</definedName>
    <definedName name="外部資料_156" localSheetId="18">福邦!#REF!</definedName>
    <definedName name="外部資料_1560" localSheetId="2">紅綠燈!#REF!</definedName>
    <definedName name="外部資料_1561" localSheetId="2">紅綠燈!#REF!</definedName>
    <definedName name="外部資料_1562" localSheetId="2">紅綠燈!#REF!</definedName>
    <definedName name="外部資料_1564" localSheetId="2">紅綠燈!#REF!</definedName>
    <definedName name="外部資料_1565" localSheetId="2">紅綠燈!#REF!</definedName>
    <definedName name="外部資料_1566" localSheetId="2">紅綠燈!#REF!</definedName>
    <definedName name="外部資料_1568" localSheetId="2">紅綠燈!#REF!</definedName>
    <definedName name="外部資料_1569" localSheetId="2">紅綠燈!#REF!</definedName>
    <definedName name="外部資料_157" localSheetId="15">PKA!#REF!</definedName>
    <definedName name="外部資料_157" localSheetId="16">PKB!#REF!</definedName>
    <definedName name="外部資料_157" localSheetId="17">PKC!#REF!</definedName>
    <definedName name="外部資料_157" localSheetId="8">PSR!#REF!</definedName>
    <definedName name="外部資料_157" localSheetId="4">評比系統!$T$1:$T$3</definedName>
    <definedName name="外部資料_157" localSheetId="18">福邦!#REF!</definedName>
    <definedName name="外部資料_1570" localSheetId="2">紅綠燈!#REF!</definedName>
    <definedName name="外部資料_1572" localSheetId="2">紅綠燈!#REF!</definedName>
    <definedName name="外部資料_1573" localSheetId="2">紅綠燈!#REF!</definedName>
    <definedName name="外部資料_1574" localSheetId="2">紅綠燈!#REF!</definedName>
    <definedName name="外部資料_1576" localSheetId="2">紅綠燈!#REF!</definedName>
    <definedName name="外部資料_1577" localSheetId="2">紅綠燈!#REF!</definedName>
    <definedName name="外部資料_1578" localSheetId="2">紅綠燈!#REF!</definedName>
    <definedName name="外部資料_158" localSheetId="15">PKA!#REF!</definedName>
    <definedName name="外部資料_158" localSheetId="16">PKB!#REF!</definedName>
    <definedName name="外部資料_158" localSheetId="17">PKC!#REF!</definedName>
    <definedName name="外部資料_158" localSheetId="8">PSR!#REF!</definedName>
    <definedName name="外部資料_158" localSheetId="4">評比系統!$T$1:$T$3</definedName>
    <definedName name="外部資料_158" localSheetId="18">福邦!#REF!</definedName>
    <definedName name="外部資料_1580" localSheetId="2">紅綠燈!#REF!</definedName>
    <definedName name="外部資料_1581" localSheetId="2">紅綠燈!#REF!</definedName>
    <definedName name="外部資料_1582" localSheetId="2">紅綠燈!#REF!</definedName>
    <definedName name="外部資料_1584" localSheetId="2">紅綠燈!#REF!</definedName>
    <definedName name="外部資料_1585" localSheetId="2">紅綠燈!#REF!</definedName>
    <definedName name="外部資料_1586" localSheetId="2">紅綠燈!#REF!</definedName>
    <definedName name="外部資料_1588" localSheetId="2">紅綠燈!#REF!</definedName>
    <definedName name="外部資料_1589" localSheetId="2">紅綠燈!#REF!</definedName>
    <definedName name="外部資料_159" localSheetId="15">PKA!#REF!</definedName>
    <definedName name="外部資料_159" localSheetId="16">PKB!#REF!</definedName>
    <definedName name="外部資料_159" localSheetId="17">PKC!#REF!</definedName>
    <definedName name="外部資料_159" localSheetId="8">PSR!#REF!</definedName>
    <definedName name="外部資料_159" localSheetId="4">評比系統!$T$1:$T$3</definedName>
    <definedName name="外部資料_159" localSheetId="18">福邦!#REF!</definedName>
    <definedName name="外部資料_1590" localSheetId="2">紅綠燈!#REF!</definedName>
    <definedName name="外部資料_1592" localSheetId="2">紅綠燈!#REF!</definedName>
    <definedName name="外部資料_1593" localSheetId="2">紅綠燈!#REF!</definedName>
    <definedName name="外部資料_1594" localSheetId="2">紅綠燈!#REF!</definedName>
    <definedName name="外部資料_1596" localSheetId="2">紅綠燈!#REF!</definedName>
    <definedName name="外部資料_1597" localSheetId="2">紅綠燈!#REF!</definedName>
    <definedName name="外部資料_1598" localSheetId="2">紅綠燈!#REF!</definedName>
    <definedName name="外部資料_16" localSheetId="15">PKA!#REF!</definedName>
    <definedName name="外部資料_16" localSheetId="16">PKB!#REF!</definedName>
    <definedName name="外部資料_16" localSheetId="17">PKC!#REF!</definedName>
    <definedName name="外部資料_16" localSheetId="8">PSR!#REF!</definedName>
    <definedName name="外部資料_16" localSheetId="2">紅綠燈!#REF!</definedName>
    <definedName name="外部資料_16" localSheetId="4">評比系統!#REF!</definedName>
    <definedName name="外部資料_16" localSheetId="18">福邦!#REF!</definedName>
    <definedName name="外部資料_16" localSheetId="5">篩股系統!#REF!</definedName>
    <definedName name="外部資料_16" localSheetId="7">營收搶先報!#REF!</definedName>
    <definedName name="外部資料_160" localSheetId="15">PKA!#REF!</definedName>
    <definedName name="外部資料_160" localSheetId="16">PKB!#REF!</definedName>
    <definedName name="外部資料_160" localSheetId="17">PKC!#REF!</definedName>
    <definedName name="外部資料_160" localSheetId="8">PSR!#REF!</definedName>
    <definedName name="外部資料_160" localSheetId="4">評比系統!$T$1:$T$3</definedName>
    <definedName name="外部資料_160" localSheetId="18">福邦!#REF!</definedName>
    <definedName name="外部資料_1600" localSheetId="2">紅綠燈!#REF!</definedName>
    <definedName name="外部資料_1601" localSheetId="2">紅綠燈!#REF!</definedName>
    <definedName name="外部資料_1602" localSheetId="2">紅綠燈!#REF!</definedName>
    <definedName name="外部資料_1604" localSheetId="2">紅綠燈!#REF!</definedName>
    <definedName name="外部資料_1605" localSheetId="2">紅綠燈!#REF!</definedName>
    <definedName name="外部資料_1606" localSheetId="2">紅綠燈!#REF!</definedName>
    <definedName name="外部資料_1608" localSheetId="2">紅綠燈!#REF!</definedName>
    <definedName name="外部資料_1609" localSheetId="2">紅綠燈!#REF!</definedName>
    <definedName name="外部資料_161" localSheetId="15">PKA!#REF!</definedName>
    <definedName name="外部資料_161" localSheetId="16">PKB!#REF!</definedName>
    <definedName name="外部資料_161" localSheetId="17">PKC!#REF!</definedName>
    <definedName name="外部資料_161" localSheetId="8">PSR!#REF!</definedName>
    <definedName name="外部資料_161" localSheetId="4">評比系統!$T$1:$T$3</definedName>
    <definedName name="外部資料_161" localSheetId="18">福邦!#REF!</definedName>
    <definedName name="外部資料_1610" localSheetId="2">紅綠燈!#REF!</definedName>
    <definedName name="外部資料_1612" localSheetId="2">紅綠燈!#REF!</definedName>
    <definedName name="外部資料_1613" localSheetId="2">紅綠燈!#REF!</definedName>
    <definedName name="外部資料_1614" localSheetId="2">紅綠燈!#REF!</definedName>
    <definedName name="外部資料_1616" localSheetId="2">紅綠燈!#REF!</definedName>
    <definedName name="外部資料_1617" localSheetId="2">紅綠燈!#REF!</definedName>
    <definedName name="外部資料_1618" localSheetId="2">紅綠燈!#REF!</definedName>
    <definedName name="外部資料_162" localSheetId="15">PKA!#REF!</definedName>
    <definedName name="外部資料_162" localSheetId="16">PKB!#REF!</definedName>
    <definedName name="外部資料_162" localSheetId="17">PKC!#REF!</definedName>
    <definedName name="外部資料_162" localSheetId="8">PSR!#REF!</definedName>
    <definedName name="外部資料_162" localSheetId="4">評比系統!$T$1:$T$3</definedName>
    <definedName name="外部資料_162" localSheetId="18">福邦!#REF!</definedName>
    <definedName name="外部資料_1620" localSheetId="2">紅綠燈!#REF!</definedName>
    <definedName name="外部資料_1621" localSheetId="2">紅綠燈!#REF!</definedName>
    <definedName name="外部資料_1622" localSheetId="2">紅綠燈!#REF!</definedName>
    <definedName name="外部資料_1624" localSheetId="2">紅綠燈!#REF!</definedName>
    <definedName name="外部資料_1625" localSheetId="2">紅綠燈!#REF!</definedName>
    <definedName name="外部資料_1626" localSheetId="2">紅綠燈!#REF!</definedName>
    <definedName name="外部資料_1628" localSheetId="2">紅綠燈!#REF!</definedName>
    <definedName name="外部資料_1629" localSheetId="2">紅綠燈!#REF!</definedName>
    <definedName name="外部資料_163" localSheetId="15">PKA!#REF!</definedName>
    <definedName name="外部資料_163" localSheetId="16">PKB!#REF!</definedName>
    <definedName name="外部資料_163" localSheetId="17">PKC!#REF!</definedName>
    <definedName name="外部資料_163" localSheetId="8">PSR!#REF!</definedName>
    <definedName name="外部資料_163" localSheetId="4">評比系統!$T$1:$T$3</definedName>
    <definedName name="外部資料_163" localSheetId="18">福邦!#REF!</definedName>
    <definedName name="外部資料_1630" localSheetId="2">紅綠燈!#REF!</definedName>
    <definedName name="外部資料_1632" localSheetId="2">紅綠燈!#REF!</definedName>
    <definedName name="外部資料_1633" localSheetId="2">紅綠燈!#REF!</definedName>
    <definedName name="外部資料_1634" localSheetId="2">紅綠燈!#REF!</definedName>
    <definedName name="外部資料_1636" localSheetId="2">紅綠燈!#REF!</definedName>
    <definedName name="外部資料_1636" localSheetId="5">篩股系統!$C$8:$G$64</definedName>
    <definedName name="外部資料_1637" localSheetId="2">紅綠燈!#REF!</definedName>
    <definedName name="外部資料_1638" localSheetId="2">紅綠燈!#REF!</definedName>
    <definedName name="外部資料_164" localSheetId="15">PKA!#REF!</definedName>
    <definedName name="外部資料_164" localSheetId="16">PKB!#REF!</definedName>
    <definedName name="外部資料_164" localSheetId="17">PKC!#REF!</definedName>
    <definedName name="外部資料_164" localSheetId="8">PSR!#REF!</definedName>
    <definedName name="外部資料_164" localSheetId="4">評比系統!$T$1:$T$3</definedName>
    <definedName name="外部資料_164" localSheetId="18">福邦!#REF!</definedName>
    <definedName name="外部資料_1640" localSheetId="2">紅綠燈!#REF!</definedName>
    <definedName name="外部資料_1641" localSheetId="2">紅綠燈!#REF!</definedName>
    <definedName name="外部資料_1642" localSheetId="2">紅綠燈!#REF!</definedName>
    <definedName name="外部資料_1644" localSheetId="2">紅綠燈!#REF!</definedName>
    <definedName name="外部資料_1645" localSheetId="2">紅綠燈!#REF!</definedName>
    <definedName name="外部資料_1646" localSheetId="2">紅綠燈!#REF!</definedName>
    <definedName name="外部資料_1648" localSheetId="2">紅綠燈!#REF!</definedName>
    <definedName name="外部資料_1649" localSheetId="2">紅綠燈!#REF!</definedName>
    <definedName name="外部資料_165" localSheetId="15">PKA!#REF!</definedName>
    <definedName name="外部資料_165" localSheetId="16">PKB!#REF!</definedName>
    <definedName name="外部資料_165" localSheetId="17">PKC!#REF!</definedName>
    <definedName name="外部資料_165" localSheetId="8">PSR!#REF!</definedName>
    <definedName name="外部資料_165" localSheetId="4">評比系統!$T$1:$T$3</definedName>
    <definedName name="外部資料_165" localSheetId="18">福邦!#REF!</definedName>
    <definedName name="外部資料_1650" localSheetId="2">紅綠燈!#REF!</definedName>
    <definedName name="外部資料_1652" localSheetId="2">紅綠燈!#REF!</definedName>
    <definedName name="外部資料_1653" localSheetId="2">紅綠燈!#REF!</definedName>
    <definedName name="外部資料_1654" localSheetId="2">紅綠燈!#REF!</definedName>
    <definedName name="外部資料_1656" localSheetId="2">紅綠燈!#REF!</definedName>
    <definedName name="外部資料_1657" localSheetId="2">紅綠燈!#REF!</definedName>
    <definedName name="外部資料_1658" localSheetId="2">紅綠燈!#REF!</definedName>
    <definedName name="外部資料_166" localSheetId="15">PKA!#REF!</definedName>
    <definedName name="外部資料_166" localSheetId="16">PKB!#REF!</definedName>
    <definedName name="外部資料_166" localSheetId="17">PKC!#REF!</definedName>
    <definedName name="外部資料_166" localSheetId="8">PSR!#REF!</definedName>
    <definedName name="外部資料_166" localSheetId="4">評比系統!$T$1:$T$3</definedName>
    <definedName name="外部資料_166" localSheetId="18">福邦!#REF!</definedName>
    <definedName name="外部資料_1660" localSheetId="2">紅綠燈!#REF!</definedName>
    <definedName name="外部資料_1661" localSheetId="2">紅綠燈!#REF!</definedName>
    <definedName name="外部資料_1661" localSheetId="5">篩股系統!$C$8:$G$61</definedName>
    <definedName name="外部資料_1662" localSheetId="2">紅綠燈!#REF!</definedName>
    <definedName name="外部資料_1664" localSheetId="2">紅綠燈!#REF!</definedName>
    <definedName name="外部資料_1665" localSheetId="2">紅綠燈!#REF!</definedName>
    <definedName name="外部資料_1666" localSheetId="2">紅綠燈!#REF!</definedName>
    <definedName name="外部資料_1668" localSheetId="2">紅綠燈!#REF!</definedName>
    <definedName name="外部資料_1669" localSheetId="2">紅綠燈!#REF!</definedName>
    <definedName name="外部資料_167" localSheetId="15">PKA!#REF!</definedName>
    <definedName name="外部資料_167" localSheetId="16">PKB!#REF!</definedName>
    <definedName name="外部資料_167" localSheetId="17">PKC!#REF!</definedName>
    <definedName name="外部資料_167" localSheetId="8">PSR!#REF!</definedName>
    <definedName name="外部資料_167" localSheetId="4">評比系統!$T$1:$T$3</definedName>
    <definedName name="外部資料_167" localSheetId="18">福邦!#REF!</definedName>
    <definedName name="外部資料_1670" localSheetId="2">紅綠燈!#REF!</definedName>
    <definedName name="外部資料_1672" localSheetId="2">紅綠燈!#REF!</definedName>
    <definedName name="外部資料_1673" localSheetId="2">紅綠燈!#REF!</definedName>
    <definedName name="外部資料_1674" localSheetId="2">紅綠燈!#REF!</definedName>
    <definedName name="外部資料_1676" localSheetId="2">紅綠燈!#REF!</definedName>
    <definedName name="外部資料_1677" localSheetId="2">紅綠燈!#REF!</definedName>
    <definedName name="外部資料_1678" localSheetId="2">紅綠燈!#REF!</definedName>
    <definedName name="外部資料_168" localSheetId="15">PKA!#REF!</definedName>
    <definedName name="外部資料_168" localSheetId="16">PKB!#REF!</definedName>
    <definedName name="外部資料_168" localSheetId="17">PKC!#REF!</definedName>
    <definedName name="外部資料_168" localSheetId="8">PSR!#REF!</definedName>
    <definedName name="外部資料_168" localSheetId="4">評比系統!$T$1:$T$3</definedName>
    <definedName name="外部資料_168" localSheetId="18">福邦!#REF!</definedName>
    <definedName name="外部資料_1680" localSheetId="2">紅綠燈!#REF!</definedName>
    <definedName name="外部資料_1681" localSheetId="2">紅綠燈!#REF!</definedName>
    <definedName name="外部資料_1682" localSheetId="2">紅綠燈!#REF!</definedName>
    <definedName name="外部資料_1684" localSheetId="2">紅綠燈!#REF!</definedName>
    <definedName name="外部資料_1685" localSheetId="2">紅綠燈!#REF!</definedName>
    <definedName name="外部資料_1686" localSheetId="2">紅綠燈!#REF!</definedName>
    <definedName name="外部資料_1688" localSheetId="2">紅綠燈!#REF!</definedName>
    <definedName name="外部資料_1689" localSheetId="2">紅綠燈!#REF!</definedName>
    <definedName name="外部資料_169" localSheetId="15">PKA!#REF!</definedName>
    <definedName name="外部資料_169" localSheetId="16">PKB!#REF!</definedName>
    <definedName name="外部資料_169" localSheetId="17">PKC!#REF!</definedName>
    <definedName name="外部資料_169" localSheetId="8">PSR!#REF!</definedName>
    <definedName name="外部資料_169" localSheetId="4">評比系統!$T$1:$T$3</definedName>
    <definedName name="外部資料_169" localSheetId="18">福邦!#REF!</definedName>
    <definedName name="外部資料_1690" localSheetId="2">紅綠燈!#REF!</definedName>
    <definedName name="外部資料_1692" localSheetId="2">紅綠燈!#REF!</definedName>
    <definedName name="外部資料_1693" localSheetId="2">紅綠燈!#REF!</definedName>
    <definedName name="外部資料_1695" localSheetId="2">紅綠燈!#REF!</definedName>
    <definedName name="外部資料_1696" localSheetId="2">紅綠燈!#REF!</definedName>
    <definedName name="外部資料_1697" localSheetId="2">紅綠燈!#REF!</definedName>
    <definedName name="外部資料_1699" localSheetId="2">紅綠燈!#REF!</definedName>
    <definedName name="外部資料_17" localSheetId="15">PKA!#REF!</definedName>
    <definedName name="外部資料_17" localSheetId="16">PKB!#REF!</definedName>
    <definedName name="外部資料_17" localSheetId="17">PKC!#REF!</definedName>
    <definedName name="外部資料_17" localSheetId="8">PSR!#REF!</definedName>
    <definedName name="外部資料_17" localSheetId="2">紅綠燈!#REF!</definedName>
    <definedName name="外部資料_17" localSheetId="4">評比系統!#REF!</definedName>
    <definedName name="外部資料_17" localSheetId="18">福邦!#REF!</definedName>
    <definedName name="外部資料_17" localSheetId="5">篩股系統!#REF!</definedName>
    <definedName name="外部資料_17" localSheetId="7">營收搶先報!#REF!</definedName>
    <definedName name="外部資料_170" localSheetId="15">PKA!#REF!</definedName>
    <definedName name="外部資料_170" localSheetId="16">PKB!#REF!</definedName>
    <definedName name="外部資料_170" localSheetId="17">PKC!#REF!</definedName>
    <definedName name="外部資料_170" localSheetId="8">PSR!#REF!</definedName>
    <definedName name="外部資料_170" localSheetId="4">評比系統!$T$1:$T$3</definedName>
    <definedName name="外部資料_170" localSheetId="18">福邦!#REF!</definedName>
    <definedName name="外部資料_1700" localSheetId="2">紅綠燈!#REF!</definedName>
    <definedName name="外部資料_1701" localSheetId="2">紅綠燈!#REF!</definedName>
    <definedName name="外部資料_1703" localSheetId="2">紅綠燈!#REF!</definedName>
    <definedName name="外部資料_1704" localSheetId="2">紅綠燈!#REF!</definedName>
    <definedName name="外部資料_1706" localSheetId="2">紅綠燈!#REF!</definedName>
    <definedName name="外部資料_1707" localSheetId="2">紅綠燈!#REF!</definedName>
    <definedName name="外部資料_1708" localSheetId="2">紅綠燈!#REF!</definedName>
    <definedName name="外部資料_171" localSheetId="15">PKA!#REF!</definedName>
    <definedName name="外部資料_171" localSheetId="16">PKB!#REF!</definedName>
    <definedName name="外部資料_171" localSheetId="17">PKC!#REF!</definedName>
    <definedName name="外部資料_171" localSheetId="8">PSR!#REF!</definedName>
    <definedName name="外部資料_171" localSheetId="4">評比系統!$T$1:$T$3</definedName>
    <definedName name="外部資料_171" localSheetId="18">福邦!#REF!</definedName>
    <definedName name="外部資料_1710" localSheetId="2">紅綠燈!#REF!</definedName>
    <definedName name="外部資料_1711" localSheetId="2">紅綠燈!#REF!</definedName>
    <definedName name="外部資料_1712" localSheetId="2">紅綠燈!#REF!</definedName>
    <definedName name="外部資料_1714" localSheetId="2">紅綠燈!#REF!</definedName>
    <definedName name="外部資料_1715" localSheetId="2">紅綠燈!#REF!</definedName>
    <definedName name="外部資料_1716" localSheetId="2">紅綠燈!#REF!</definedName>
    <definedName name="外部資料_1718" localSheetId="2">紅綠燈!#REF!</definedName>
    <definedName name="外部資料_1719" localSheetId="2">紅綠燈!#REF!</definedName>
    <definedName name="外部資料_172" localSheetId="15">PKA!#REF!</definedName>
    <definedName name="外部資料_172" localSheetId="16">PKB!#REF!</definedName>
    <definedName name="外部資料_172" localSheetId="17">PKC!#REF!</definedName>
    <definedName name="外部資料_172" localSheetId="8">PSR!#REF!</definedName>
    <definedName name="外部資料_172" localSheetId="4">評比系統!$T$1:$T$3</definedName>
    <definedName name="外部資料_172" localSheetId="18">福邦!#REF!</definedName>
    <definedName name="外部資料_1720" localSheetId="2">紅綠燈!#REF!</definedName>
    <definedName name="外部資料_1722" localSheetId="2">紅綠燈!#REF!</definedName>
    <definedName name="外部資料_1723" localSheetId="2">紅綠燈!#REF!</definedName>
    <definedName name="外部資料_1724" localSheetId="2">紅綠燈!#REF!</definedName>
    <definedName name="外部資料_1726" localSheetId="2">紅綠燈!#REF!</definedName>
    <definedName name="外部資料_1727" localSheetId="2">紅綠燈!#REF!</definedName>
    <definedName name="外部資料_1729" localSheetId="2">紅綠燈!#REF!</definedName>
    <definedName name="外部資料_173" localSheetId="15">PKA!#REF!</definedName>
    <definedName name="外部資料_173" localSheetId="16">PKB!#REF!</definedName>
    <definedName name="外部資料_173" localSheetId="17">PKC!#REF!</definedName>
    <definedName name="外部資料_173" localSheetId="8">PSR!#REF!</definedName>
    <definedName name="外部資料_173" localSheetId="4">評比系統!$T$1:$T$3</definedName>
    <definedName name="外部資料_173" localSheetId="18">福邦!#REF!</definedName>
    <definedName name="外部資料_1730" localSheetId="2">紅綠燈!#REF!</definedName>
    <definedName name="外部資料_1732" localSheetId="2">紅綠燈!#REF!</definedName>
    <definedName name="外部資料_1733" localSheetId="2">紅綠燈!#REF!</definedName>
    <definedName name="外部資料_1734" localSheetId="2">紅綠燈!#REF!</definedName>
    <definedName name="外部資料_1736" localSheetId="2">紅綠燈!#REF!</definedName>
    <definedName name="外部資料_1737" localSheetId="2">紅綠燈!#REF!</definedName>
    <definedName name="外部資料_1738" localSheetId="2">紅綠燈!#REF!</definedName>
    <definedName name="外部資料_174" localSheetId="15">PKA!#REF!</definedName>
    <definedName name="外部資料_174" localSheetId="16">PKB!#REF!</definedName>
    <definedName name="外部資料_174" localSheetId="17">PKC!#REF!</definedName>
    <definedName name="外部資料_174" localSheetId="8">PSR!#REF!</definedName>
    <definedName name="外部資料_174" localSheetId="4">評比系統!$T$1:$T$3</definedName>
    <definedName name="外部資料_174" localSheetId="18">福邦!#REF!</definedName>
    <definedName name="外部資料_1740" localSheetId="2">紅綠燈!#REF!</definedName>
    <definedName name="外部資料_1741" localSheetId="2">紅綠燈!#REF!</definedName>
    <definedName name="外部資料_1742" localSheetId="2">紅綠燈!#REF!</definedName>
    <definedName name="外部資料_1744" localSheetId="2">紅綠燈!#REF!</definedName>
    <definedName name="外部資料_1745" localSheetId="2">紅綠燈!#REF!</definedName>
    <definedName name="外部資料_1746" localSheetId="2">紅綠燈!#REF!</definedName>
    <definedName name="外部資料_1748" localSheetId="2">紅綠燈!#REF!</definedName>
    <definedName name="外部資料_1749" localSheetId="2">紅綠燈!#REF!</definedName>
    <definedName name="外部資料_175" localSheetId="15">PKA!#REF!</definedName>
    <definedName name="外部資料_175" localSheetId="16">PKB!#REF!</definedName>
    <definedName name="外部資料_175" localSheetId="17">PKC!#REF!</definedName>
    <definedName name="外部資料_175" localSheetId="8">PSR!#REF!</definedName>
    <definedName name="外部資料_175" localSheetId="4">評比系統!$T$1:$T$3</definedName>
    <definedName name="外部資料_175" localSheetId="18">福邦!#REF!</definedName>
    <definedName name="外部資料_1750" localSheetId="2">紅綠燈!#REF!</definedName>
    <definedName name="外部資料_1752" localSheetId="2">紅綠燈!#REF!</definedName>
    <definedName name="外部資料_1753" localSheetId="2">紅綠燈!#REF!</definedName>
    <definedName name="外部資料_1754" localSheetId="2">紅綠燈!#REF!</definedName>
    <definedName name="外部資料_1756" localSheetId="2">紅綠燈!#REF!</definedName>
    <definedName name="外部資料_1757" localSheetId="2">紅綠燈!#REF!</definedName>
    <definedName name="外部資料_1759" localSheetId="2">紅綠燈!#REF!</definedName>
    <definedName name="外部資料_176" localSheetId="15">PKA!#REF!</definedName>
    <definedName name="外部資料_176" localSheetId="16">PKB!#REF!</definedName>
    <definedName name="外部資料_176" localSheetId="17">PKC!#REF!</definedName>
    <definedName name="外部資料_176" localSheetId="8">PSR!#REF!</definedName>
    <definedName name="外部資料_176" localSheetId="4">評比系統!$T$1:$T$3</definedName>
    <definedName name="外部資料_176" localSheetId="18">福邦!#REF!</definedName>
    <definedName name="外部資料_1760" localSheetId="2">紅綠燈!#REF!</definedName>
    <definedName name="外部資料_1761" localSheetId="2">紅綠燈!#REF!</definedName>
    <definedName name="外部資料_1763" localSheetId="2">紅綠燈!#REF!</definedName>
    <definedName name="外部資料_1764" localSheetId="2">紅綠燈!#REF!</definedName>
    <definedName name="外部資料_1765" localSheetId="2">紅綠燈!#REF!</definedName>
    <definedName name="外部資料_1767" localSheetId="2">紅綠燈!#REF!</definedName>
    <definedName name="外部資料_1768" localSheetId="2">紅綠燈!#REF!</definedName>
    <definedName name="外部資料_1769" localSheetId="2">紅綠燈!#REF!</definedName>
    <definedName name="外部資料_177" localSheetId="15">PKA!#REF!</definedName>
    <definedName name="外部資料_177" localSheetId="16">PKB!#REF!</definedName>
    <definedName name="外部資料_177" localSheetId="17">PKC!#REF!</definedName>
    <definedName name="外部資料_177" localSheetId="8">PSR!#REF!</definedName>
    <definedName name="外部資料_177" localSheetId="4">評比系統!$T$1:$T$3</definedName>
    <definedName name="外部資料_177" localSheetId="18">福邦!#REF!</definedName>
    <definedName name="外部資料_1771" localSheetId="2">紅綠燈!#REF!</definedName>
    <definedName name="外部資料_1772" localSheetId="2">紅綠燈!#REF!</definedName>
    <definedName name="外部資料_1773" localSheetId="2">紅綠燈!#REF!</definedName>
    <definedName name="外部資料_1775" localSheetId="2">紅綠燈!#REF!</definedName>
    <definedName name="外部資料_1776" localSheetId="2">紅綠燈!#REF!</definedName>
    <definedName name="外部資料_1777" localSheetId="2">紅綠燈!#REF!</definedName>
    <definedName name="外部資料_1779" localSheetId="2">紅綠燈!#REF!</definedName>
    <definedName name="外部資料_178" localSheetId="15">PKA!#REF!</definedName>
    <definedName name="外部資料_178" localSheetId="16">PKB!#REF!</definedName>
    <definedName name="外部資料_178" localSheetId="17">PKC!#REF!</definedName>
    <definedName name="外部資料_178" localSheetId="8">PSR!#REF!</definedName>
    <definedName name="外部資料_178" localSheetId="4">評比系統!$T$1:$T$3</definedName>
    <definedName name="外部資料_178" localSheetId="18">福邦!#REF!</definedName>
    <definedName name="外部資料_1780" localSheetId="2">紅綠燈!#REF!</definedName>
    <definedName name="外部資料_1781" localSheetId="2">紅綠燈!#REF!</definedName>
    <definedName name="外部資料_1783" localSheetId="2">紅綠燈!#REF!</definedName>
    <definedName name="外部資料_1784" localSheetId="2">紅綠燈!#REF!</definedName>
    <definedName name="外部資料_1785" localSheetId="2">紅綠燈!#REF!</definedName>
    <definedName name="外部資料_1787" localSheetId="2">紅綠燈!#REF!</definedName>
    <definedName name="外部資料_1788" localSheetId="2">紅綠燈!#REF!</definedName>
    <definedName name="外部資料_1789" localSheetId="2">紅綠燈!#REF!</definedName>
    <definedName name="外部資料_179" localSheetId="15">PKA!#REF!</definedName>
    <definedName name="外部資料_179" localSheetId="16">PKB!#REF!</definedName>
    <definedName name="外部資料_179" localSheetId="17">PKC!#REF!</definedName>
    <definedName name="外部資料_179" localSheetId="8">PSR!#REF!</definedName>
    <definedName name="外部資料_179" localSheetId="4">評比系統!$T$1:$T$3</definedName>
    <definedName name="外部資料_179" localSheetId="18">福邦!#REF!</definedName>
    <definedName name="外部資料_1791" localSheetId="2">紅綠燈!#REF!</definedName>
    <definedName name="外部資料_1792" localSheetId="2">紅綠燈!#REF!</definedName>
    <definedName name="外部資料_1793" localSheetId="2">紅綠燈!#REF!</definedName>
    <definedName name="外部資料_1795" localSheetId="2">紅綠燈!#REF!</definedName>
    <definedName name="外部資料_1796" localSheetId="2">紅綠燈!#REF!</definedName>
    <definedName name="外部資料_1797" localSheetId="2">紅綠燈!#REF!</definedName>
    <definedName name="外部資料_1799" localSheetId="2">紅綠燈!#REF!</definedName>
    <definedName name="外部資料_18" localSheetId="15">PKA!#REF!</definedName>
    <definedName name="外部資料_18" localSheetId="16">PKB!#REF!</definedName>
    <definedName name="外部資料_18" localSheetId="17">PKC!#REF!</definedName>
    <definedName name="外部資料_18" localSheetId="8">PSR!#REF!</definedName>
    <definedName name="外部資料_18" localSheetId="2">紅綠燈!#REF!</definedName>
    <definedName name="外部資料_18" localSheetId="4">評比系統!#REF!</definedName>
    <definedName name="外部資料_18" localSheetId="18">福邦!#REF!</definedName>
    <definedName name="外部資料_18" localSheetId="5">篩股系統!#REF!</definedName>
    <definedName name="外部資料_18" localSheetId="7">營收搶先報!#REF!</definedName>
    <definedName name="外部資料_180" localSheetId="15">PKA!#REF!</definedName>
    <definedName name="外部資料_180" localSheetId="16">PKB!#REF!</definedName>
    <definedName name="外部資料_180" localSheetId="17">PKC!#REF!</definedName>
    <definedName name="外部資料_180" localSheetId="8">PSR!#REF!</definedName>
    <definedName name="外部資料_180" localSheetId="4">評比系統!$T$1:$T$3</definedName>
    <definedName name="外部資料_180" localSheetId="18">福邦!#REF!</definedName>
    <definedName name="外部資料_1800" localSheetId="2">紅綠燈!#REF!</definedName>
    <definedName name="外部資料_1801" localSheetId="2">紅綠燈!#REF!</definedName>
    <definedName name="外部資料_1803" localSheetId="2">紅綠燈!#REF!</definedName>
    <definedName name="外部資料_1804" localSheetId="2">紅綠燈!#REF!</definedName>
    <definedName name="外部資料_1805" localSheetId="2">紅綠燈!#REF!</definedName>
    <definedName name="外部資料_1807" localSheetId="2">紅綠燈!#REF!</definedName>
    <definedName name="外部資料_1808" localSheetId="2">紅綠燈!#REF!</definedName>
    <definedName name="外部資料_1809" localSheetId="2">紅綠燈!#REF!</definedName>
    <definedName name="外部資料_181" localSheetId="15">PKA!#REF!</definedName>
    <definedName name="外部資料_181" localSheetId="16">PKB!#REF!</definedName>
    <definedName name="外部資料_181" localSheetId="17">PKC!#REF!</definedName>
    <definedName name="外部資料_181" localSheetId="8">PSR!#REF!</definedName>
    <definedName name="外部資料_181" localSheetId="4">評比系統!$T$1:$T$3</definedName>
    <definedName name="外部資料_181" localSheetId="18">福邦!#REF!</definedName>
    <definedName name="外部資料_1811" localSheetId="2">紅綠燈!#REF!</definedName>
    <definedName name="外部資料_1812" localSheetId="2">紅綠燈!#REF!</definedName>
    <definedName name="外部資料_1813" localSheetId="2">紅綠燈!#REF!</definedName>
    <definedName name="外部資料_1815" localSheetId="2">紅綠燈!#REF!</definedName>
    <definedName name="外部資料_1816" localSheetId="2">紅綠燈!#REF!</definedName>
    <definedName name="外部資料_1817" localSheetId="2">紅綠燈!#REF!</definedName>
    <definedName name="外部資料_1819" localSheetId="2">紅綠燈!#REF!</definedName>
    <definedName name="外部資料_182" localSheetId="15">PKA!#REF!</definedName>
    <definedName name="外部資料_182" localSheetId="16">PKB!#REF!</definedName>
    <definedName name="外部資料_182" localSheetId="17">PKC!#REF!</definedName>
    <definedName name="外部資料_182" localSheetId="8">PSR!#REF!</definedName>
    <definedName name="外部資料_182" localSheetId="4">評比系統!$T$1:$T$3</definedName>
    <definedName name="外部資料_182" localSheetId="18">福邦!#REF!</definedName>
    <definedName name="外部資料_1820" localSheetId="2">紅綠燈!#REF!</definedName>
    <definedName name="外部資料_1821" localSheetId="2">紅綠燈!#REF!</definedName>
    <definedName name="外部資料_1823" localSheetId="2">紅綠燈!#REF!</definedName>
    <definedName name="外部資料_1824" localSheetId="2">紅綠燈!#REF!</definedName>
    <definedName name="外部資料_1825" localSheetId="2">紅綠燈!#REF!</definedName>
    <definedName name="外部資料_1827" localSheetId="2">紅綠燈!#REF!</definedName>
    <definedName name="外部資料_1828" localSheetId="2">紅綠燈!#REF!</definedName>
    <definedName name="外部資料_1829" localSheetId="2">紅綠燈!#REF!</definedName>
    <definedName name="外部資料_183" localSheetId="15">PKA!#REF!</definedName>
    <definedName name="外部資料_183" localSheetId="16">PKB!#REF!</definedName>
    <definedName name="外部資料_183" localSheetId="17">PKC!#REF!</definedName>
    <definedName name="外部資料_183" localSheetId="8">PSR!#REF!</definedName>
    <definedName name="外部資料_183" localSheetId="4">評比系統!$T$1:$T$3</definedName>
    <definedName name="外部資料_183" localSheetId="18">福邦!#REF!</definedName>
    <definedName name="外部資料_1831" localSheetId="2">紅綠燈!#REF!</definedName>
    <definedName name="外部資料_1832" localSheetId="2">紅綠燈!#REF!</definedName>
    <definedName name="外部資料_1833" localSheetId="2">紅綠燈!#REF!</definedName>
    <definedName name="外部資料_1835" localSheetId="2">紅綠燈!#REF!</definedName>
    <definedName name="外部資料_1836" localSheetId="2">紅綠燈!#REF!</definedName>
    <definedName name="外部資料_1837" localSheetId="2">紅綠燈!#REF!</definedName>
    <definedName name="外部資料_1839" localSheetId="2">紅綠燈!#REF!</definedName>
    <definedName name="外部資料_184" localSheetId="15">PKA!#REF!</definedName>
    <definedName name="外部資料_184" localSheetId="16">PKB!#REF!</definedName>
    <definedName name="外部資料_184" localSheetId="17">PKC!#REF!</definedName>
    <definedName name="外部資料_184" localSheetId="8">PSR!#REF!</definedName>
    <definedName name="外部資料_184" localSheetId="4">評比系統!$T$1:$T$3</definedName>
    <definedName name="外部資料_184" localSheetId="18">福邦!#REF!</definedName>
    <definedName name="外部資料_1840" localSheetId="2">紅綠燈!#REF!</definedName>
    <definedName name="外部資料_1841" localSheetId="2">紅綠燈!#REF!</definedName>
    <definedName name="外部資料_1843" localSheetId="2">紅綠燈!#REF!</definedName>
    <definedName name="外部資料_1844" localSheetId="2">紅綠燈!#REF!</definedName>
    <definedName name="外部資料_1845" localSheetId="2">紅綠燈!#REF!</definedName>
    <definedName name="外部資料_1847" localSheetId="2">紅綠燈!#REF!</definedName>
    <definedName name="外部資料_1848" localSheetId="2">紅綠燈!#REF!</definedName>
    <definedName name="外部資料_1849" localSheetId="2">紅綠燈!#REF!</definedName>
    <definedName name="外部資料_185" localSheetId="15">PKA!#REF!</definedName>
    <definedName name="外部資料_185" localSheetId="16">PKB!#REF!</definedName>
    <definedName name="外部資料_185" localSheetId="17">PKC!#REF!</definedName>
    <definedName name="外部資料_185" localSheetId="8">PSR!#REF!</definedName>
    <definedName name="外部資料_185" localSheetId="4">評比系統!$T$1:$T$3</definedName>
    <definedName name="外部資料_185" localSheetId="18">福邦!#REF!</definedName>
    <definedName name="外部資料_1851" localSheetId="2">紅綠燈!#REF!</definedName>
    <definedName name="外部資料_1852" localSheetId="2">紅綠燈!#REF!</definedName>
    <definedName name="外部資料_1853" localSheetId="2">紅綠燈!#REF!</definedName>
    <definedName name="外部資料_1855" localSheetId="2">紅綠燈!#REF!</definedName>
    <definedName name="外部資料_1856" localSheetId="2">紅綠燈!#REF!</definedName>
    <definedName name="外部資料_1857" localSheetId="2">紅綠燈!#REF!</definedName>
    <definedName name="外部資料_1859" localSheetId="2">紅綠燈!#REF!</definedName>
    <definedName name="外部資料_186" localSheetId="15">PKA!#REF!</definedName>
    <definedName name="外部資料_186" localSheetId="16">PKB!#REF!</definedName>
    <definedName name="外部資料_186" localSheetId="17">PKC!#REF!</definedName>
    <definedName name="外部資料_186" localSheetId="8">PSR!#REF!</definedName>
    <definedName name="外部資料_186" localSheetId="4">評比系統!$T$1:$T$3</definedName>
    <definedName name="外部資料_186" localSheetId="18">福邦!#REF!</definedName>
    <definedName name="外部資料_1860" localSheetId="2">紅綠燈!#REF!</definedName>
    <definedName name="外部資料_1861" localSheetId="2">紅綠燈!#REF!</definedName>
    <definedName name="外部資料_1863" localSheetId="2">紅綠燈!#REF!</definedName>
    <definedName name="外部資料_1864" localSheetId="2">紅綠燈!#REF!</definedName>
    <definedName name="外部資料_1865" localSheetId="2">紅綠燈!#REF!</definedName>
    <definedName name="外部資料_1867" localSheetId="2">紅綠燈!#REF!</definedName>
    <definedName name="外部資料_1868" localSheetId="2">紅綠燈!#REF!</definedName>
    <definedName name="外部資料_1869" localSheetId="2">紅綠燈!#REF!</definedName>
    <definedName name="外部資料_187" localSheetId="15">PKA!#REF!</definedName>
    <definedName name="外部資料_187" localSheetId="16">PKB!#REF!</definedName>
    <definedName name="外部資料_187" localSheetId="17">PKC!#REF!</definedName>
    <definedName name="外部資料_187" localSheetId="8">PSR!#REF!</definedName>
    <definedName name="外部資料_187" localSheetId="4">評比系統!$T$1:$T$3</definedName>
    <definedName name="外部資料_187" localSheetId="18">福邦!#REF!</definedName>
    <definedName name="外部資料_1871" localSheetId="2">紅綠燈!#REF!</definedName>
    <definedName name="外部資料_1872" localSheetId="2">紅綠燈!#REF!</definedName>
    <definedName name="外部資料_1873" localSheetId="2">紅綠燈!#REF!</definedName>
    <definedName name="外部資料_1875" localSheetId="2">紅綠燈!#REF!</definedName>
    <definedName name="外部資料_1876" localSheetId="2">紅綠燈!#REF!</definedName>
    <definedName name="外部資料_1877" localSheetId="2">紅綠燈!#REF!</definedName>
    <definedName name="外部資料_1879" localSheetId="2">紅綠燈!#REF!</definedName>
    <definedName name="外部資料_188" localSheetId="15">PKA!#REF!</definedName>
    <definedName name="外部資料_188" localSheetId="16">PKB!#REF!</definedName>
    <definedName name="外部資料_188" localSheetId="17">PKC!#REF!</definedName>
    <definedName name="外部資料_188" localSheetId="8">PSR!#REF!</definedName>
    <definedName name="外部資料_188" localSheetId="4">評比系統!$T$1:$T$3</definedName>
    <definedName name="外部資料_188" localSheetId="18">福邦!#REF!</definedName>
    <definedName name="外部資料_1880" localSheetId="2">紅綠燈!#REF!</definedName>
    <definedName name="外部資料_1881" localSheetId="2">紅綠燈!#REF!</definedName>
    <definedName name="外部資料_1883" localSheetId="2">紅綠燈!#REF!</definedName>
    <definedName name="外部資料_1884" localSheetId="2">紅綠燈!#REF!</definedName>
    <definedName name="外部資料_1885" localSheetId="2">紅綠燈!#REF!</definedName>
    <definedName name="外部資料_1887" localSheetId="2">紅綠燈!#REF!</definedName>
    <definedName name="外部資料_1888" localSheetId="2">紅綠燈!#REF!</definedName>
    <definedName name="外部資料_1889" localSheetId="2">紅綠燈!#REF!</definedName>
    <definedName name="外部資料_189" localSheetId="15">PKA!#REF!</definedName>
    <definedName name="外部資料_189" localSheetId="16">PKB!#REF!</definedName>
    <definedName name="外部資料_189" localSheetId="17">PKC!#REF!</definedName>
    <definedName name="外部資料_189" localSheetId="8">PSR!#REF!</definedName>
    <definedName name="外部資料_189" localSheetId="4">評比系統!$T$1:$T$3</definedName>
    <definedName name="外部資料_189" localSheetId="18">福邦!#REF!</definedName>
    <definedName name="外部資料_1891" localSheetId="2">紅綠燈!#REF!</definedName>
    <definedName name="外部資料_1892" localSheetId="2">紅綠燈!#REF!</definedName>
    <definedName name="外部資料_1893" localSheetId="2">紅綠燈!#REF!</definedName>
    <definedName name="外部資料_1895" localSheetId="2">紅綠燈!#REF!</definedName>
    <definedName name="外部資料_1896" localSheetId="2">紅綠燈!#REF!</definedName>
    <definedName name="外部資料_1897" localSheetId="2">紅綠燈!#REF!</definedName>
    <definedName name="外部資料_1899" localSheetId="2">紅綠燈!#REF!</definedName>
    <definedName name="外部資料_19" localSheetId="15">PKA!#REF!</definedName>
    <definedName name="外部資料_19" localSheetId="16">PKB!#REF!</definedName>
    <definedName name="外部資料_19" localSheetId="17">PKC!#REF!</definedName>
    <definedName name="外部資料_19" localSheetId="8">PSR!#REF!</definedName>
    <definedName name="外部資料_19" localSheetId="2">紅綠燈!#REF!</definedName>
    <definedName name="外部資料_19" localSheetId="4">評比系統!#REF!</definedName>
    <definedName name="外部資料_19" localSheetId="18">福邦!#REF!</definedName>
    <definedName name="外部資料_19" localSheetId="5">篩股系統!#REF!</definedName>
    <definedName name="外部資料_19" localSheetId="7">營收搶先報!#REF!</definedName>
    <definedName name="外部資料_190" localSheetId="15">PKA!#REF!</definedName>
    <definedName name="外部資料_190" localSheetId="16">PKB!#REF!</definedName>
    <definedName name="外部資料_190" localSheetId="17">PKC!#REF!</definedName>
    <definedName name="外部資料_190" localSheetId="8">PSR!#REF!</definedName>
    <definedName name="外部資料_190" localSheetId="4">評比系統!$T$1:$T$3</definedName>
    <definedName name="外部資料_190" localSheetId="18">福邦!#REF!</definedName>
    <definedName name="外部資料_1900" localSheetId="2">紅綠燈!#REF!</definedName>
    <definedName name="外部資料_1901" localSheetId="2">紅綠燈!#REF!</definedName>
    <definedName name="外部資料_1903" localSheetId="2">紅綠燈!#REF!</definedName>
    <definedName name="外部資料_1904" localSheetId="2">紅綠燈!#REF!</definedName>
    <definedName name="外部資料_1905" localSheetId="2">紅綠燈!#REF!</definedName>
    <definedName name="外部資料_1907" localSheetId="2">紅綠燈!#REF!</definedName>
    <definedName name="外部資料_1908" localSheetId="2">紅綠燈!#REF!</definedName>
    <definedName name="外部資料_1909" localSheetId="2">紅綠燈!#REF!</definedName>
    <definedName name="外部資料_191" localSheetId="15">PKA!#REF!</definedName>
    <definedName name="外部資料_191" localSheetId="16">PKB!#REF!</definedName>
    <definedName name="外部資料_191" localSheetId="17">PKC!#REF!</definedName>
    <definedName name="外部資料_191" localSheetId="8">PSR!#REF!</definedName>
    <definedName name="外部資料_191" localSheetId="4">評比系統!$T$1:$T$3</definedName>
    <definedName name="外部資料_191" localSheetId="18">福邦!#REF!</definedName>
    <definedName name="外部資料_1911" localSheetId="2">紅綠燈!#REF!</definedName>
    <definedName name="外部資料_1912" localSheetId="2">紅綠燈!#REF!</definedName>
    <definedName name="外部資料_1914" localSheetId="2">紅綠燈!#REF!</definedName>
    <definedName name="外部資料_1915" localSheetId="2">紅綠燈!#REF!</definedName>
    <definedName name="外部資料_1917" localSheetId="2">紅綠燈!#REF!</definedName>
    <definedName name="外部資料_1918" localSheetId="2">紅綠燈!#REF!</definedName>
    <definedName name="外部資料_1919" localSheetId="2">紅綠燈!#REF!</definedName>
    <definedName name="外部資料_192" localSheetId="15">PKA!#REF!</definedName>
    <definedName name="外部資料_192" localSheetId="16">PKB!#REF!</definedName>
    <definedName name="外部資料_192" localSheetId="17">PKC!#REF!</definedName>
    <definedName name="外部資料_192" localSheetId="8">PSR!#REF!</definedName>
    <definedName name="外部資料_192" localSheetId="4">評比系統!$T$1:$T$3</definedName>
    <definedName name="外部資料_192" localSheetId="18">福邦!#REF!</definedName>
    <definedName name="外部資料_1921" localSheetId="2">紅綠燈!#REF!</definedName>
    <definedName name="外部資料_1922" localSheetId="2">紅綠燈!#REF!</definedName>
    <definedName name="外部資料_1923" localSheetId="2">紅綠燈!#REF!</definedName>
    <definedName name="外部資料_1925" localSheetId="2">紅綠燈!#REF!</definedName>
    <definedName name="外部資料_1926" localSheetId="2">紅綠燈!#REF!</definedName>
    <definedName name="外部資料_1927" localSheetId="2">紅綠燈!#REF!</definedName>
    <definedName name="外部資料_1929" localSheetId="2">紅綠燈!#REF!</definedName>
    <definedName name="外部資料_193" localSheetId="15">PKA!#REF!</definedName>
    <definedName name="外部資料_193" localSheetId="16">PKB!#REF!</definedName>
    <definedName name="外部資料_193" localSheetId="17">PKC!#REF!</definedName>
    <definedName name="外部資料_193" localSheetId="8">PSR!#REF!</definedName>
    <definedName name="外部資料_193" localSheetId="4">評比系統!$T$1:$T$3</definedName>
    <definedName name="外部資料_193" localSheetId="18">福邦!#REF!</definedName>
    <definedName name="外部資料_1930" localSheetId="2">紅綠燈!#REF!</definedName>
    <definedName name="外部資料_1931" localSheetId="2">紅綠燈!#REF!</definedName>
    <definedName name="外部資料_1933" localSheetId="2">紅綠燈!#REF!</definedName>
    <definedName name="外部資料_1934" localSheetId="2">紅綠燈!#REF!</definedName>
    <definedName name="外部資料_1935" localSheetId="2">紅綠燈!#REF!</definedName>
    <definedName name="外部資料_1937" localSheetId="2">紅綠燈!#REF!</definedName>
    <definedName name="外部資料_1938" localSheetId="2">紅綠燈!#REF!</definedName>
    <definedName name="外部資料_1939" localSheetId="2">紅綠燈!#REF!</definedName>
    <definedName name="外部資料_194" localSheetId="15">PKA!#REF!</definedName>
    <definedName name="外部資料_194" localSheetId="16">PKB!#REF!</definedName>
    <definedName name="外部資料_194" localSheetId="17">PKC!#REF!</definedName>
    <definedName name="外部資料_194" localSheetId="8">PSR!#REF!</definedName>
    <definedName name="外部資料_194" localSheetId="4">評比系統!$T$1:$T$3</definedName>
    <definedName name="外部資料_194" localSheetId="18">福邦!#REF!</definedName>
    <definedName name="外部資料_1941" localSheetId="2">紅綠燈!#REF!</definedName>
    <definedName name="外部資料_1942" localSheetId="2">紅綠燈!#REF!</definedName>
    <definedName name="外部資料_1943" localSheetId="2">紅綠燈!#REF!</definedName>
    <definedName name="外部資料_1945" localSheetId="2">紅綠燈!#REF!</definedName>
    <definedName name="外部資料_1946" localSheetId="2">紅綠燈!#REF!</definedName>
    <definedName name="外部資料_1947" localSheetId="2">紅綠燈!#REF!</definedName>
    <definedName name="外部資料_1949" localSheetId="2">紅綠燈!#REF!</definedName>
    <definedName name="外部資料_195" localSheetId="15">PKA!#REF!</definedName>
    <definedName name="外部資料_195" localSheetId="16">PKB!#REF!</definedName>
    <definedName name="外部資料_195" localSheetId="17">PKC!#REF!</definedName>
    <definedName name="外部資料_195" localSheetId="8">PSR!#REF!</definedName>
    <definedName name="外部資料_195" localSheetId="4">評比系統!$T$1:$T$3</definedName>
    <definedName name="外部資料_195" localSheetId="18">福邦!#REF!</definedName>
    <definedName name="外部資料_1950" localSheetId="2">紅綠燈!#REF!</definedName>
    <definedName name="外部資料_1951" localSheetId="2">紅綠燈!#REF!</definedName>
    <definedName name="外部資料_1953" localSheetId="2">紅綠燈!#REF!</definedName>
    <definedName name="外部資料_1954" localSheetId="2">紅綠燈!#REF!</definedName>
    <definedName name="外部資料_1956" localSheetId="2">紅綠燈!#REF!</definedName>
    <definedName name="外部資料_1957" localSheetId="2">紅綠燈!#REF!</definedName>
    <definedName name="外部資料_1958" localSheetId="2">紅綠燈!#REF!</definedName>
    <definedName name="外部資料_196" localSheetId="15">PKA!#REF!</definedName>
    <definedName name="外部資料_196" localSheetId="16">PKB!#REF!</definedName>
    <definedName name="外部資料_196" localSheetId="17">PKC!#REF!</definedName>
    <definedName name="外部資料_196" localSheetId="8">PSR!#REF!</definedName>
    <definedName name="外部資料_196" localSheetId="4">評比系統!$T$1:$T$3</definedName>
    <definedName name="外部資料_196" localSheetId="18">福邦!#REF!</definedName>
    <definedName name="外部資料_1960" localSheetId="2">紅綠燈!#REF!</definedName>
    <definedName name="外部資料_1961" localSheetId="2">紅綠燈!#REF!</definedName>
    <definedName name="外部資料_1962" localSheetId="2">紅綠燈!#REF!</definedName>
    <definedName name="外部資料_1964" localSheetId="2">紅綠燈!#REF!</definedName>
    <definedName name="外部資料_1965" localSheetId="2">紅綠燈!#REF!</definedName>
    <definedName name="外部資料_1966" localSheetId="2">紅綠燈!#REF!</definedName>
    <definedName name="外部資料_1968" localSheetId="2">紅綠燈!#REF!</definedName>
    <definedName name="外部資料_1969" localSheetId="2">紅綠燈!#REF!</definedName>
    <definedName name="外部資料_197" localSheetId="15">PKA!#REF!</definedName>
    <definedName name="外部資料_197" localSheetId="16">PKB!#REF!</definedName>
    <definedName name="外部資料_197" localSheetId="17">PKC!#REF!</definedName>
    <definedName name="外部資料_197" localSheetId="8">PSR!#REF!</definedName>
    <definedName name="外部資料_197" localSheetId="4">評比系統!$T$1:$T$3</definedName>
    <definedName name="外部資料_197" localSheetId="18">福邦!#REF!</definedName>
    <definedName name="外部資料_1970" localSheetId="2">紅綠燈!#REF!</definedName>
    <definedName name="外部資料_1972" localSheetId="2">紅綠燈!#REF!</definedName>
    <definedName name="外部資料_1973" localSheetId="2">紅綠燈!#REF!</definedName>
    <definedName name="外部資料_1974" localSheetId="2">紅綠燈!#REF!</definedName>
    <definedName name="外部資料_1976" localSheetId="2">紅綠燈!#REF!</definedName>
    <definedName name="外部資料_1977" localSheetId="2">紅綠燈!#REF!</definedName>
    <definedName name="外部資料_1978" localSheetId="2">紅綠燈!#REF!</definedName>
    <definedName name="外部資料_198" localSheetId="15">PKA!#REF!</definedName>
    <definedName name="外部資料_198" localSheetId="16">PKB!#REF!</definedName>
    <definedName name="外部資料_198" localSheetId="17">PKC!#REF!</definedName>
    <definedName name="外部資料_198" localSheetId="8">PSR!#REF!</definedName>
    <definedName name="外部資料_198" localSheetId="4">評比系統!$T$1:$T$3</definedName>
    <definedName name="外部資料_198" localSheetId="18">福邦!#REF!</definedName>
    <definedName name="外部資料_1980" localSheetId="2">紅綠燈!#REF!</definedName>
    <definedName name="外部資料_1981" localSheetId="2">紅綠燈!#REF!</definedName>
    <definedName name="外部資料_1982" localSheetId="2">紅綠燈!#REF!</definedName>
    <definedName name="外部資料_1984" localSheetId="2">紅綠燈!#REF!</definedName>
    <definedName name="外部資料_1985" localSheetId="2">紅綠燈!#REF!</definedName>
    <definedName name="外部資料_1986" localSheetId="2">紅綠燈!#REF!</definedName>
    <definedName name="外部資料_1988" localSheetId="2">紅綠燈!#REF!</definedName>
    <definedName name="外部資料_1989" localSheetId="2">紅綠燈!#REF!</definedName>
    <definedName name="外部資料_199" localSheetId="15">PKA!#REF!</definedName>
    <definedName name="外部資料_199" localSheetId="16">PKB!#REF!</definedName>
    <definedName name="外部資料_199" localSheetId="17">PKC!#REF!</definedName>
    <definedName name="外部資料_199" localSheetId="8">PSR!#REF!</definedName>
    <definedName name="外部資料_199" localSheetId="4">評比系統!$T$1:$T$3</definedName>
    <definedName name="外部資料_199" localSheetId="18">福邦!#REF!</definedName>
    <definedName name="外部資料_1990" localSheetId="2">紅綠燈!#REF!</definedName>
    <definedName name="外部資料_1992" localSheetId="2">紅綠燈!#REF!</definedName>
    <definedName name="外部資料_1993" localSheetId="2">紅綠燈!#REF!</definedName>
    <definedName name="外部資料_1994" localSheetId="2">紅綠燈!#REF!</definedName>
    <definedName name="外部資料_1996" localSheetId="2">紅綠燈!#REF!</definedName>
    <definedName name="外部資料_1997" localSheetId="2">紅綠燈!#REF!</definedName>
    <definedName name="外部資料_1998" localSheetId="2">紅綠燈!#REF!</definedName>
    <definedName name="外部資料_2" localSheetId="15">PKA!#REF!</definedName>
    <definedName name="外部資料_2" localSheetId="16">PKB!#REF!</definedName>
    <definedName name="外部資料_2" localSheetId="17">PKC!#REF!</definedName>
    <definedName name="外部資料_2" localSheetId="8">PSR!#REF!</definedName>
    <definedName name="外部資料_2" localSheetId="2">紅綠燈!#REF!</definedName>
    <definedName name="外部資料_2" localSheetId="4">評比系統!#REF!</definedName>
    <definedName name="外部資料_2" localSheetId="18">福邦!#REF!</definedName>
    <definedName name="外部資料_2" localSheetId="5">篩股系統!#REF!</definedName>
    <definedName name="外部資料_2" localSheetId="7">營收搶先報!#REF!</definedName>
    <definedName name="外部資料_20" localSheetId="15">PKA!#REF!</definedName>
    <definedName name="外部資料_20" localSheetId="16">PKB!#REF!</definedName>
    <definedName name="外部資料_20" localSheetId="17">PKC!#REF!</definedName>
    <definedName name="外部資料_20" localSheetId="8">PSR!#REF!</definedName>
    <definedName name="外部資料_20" localSheetId="2">紅綠燈!#REF!</definedName>
    <definedName name="外部資料_20" localSheetId="4">評比系統!#REF!</definedName>
    <definedName name="外部資料_20" localSheetId="18">福邦!#REF!</definedName>
    <definedName name="外部資料_20" localSheetId="5">篩股系統!#REF!</definedName>
    <definedName name="外部資料_20" localSheetId="7">營收搶先報!#REF!</definedName>
    <definedName name="外部資料_200" localSheetId="15">PKA!#REF!</definedName>
    <definedName name="外部資料_200" localSheetId="16">PKB!#REF!</definedName>
    <definedName name="外部資料_200" localSheetId="17">PKC!#REF!</definedName>
    <definedName name="外部資料_200" localSheetId="8">PSR!#REF!</definedName>
    <definedName name="外部資料_200" localSheetId="4">評比系統!$T$1:$T$3</definedName>
    <definedName name="外部資料_200" localSheetId="18">福邦!#REF!</definedName>
    <definedName name="外部資料_2000" localSheetId="2">紅綠燈!#REF!</definedName>
    <definedName name="外部資料_2001" localSheetId="2">紅綠燈!#REF!</definedName>
    <definedName name="外部資料_2002" localSheetId="2">紅綠燈!#REF!</definedName>
    <definedName name="外部資料_2004" localSheetId="2">紅綠燈!#REF!</definedName>
    <definedName name="外部資料_2005" localSheetId="2">紅綠燈!#REF!</definedName>
    <definedName name="外部資料_2006" localSheetId="2">紅綠燈!#REF!</definedName>
    <definedName name="外部資料_2008" localSheetId="2">紅綠燈!#REF!</definedName>
    <definedName name="外部資料_2009" localSheetId="2">紅綠燈!#REF!</definedName>
    <definedName name="外部資料_201" localSheetId="15">PKA!#REF!</definedName>
    <definedName name="外部資料_201" localSheetId="16">PKB!#REF!</definedName>
    <definedName name="外部資料_201" localSheetId="17">PKC!#REF!</definedName>
    <definedName name="外部資料_201" localSheetId="8">PSR!#REF!</definedName>
    <definedName name="外部資料_201" localSheetId="4">評比系統!$T$1:$T$3</definedName>
    <definedName name="外部資料_201" localSheetId="18">福邦!#REF!</definedName>
    <definedName name="外部資料_2010" localSheetId="2">紅綠燈!#REF!</definedName>
    <definedName name="外部資料_2012" localSheetId="2">紅綠燈!#REF!</definedName>
    <definedName name="外部資料_2013" localSheetId="2">紅綠燈!#REF!</definedName>
    <definedName name="外部資料_2014" localSheetId="2">紅綠燈!#REF!</definedName>
    <definedName name="外部資料_2016" localSheetId="2">紅綠燈!#REF!</definedName>
    <definedName name="外部資料_2017" localSheetId="2">紅綠燈!#REF!</definedName>
    <definedName name="外部資料_2018" localSheetId="2">紅綠燈!#REF!</definedName>
    <definedName name="外部資料_202" localSheetId="15">PKA!#REF!</definedName>
    <definedName name="外部資料_202" localSheetId="16">PKB!#REF!</definedName>
    <definedName name="外部資料_202" localSheetId="17">PKC!#REF!</definedName>
    <definedName name="外部資料_202" localSheetId="8">PSR!#REF!</definedName>
    <definedName name="外部資料_202" localSheetId="4">評比系統!$T$1:$T$3</definedName>
    <definedName name="外部資料_202" localSheetId="18">福邦!#REF!</definedName>
    <definedName name="外部資料_2020" localSheetId="2">紅綠燈!#REF!</definedName>
    <definedName name="外部資料_2021" localSheetId="2">紅綠燈!#REF!</definedName>
    <definedName name="外部資料_2022" localSheetId="2">紅綠燈!#REF!</definedName>
    <definedName name="外部資料_2024" localSheetId="2">紅綠燈!#REF!</definedName>
    <definedName name="外部資料_2025" localSheetId="2">紅綠燈!#REF!</definedName>
    <definedName name="外部資料_2026" localSheetId="2">紅綠燈!#REF!</definedName>
    <definedName name="外部資料_2028" localSheetId="2">紅綠燈!#REF!</definedName>
    <definedName name="外部資料_2029" localSheetId="2">紅綠燈!#REF!</definedName>
    <definedName name="外部資料_203" localSheetId="15">PKA!#REF!</definedName>
    <definedName name="外部資料_203" localSheetId="16">PKB!#REF!</definedName>
    <definedName name="外部資料_203" localSheetId="17">PKC!#REF!</definedName>
    <definedName name="外部資料_203" localSheetId="8">PSR!#REF!</definedName>
    <definedName name="外部資料_203" localSheetId="4">評比系統!$T$1:$T$3</definedName>
    <definedName name="外部資料_203" localSheetId="18">福邦!#REF!</definedName>
    <definedName name="外部資料_2030" localSheetId="2">紅綠燈!#REF!</definedName>
    <definedName name="外部資料_2032" localSheetId="2">紅綠燈!#REF!</definedName>
    <definedName name="外部資料_2033" localSheetId="2">紅綠燈!#REF!</definedName>
    <definedName name="外部資料_2034" localSheetId="2">紅綠燈!#REF!</definedName>
    <definedName name="外部資料_2036" localSheetId="2">紅綠燈!#REF!</definedName>
    <definedName name="外部資料_2037" localSheetId="2">紅綠燈!#REF!</definedName>
    <definedName name="外部資料_2038" localSheetId="2">紅綠燈!#REF!</definedName>
    <definedName name="外部資料_204" localSheetId="15">PKA!#REF!</definedName>
    <definedName name="外部資料_204" localSheetId="16">PKB!#REF!</definedName>
    <definedName name="外部資料_204" localSheetId="17">PKC!#REF!</definedName>
    <definedName name="外部資料_204" localSheetId="8">PSR!#REF!</definedName>
    <definedName name="外部資料_204" localSheetId="4">評比系統!$T$1:$T$3</definedName>
    <definedName name="外部資料_204" localSheetId="18">福邦!#REF!</definedName>
    <definedName name="外部資料_2040" localSheetId="2">紅綠燈!#REF!</definedName>
    <definedName name="外部資料_2041" localSheetId="2">紅綠燈!#REF!</definedName>
    <definedName name="外部資料_2042" localSheetId="2">紅綠燈!#REF!</definedName>
    <definedName name="外部資料_2044" localSheetId="2">紅綠燈!#REF!</definedName>
    <definedName name="外部資料_2045" localSheetId="2">紅綠燈!#REF!</definedName>
    <definedName name="外部資料_2046" localSheetId="2">紅綠燈!#REF!</definedName>
    <definedName name="外部資料_2048" localSheetId="2">紅綠燈!#REF!</definedName>
    <definedName name="外部資料_2049" localSheetId="2">紅綠燈!#REF!</definedName>
    <definedName name="外部資料_205" localSheetId="15">PKA!#REF!</definedName>
    <definedName name="外部資料_205" localSheetId="16">PKB!#REF!</definedName>
    <definedName name="外部資料_205" localSheetId="17">PKC!#REF!</definedName>
    <definedName name="外部資料_205" localSheetId="8">PSR!#REF!</definedName>
    <definedName name="外部資料_205" localSheetId="4">評比系統!$T$1:$T$3</definedName>
    <definedName name="外部資料_205" localSheetId="18">福邦!#REF!</definedName>
    <definedName name="外部資料_2050" localSheetId="2">紅綠燈!#REF!</definedName>
    <definedName name="外部資料_2052" localSheetId="2">紅綠燈!#REF!</definedName>
    <definedName name="外部資料_2053" localSheetId="2">紅綠燈!#REF!</definedName>
    <definedName name="外部資料_2054" localSheetId="2">紅綠燈!#REF!</definedName>
    <definedName name="外部資料_2056" localSheetId="2">紅綠燈!#REF!</definedName>
    <definedName name="外部資料_2057" localSheetId="2">紅綠燈!#REF!</definedName>
    <definedName name="外部資料_2058" localSheetId="2">紅綠燈!#REF!</definedName>
    <definedName name="外部資料_206" localSheetId="15">PKA!#REF!</definedName>
    <definedName name="外部資料_206" localSheetId="16">PKB!#REF!</definedName>
    <definedName name="外部資料_206" localSheetId="17">PKC!#REF!</definedName>
    <definedName name="外部資料_206" localSheetId="8">PSR!#REF!</definedName>
    <definedName name="外部資料_206" localSheetId="4">評比系統!$T$1:$T$3</definedName>
    <definedName name="外部資料_206" localSheetId="18">福邦!#REF!</definedName>
    <definedName name="外部資料_2060" localSheetId="2">紅綠燈!#REF!</definedName>
    <definedName name="外部資料_2061" localSheetId="2">紅綠燈!#REF!</definedName>
    <definedName name="外部資料_2062" localSheetId="2">紅綠燈!#REF!</definedName>
    <definedName name="外部資料_2064" localSheetId="2">紅綠燈!#REF!</definedName>
    <definedName name="外部資料_2065" localSheetId="2">紅綠燈!#REF!</definedName>
    <definedName name="外部資料_2066" localSheetId="2">紅綠燈!#REF!</definedName>
    <definedName name="外部資料_2068" localSheetId="2">紅綠燈!#REF!</definedName>
    <definedName name="外部資料_2069" localSheetId="2">紅綠燈!#REF!</definedName>
    <definedName name="外部資料_207" localSheetId="15">PKA!#REF!</definedName>
    <definedName name="外部資料_207" localSheetId="16">PKB!#REF!</definedName>
    <definedName name="外部資料_207" localSheetId="17">PKC!#REF!</definedName>
    <definedName name="外部資料_207" localSheetId="8">PSR!#REF!</definedName>
    <definedName name="外部資料_207" localSheetId="4">評比系統!$T$1:$T$3</definedName>
    <definedName name="外部資料_207" localSheetId="18">福邦!#REF!</definedName>
    <definedName name="外部資料_2070" localSheetId="2">紅綠燈!#REF!</definedName>
    <definedName name="外部資料_2072" localSheetId="2">紅綠燈!#REF!</definedName>
    <definedName name="外部資料_2073" localSheetId="2">紅綠燈!#REF!</definedName>
    <definedName name="外部資料_2074" localSheetId="2">紅綠燈!#REF!</definedName>
    <definedName name="外部資料_2076" localSheetId="2">紅綠燈!#REF!</definedName>
    <definedName name="外部資料_2077" localSheetId="2">紅綠燈!#REF!</definedName>
    <definedName name="外部資料_2078" localSheetId="2">紅綠燈!#REF!</definedName>
    <definedName name="外部資料_208" localSheetId="15">PKA!#REF!</definedName>
    <definedName name="外部資料_208" localSheetId="16">PKB!#REF!</definedName>
    <definedName name="外部資料_208" localSheetId="17">PKC!#REF!</definedName>
    <definedName name="外部資料_208" localSheetId="8">PSR!#REF!</definedName>
    <definedName name="外部資料_208" localSheetId="4">評比系統!$T$1:$T$3</definedName>
    <definedName name="外部資料_208" localSheetId="18">福邦!#REF!</definedName>
    <definedName name="外部資料_2080" localSheetId="2">紅綠燈!#REF!</definedName>
    <definedName name="外部資料_2081" localSheetId="2">紅綠燈!#REF!</definedName>
    <definedName name="外部資料_2082" localSheetId="2">紅綠燈!#REF!</definedName>
    <definedName name="外部資料_2084" localSheetId="2">紅綠燈!#REF!</definedName>
    <definedName name="外部資料_2085" localSheetId="2">紅綠燈!#REF!</definedName>
    <definedName name="外部資料_2086" localSheetId="2">紅綠燈!#REF!</definedName>
    <definedName name="外部資料_2088" localSheetId="2">紅綠燈!#REF!</definedName>
    <definedName name="外部資料_2089" localSheetId="2">紅綠燈!#REF!</definedName>
    <definedName name="外部資料_209" localSheetId="15">PKA!#REF!</definedName>
    <definedName name="外部資料_209" localSheetId="16">PKB!#REF!</definedName>
    <definedName name="外部資料_209" localSheetId="17">PKC!#REF!</definedName>
    <definedName name="外部資料_209" localSheetId="8">PSR!#REF!</definedName>
    <definedName name="外部資料_209" localSheetId="4">評比系統!$T$1:$T$3</definedName>
    <definedName name="外部資料_209" localSheetId="18">福邦!#REF!</definedName>
    <definedName name="外部資料_2090" localSheetId="2">紅綠燈!#REF!</definedName>
    <definedName name="外部資料_2092" localSheetId="2">紅綠燈!#REF!</definedName>
    <definedName name="外部資料_2093" localSheetId="2">紅綠燈!#REF!</definedName>
    <definedName name="外部資料_2094" localSheetId="2">紅綠燈!#REF!</definedName>
    <definedName name="外部資料_2096" localSheetId="2">紅綠燈!#REF!</definedName>
    <definedName name="外部資料_2097" localSheetId="2">紅綠燈!#REF!</definedName>
    <definedName name="外部資料_2098" localSheetId="2">紅綠燈!#REF!</definedName>
    <definedName name="外部資料_21" localSheetId="15">PKA!#REF!</definedName>
    <definedName name="外部資料_21" localSheetId="16">PKB!#REF!</definedName>
    <definedName name="外部資料_21" localSheetId="17">PKC!#REF!</definedName>
    <definedName name="外部資料_21" localSheetId="8">PSR!#REF!</definedName>
    <definedName name="外部資料_21" localSheetId="2">紅綠燈!#REF!</definedName>
    <definedName name="外部資料_21" localSheetId="4">評比系統!#REF!</definedName>
    <definedName name="外部資料_21" localSheetId="18">福邦!#REF!</definedName>
    <definedName name="外部資料_21" localSheetId="5">篩股系統!#REF!</definedName>
    <definedName name="外部資料_21" localSheetId="7">營收搶先報!#REF!</definedName>
    <definedName name="外部資料_210" localSheetId="15">PKA!#REF!</definedName>
    <definedName name="外部資料_210" localSheetId="16">PKB!#REF!</definedName>
    <definedName name="外部資料_210" localSheetId="17">PKC!#REF!</definedName>
    <definedName name="外部資料_210" localSheetId="8">PSR!#REF!</definedName>
    <definedName name="外部資料_210" localSheetId="4">評比系統!$T$1:$T$3</definedName>
    <definedName name="外部資料_210" localSheetId="18">福邦!#REF!</definedName>
    <definedName name="外部資料_2100" localSheetId="2">紅綠燈!#REF!</definedName>
    <definedName name="外部資料_2101" localSheetId="2">紅綠燈!#REF!</definedName>
    <definedName name="外部資料_2102" localSheetId="2">紅綠燈!#REF!</definedName>
    <definedName name="外部資料_2104" localSheetId="2">紅綠燈!#REF!</definedName>
    <definedName name="外部資料_2105" localSheetId="2">紅綠燈!#REF!</definedName>
    <definedName name="外部資料_2106" localSheetId="2">紅綠燈!#REF!</definedName>
    <definedName name="外部資料_2108" localSheetId="2">紅綠燈!#REF!</definedName>
    <definedName name="外部資料_2109" localSheetId="2">紅綠燈!#REF!</definedName>
    <definedName name="外部資料_211" localSheetId="15">PKA!#REF!</definedName>
    <definedName name="外部資料_211" localSheetId="16">PKB!#REF!</definedName>
    <definedName name="外部資料_211" localSheetId="17">PKC!#REF!</definedName>
    <definedName name="外部資料_211" localSheetId="8">PSR!#REF!</definedName>
    <definedName name="外部資料_211" localSheetId="4">評比系統!$T$1:$T$3</definedName>
    <definedName name="外部資料_211" localSheetId="18">福邦!#REF!</definedName>
    <definedName name="外部資料_2110" localSheetId="2">紅綠燈!#REF!</definedName>
    <definedName name="外部資料_2112" localSheetId="2">紅綠燈!#REF!</definedName>
    <definedName name="外部資料_2113" localSheetId="2">紅綠燈!#REF!</definedName>
    <definedName name="外部資料_2114" localSheetId="2">紅綠燈!#REF!</definedName>
    <definedName name="外部資料_2116" localSheetId="2">紅綠燈!#REF!</definedName>
    <definedName name="外部資料_2117" localSheetId="2">紅綠燈!#REF!</definedName>
    <definedName name="外部資料_2118" localSheetId="2">紅綠燈!#REF!</definedName>
    <definedName name="外部資料_212" localSheetId="15">PKA!#REF!</definedName>
    <definedName name="外部資料_212" localSheetId="16">PKB!#REF!</definedName>
    <definedName name="外部資料_212" localSheetId="17">PKC!#REF!</definedName>
    <definedName name="外部資料_212" localSheetId="8">PSR!#REF!</definedName>
    <definedName name="外部資料_212" localSheetId="4">評比系統!$T$1:$T$3</definedName>
    <definedName name="外部資料_212" localSheetId="18">福邦!#REF!</definedName>
    <definedName name="外部資料_2120" localSheetId="2">紅綠燈!#REF!</definedName>
    <definedName name="外部資料_2121" localSheetId="2">紅綠燈!#REF!</definedName>
    <definedName name="外部資料_2122" localSheetId="2">紅綠燈!#REF!</definedName>
    <definedName name="外部資料_2124" localSheetId="2">紅綠燈!#REF!</definedName>
    <definedName name="外部資料_2125" localSheetId="2">紅綠燈!#REF!</definedName>
    <definedName name="外部資料_2126" localSheetId="2">紅綠燈!#REF!</definedName>
    <definedName name="外部資料_2128" localSheetId="2">紅綠燈!#REF!</definedName>
    <definedName name="外部資料_2129" localSheetId="2">紅綠燈!#REF!</definedName>
    <definedName name="外部資料_213" localSheetId="15">PKA!#REF!</definedName>
    <definedName name="外部資料_213" localSheetId="16">PKB!#REF!</definedName>
    <definedName name="外部資料_213" localSheetId="17">PKC!#REF!</definedName>
    <definedName name="外部資料_213" localSheetId="8">PSR!#REF!</definedName>
    <definedName name="外部資料_213" localSheetId="4">評比系統!$T$1:$T$3</definedName>
    <definedName name="外部資料_213" localSheetId="18">福邦!#REF!</definedName>
    <definedName name="外部資料_2130" localSheetId="2">紅綠燈!#REF!</definedName>
    <definedName name="外部資料_2132" localSheetId="2">紅綠燈!#REF!</definedName>
    <definedName name="外部資料_2133" localSheetId="2">紅綠燈!#REF!</definedName>
    <definedName name="外部資料_2134" localSheetId="2">紅綠燈!#REF!</definedName>
    <definedName name="外部資料_2136" localSheetId="2">紅綠燈!#REF!</definedName>
    <definedName name="外部資料_2137" localSheetId="2">紅綠燈!#REF!</definedName>
    <definedName name="外部資料_2138" localSheetId="2">紅綠燈!#REF!</definedName>
    <definedName name="外部資料_214" localSheetId="15">PKA!#REF!</definedName>
    <definedName name="外部資料_214" localSheetId="16">PKB!#REF!</definedName>
    <definedName name="外部資料_214" localSheetId="17">PKC!#REF!</definedName>
    <definedName name="外部資料_214" localSheetId="8">PSR!#REF!</definedName>
    <definedName name="外部資料_214" localSheetId="4">評比系統!$T$1:$T$3</definedName>
    <definedName name="外部資料_214" localSheetId="18">福邦!#REF!</definedName>
    <definedName name="外部資料_2140" localSheetId="2">紅綠燈!#REF!</definedName>
    <definedName name="外部資料_2141" localSheetId="2">紅綠燈!#REF!</definedName>
    <definedName name="外部資料_2142" localSheetId="2">紅綠燈!#REF!</definedName>
    <definedName name="外部資料_2144" localSheetId="2">紅綠燈!#REF!</definedName>
    <definedName name="外部資料_2145" localSheetId="2">紅綠燈!#REF!</definedName>
    <definedName name="外部資料_2146" localSheetId="2">紅綠燈!#REF!</definedName>
    <definedName name="外部資料_2148" localSheetId="2">紅綠燈!#REF!</definedName>
    <definedName name="外部資料_2149" localSheetId="2">紅綠燈!#REF!</definedName>
    <definedName name="外部資料_215" localSheetId="15">PKA!#REF!</definedName>
    <definedName name="外部資料_215" localSheetId="16">PKB!#REF!</definedName>
    <definedName name="外部資料_215" localSheetId="17">PKC!#REF!</definedName>
    <definedName name="外部資料_215" localSheetId="8">PSR!#REF!</definedName>
    <definedName name="外部資料_215" localSheetId="4">評比系統!$T$1:$T$3</definedName>
    <definedName name="外部資料_215" localSheetId="18">福邦!#REF!</definedName>
    <definedName name="外部資料_2150" localSheetId="2">紅綠燈!#REF!</definedName>
    <definedName name="外部資料_2152" localSheetId="2">紅綠燈!#REF!</definedName>
    <definedName name="外部資料_2153" localSheetId="2">紅綠燈!#REF!</definedName>
    <definedName name="外部資料_2154" localSheetId="2">紅綠燈!#REF!</definedName>
    <definedName name="外部資料_2156" localSheetId="2">紅綠燈!#REF!</definedName>
    <definedName name="外部資料_2157" localSheetId="2">紅綠燈!#REF!</definedName>
    <definedName name="外部資料_2158" localSheetId="2">紅綠燈!#REF!</definedName>
    <definedName name="外部資料_216" localSheetId="15">PKA!#REF!</definedName>
    <definedName name="外部資料_216" localSheetId="16">PKB!#REF!</definedName>
    <definedName name="外部資料_216" localSheetId="17">PKC!#REF!</definedName>
    <definedName name="外部資料_216" localSheetId="8">PSR!#REF!</definedName>
    <definedName name="外部資料_216" localSheetId="4">評比系統!$T$1:$T$3</definedName>
    <definedName name="外部資料_216" localSheetId="18">福邦!#REF!</definedName>
    <definedName name="外部資料_2160" localSheetId="2">紅綠燈!#REF!</definedName>
    <definedName name="外部資料_2161" localSheetId="2">紅綠燈!#REF!</definedName>
    <definedName name="外部資料_2162" localSheetId="2">紅綠燈!#REF!</definedName>
    <definedName name="外部資料_2164" localSheetId="2">紅綠燈!#REF!</definedName>
    <definedName name="外部資料_2165" localSheetId="2">紅綠燈!#REF!</definedName>
    <definedName name="外部資料_2166" localSheetId="2">紅綠燈!#REF!</definedName>
    <definedName name="外部資料_2168" localSheetId="2">紅綠燈!#REF!</definedName>
    <definedName name="外部資料_2169" localSheetId="2">紅綠燈!#REF!</definedName>
    <definedName name="外部資料_217" localSheetId="15">PKA!#REF!</definedName>
    <definedName name="外部資料_217" localSheetId="16">PKB!#REF!</definedName>
    <definedName name="外部資料_217" localSheetId="17">PKC!#REF!</definedName>
    <definedName name="外部資料_217" localSheetId="8">PSR!#REF!</definedName>
    <definedName name="外部資料_217" localSheetId="4">評比系統!$T$1:$T$3</definedName>
    <definedName name="外部資料_217" localSheetId="18">福邦!#REF!</definedName>
    <definedName name="外部資料_2170" localSheetId="2">紅綠燈!#REF!</definedName>
    <definedName name="外部資料_2172" localSheetId="2">紅綠燈!#REF!</definedName>
    <definedName name="外部資料_2173" localSheetId="2">紅綠燈!#REF!</definedName>
    <definedName name="外部資料_2174" localSheetId="2">紅綠燈!#REF!</definedName>
    <definedName name="外部資料_2176" localSheetId="2">紅綠燈!#REF!</definedName>
    <definedName name="外部資料_2177" localSheetId="2">紅綠燈!#REF!</definedName>
    <definedName name="外部資料_2178" localSheetId="2">紅綠燈!#REF!</definedName>
    <definedName name="外部資料_218" localSheetId="15">PKA!#REF!</definedName>
    <definedName name="外部資料_218" localSheetId="16">PKB!#REF!</definedName>
    <definedName name="外部資料_218" localSheetId="17">PKC!#REF!</definedName>
    <definedName name="外部資料_218" localSheetId="8">PSR!#REF!</definedName>
    <definedName name="外部資料_218" localSheetId="4">評比系統!$T$1:$T$3</definedName>
    <definedName name="外部資料_218" localSheetId="18">福邦!#REF!</definedName>
    <definedName name="外部資料_2180" localSheetId="2">紅綠燈!#REF!</definedName>
    <definedName name="外部資料_2181" localSheetId="2">紅綠燈!#REF!</definedName>
    <definedName name="外部資料_2182" localSheetId="2">紅綠燈!#REF!</definedName>
    <definedName name="外部資料_2183" localSheetId="5">篩股系統!$D$3:$H$59</definedName>
    <definedName name="外部資料_2184" localSheetId="2">紅綠燈!#REF!</definedName>
    <definedName name="外部資料_2185" localSheetId="2">紅綠燈!#REF!</definedName>
    <definedName name="外部資料_2186" localSheetId="2">紅綠燈!#REF!</definedName>
    <definedName name="外部資料_2188" localSheetId="2">紅綠燈!#REF!</definedName>
    <definedName name="外部資料_2189" localSheetId="2">紅綠燈!#REF!</definedName>
    <definedName name="外部資料_219" localSheetId="15">PKA!#REF!</definedName>
    <definedName name="外部資料_219" localSheetId="16">PKB!#REF!</definedName>
    <definedName name="外部資料_219" localSheetId="17">PKC!#REF!</definedName>
    <definedName name="外部資料_219" localSheetId="8">PSR!#REF!</definedName>
    <definedName name="外部資料_219" localSheetId="4">評比系統!$T$1:$T$3</definedName>
    <definedName name="外部資料_219" localSheetId="18">福邦!#REF!</definedName>
    <definedName name="外部資料_2190" localSheetId="2">紅綠燈!#REF!</definedName>
    <definedName name="外部資料_2192" localSheetId="2">紅綠燈!#REF!</definedName>
    <definedName name="外部資料_2193" localSheetId="2">紅綠燈!#REF!</definedName>
    <definedName name="外部資料_2194" localSheetId="2">紅綠燈!#REF!</definedName>
    <definedName name="外部資料_2196" localSheetId="2">紅綠燈!#REF!</definedName>
    <definedName name="外部資料_2197" localSheetId="2">紅綠燈!#REF!</definedName>
    <definedName name="外部資料_2198" localSheetId="2">紅綠燈!#REF!</definedName>
    <definedName name="外部資料_22" localSheetId="15">PKA!#REF!</definedName>
    <definedName name="外部資料_22" localSheetId="16">PKB!#REF!</definedName>
    <definedName name="外部資料_22" localSheetId="17">PKC!#REF!</definedName>
    <definedName name="外部資料_22" localSheetId="8">PSR!#REF!</definedName>
    <definedName name="外部資料_22" localSheetId="2">紅綠燈!#REF!</definedName>
    <definedName name="外部資料_22" localSheetId="4">評比系統!#REF!</definedName>
    <definedName name="外部資料_22" localSheetId="18">福邦!#REF!</definedName>
    <definedName name="外部資料_22" localSheetId="5">篩股系統!#REF!</definedName>
    <definedName name="外部資料_22" localSheetId="7">營收搶先報!#REF!</definedName>
    <definedName name="外部資料_220" localSheetId="15">PKA!#REF!</definedName>
    <definedName name="外部資料_220" localSheetId="16">PKB!#REF!</definedName>
    <definedName name="外部資料_220" localSheetId="17">PKC!#REF!</definedName>
    <definedName name="外部資料_220" localSheetId="8">PSR!#REF!</definedName>
    <definedName name="外部資料_220" localSheetId="4">評比系統!$T$1:$T$3</definedName>
    <definedName name="外部資料_220" localSheetId="18">福邦!#REF!</definedName>
    <definedName name="外部資料_2200" localSheetId="2">紅綠燈!#REF!</definedName>
    <definedName name="外部資料_2201" localSheetId="2">紅綠燈!#REF!</definedName>
    <definedName name="外部資料_2202" localSheetId="2">紅綠燈!#REF!</definedName>
    <definedName name="外部資料_2204" localSheetId="2">紅綠燈!#REF!</definedName>
    <definedName name="外部資料_2205" localSheetId="2">紅綠燈!#REF!</definedName>
    <definedName name="外部資料_2206" localSheetId="2">紅綠燈!#REF!</definedName>
    <definedName name="外部資料_2208" localSheetId="2">紅綠燈!#REF!</definedName>
    <definedName name="外部資料_2209" localSheetId="2">紅綠燈!#REF!</definedName>
    <definedName name="外部資料_221" localSheetId="15">PKA!#REF!</definedName>
    <definedName name="外部資料_221" localSheetId="16">PKB!#REF!</definedName>
    <definedName name="外部資料_221" localSheetId="17">PKC!#REF!</definedName>
    <definedName name="外部資料_221" localSheetId="8">PSR!#REF!</definedName>
    <definedName name="外部資料_221" localSheetId="4">評比系統!$T$1:$T$3</definedName>
    <definedName name="外部資料_221" localSheetId="18">福邦!#REF!</definedName>
    <definedName name="外部資料_2210" localSheetId="2">紅綠燈!#REF!</definedName>
    <definedName name="外部資料_2212" localSheetId="2">紅綠燈!#REF!</definedName>
    <definedName name="外部資料_2213" localSheetId="2">紅綠燈!#REF!</definedName>
    <definedName name="外部資料_2214" localSheetId="2">紅綠燈!#REF!</definedName>
    <definedName name="外部資料_2216" localSheetId="2">紅綠燈!#REF!</definedName>
    <definedName name="外部資料_2217" localSheetId="2">紅綠燈!#REF!</definedName>
    <definedName name="外部資料_2218" localSheetId="2">紅綠燈!#REF!</definedName>
    <definedName name="外部資料_222" localSheetId="15">PKA!#REF!</definedName>
    <definedName name="外部資料_222" localSheetId="16">PKB!#REF!</definedName>
    <definedName name="外部資料_222" localSheetId="17">PKC!#REF!</definedName>
    <definedName name="外部資料_222" localSheetId="8">PSR!#REF!</definedName>
    <definedName name="外部資料_222" localSheetId="4">評比系統!$T$1:$T$3</definedName>
    <definedName name="外部資料_222" localSheetId="18">福邦!#REF!</definedName>
    <definedName name="外部資料_2220" localSheetId="2">紅綠燈!#REF!</definedName>
    <definedName name="外部資料_2221" localSheetId="2">紅綠燈!#REF!</definedName>
    <definedName name="外部資料_2222" localSheetId="2">紅綠燈!#REF!</definedName>
    <definedName name="外部資料_2224" localSheetId="2">紅綠燈!#REF!</definedName>
    <definedName name="外部資料_2225" localSheetId="2">紅綠燈!#REF!</definedName>
    <definedName name="外部資料_2226" localSheetId="2">紅綠燈!#REF!</definedName>
    <definedName name="外部資料_2228" localSheetId="2">紅綠燈!#REF!</definedName>
    <definedName name="外部資料_2229" localSheetId="2">紅綠燈!#REF!</definedName>
    <definedName name="外部資料_223" localSheetId="15">PKA!#REF!</definedName>
    <definedName name="外部資料_223" localSheetId="16">PKB!#REF!</definedName>
    <definedName name="外部資料_223" localSheetId="17">PKC!#REF!</definedName>
    <definedName name="外部資料_223" localSheetId="8">PSR!#REF!</definedName>
    <definedName name="外部資料_223" localSheetId="4">評比系統!$T$1:$T$3</definedName>
    <definedName name="外部資料_223" localSheetId="18">福邦!#REF!</definedName>
    <definedName name="外部資料_2230" localSheetId="2">紅綠燈!#REF!</definedName>
    <definedName name="外部資料_2232" localSheetId="2">紅綠燈!#REF!</definedName>
    <definedName name="外部資料_2233" localSheetId="2">紅綠燈!#REF!</definedName>
    <definedName name="外部資料_2234" localSheetId="2">紅綠燈!#REF!</definedName>
    <definedName name="外部資料_2236" localSheetId="2">紅綠燈!#REF!</definedName>
    <definedName name="外部資料_2237" localSheetId="2">紅綠燈!#REF!</definedName>
    <definedName name="外部資料_2238" localSheetId="2">紅綠燈!#REF!</definedName>
    <definedName name="外部資料_224" localSheetId="15">PKA!#REF!</definedName>
    <definedName name="外部資料_224" localSheetId="16">PKB!#REF!</definedName>
    <definedName name="外部資料_224" localSheetId="17">PKC!#REF!</definedName>
    <definedName name="外部資料_224" localSheetId="8">PSR!#REF!</definedName>
    <definedName name="外部資料_224" localSheetId="4">評比系統!$T$1:$T$3</definedName>
    <definedName name="外部資料_224" localSheetId="18">福邦!#REF!</definedName>
    <definedName name="外部資料_2240" localSheetId="2">紅綠燈!#REF!</definedName>
    <definedName name="外部資料_2241" localSheetId="2">紅綠燈!#REF!</definedName>
    <definedName name="外部資料_2242" localSheetId="2">紅綠燈!#REF!</definedName>
    <definedName name="外部資料_2244" localSheetId="2">紅綠燈!#REF!</definedName>
    <definedName name="外部資料_2245" localSheetId="2">紅綠燈!#REF!</definedName>
    <definedName name="外部資料_2246" localSheetId="2">紅綠燈!#REF!</definedName>
    <definedName name="外部資料_2248" localSheetId="2">紅綠燈!#REF!</definedName>
    <definedName name="外部資料_2249" localSheetId="2">紅綠燈!#REF!</definedName>
    <definedName name="外部資料_225" localSheetId="15">PKA!#REF!</definedName>
    <definedName name="外部資料_225" localSheetId="16">PKB!#REF!</definedName>
    <definedName name="外部資料_225" localSheetId="17">PKC!#REF!</definedName>
    <definedName name="外部資料_225" localSheetId="8">PSR!#REF!</definedName>
    <definedName name="外部資料_225" localSheetId="4">評比系統!$T$1:$T$3</definedName>
    <definedName name="外部資料_225" localSheetId="18">福邦!#REF!</definedName>
    <definedName name="外部資料_2250" localSheetId="2">紅綠燈!#REF!</definedName>
    <definedName name="外部資料_2252" localSheetId="2">紅綠燈!#REF!</definedName>
    <definedName name="外部資料_2253" localSheetId="2">紅綠燈!#REF!</definedName>
    <definedName name="外部資料_2254" localSheetId="2">紅綠燈!#REF!</definedName>
    <definedName name="外部資料_2256" localSheetId="2">紅綠燈!#REF!</definedName>
    <definedName name="外部資料_2257" localSheetId="2">紅綠燈!#REF!</definedName>
    <definedName name="外部資料_2258" localSheetId="2">紅綠燈!#REF!</definedName>
    <definedName name="外部資料_226" localSheetId="15">PKA!#REF!</definedName>
    <definedName name="外部資料_226" localSheetId="16">PKB!#REF!</definedName>
    <definedName name="外部資料_226" localSheetId="17">PKC!#REF!</definedName>
    <definedName name="外部資料_226" localSheetId="8">PSR!#REF!</definedName>
    <definedName name="外部資料_226" localSheetId="4">評比系統!$T$1:$T$3</definedName>
    <definedName name="外部資料_226" localSheetId="18">福邦!#REF!</definedName>
    <definedName name="外部資料_2260" localSheetId="2">紅綠燈!#REF!</definedName>
    <definedName name="外部資料_2261" localSheetId="2">紅綠燈!#REF!</definedName>
    <definedName name="外部資料_2262" localSheetId="2">紅綠燈!#REF!</definedName>
    <definedName name="外部資料_2264" localSheetId="2">紅綠燈!#REF!</definedName>
    <definedName name="外部資料_2265" localSheetId="2">紅綠燈!#REF!</definedName>
    <definedName name="外部資料_2266" localSheetId="2">紅綠燈!#REF!</definedName>
    <definedName name="外部資料_2268" localSheetId="2">紅綠燈!#REF!</definedName>
    <definedName name="外部資料_2269" localSheetId="2">紅綠燈!#REF!</definedName>
    <definedName name="外部資料_227" localSheetId="15">PKA!#REF!</definedName>
    <definedName name="外部資料_227" localSheetId="16">PKB!#REF!</definedName>
    <definedName name="外部資料_227" localSheetId="17">PKC!#REF!</definedName>
    <definedName name="外部資料_227" localSheetId="8">PSR!#REF!</definedName>
    <definedName name="外部資料_227" localSheetId="4">評比系統!$T$1:$T$3</definedName>
    <definedName name="外部資料_227" localSheetId="18">福邦!#REF!</definedName>
    <definedName name="外部資料_2270" localSheetId="2">紅綠燈!#REF!</definedName>
    <definedName name="外部資料_2272" localSheetId="2">紅綠燈!#REF!</definedName>
    <definedName name="外部資料_2273" localSheetId="2">紅綠燈!#REF!</definedName>
    <definedName name="外部資料_2274" localSheetId="2">紅綠燈!#REF!</definedName>
    <definedName name="外部資料_2276" localSheetId="2">紅綠燈!#REF!</definedName>
    <definedName name="外部資料_2277" localSheetId="2">紅綠燈!#REF!</definedName>
    <definedName name="外部資料_2278" localSheetId="2">紅綠燈!#REF!</definedName>
    <definedName name="外部資料_228" localSheetId="15">PKA!#REF!</definedName>
    <definedName name="外部資料_228" localSheetId="16">PKB!#REF!</definedName>
    <definedName name="外部資料_228" localSheetId="17">PKC!#REF!</definedName>
    <definedName name="外部資料_228" localSheetId="8">PSR!#REF!</definedName>
    <definedName name="外部資料_228" localSheetId="4">評比系統!$T$1:$T$3</definedName>
    <definedName name="外部資料_228" localSheetId="18">福邦!#REF!</definedName>
    <definedName name="外部資料_2280" localSheetId="2">紅綠燈!#REF!</definedName>
    <definedName name="外部資料_2281" localSheetId="2">紅綠燈!#REF!</definedName>
    <definedName name="外部資料_2282" localSheetId="2">紅綠燈!#REF!</definedName>
    <definedName name="外部資料_2284" localSheetId="2">紅綠燈!#REF!</definedName>
    <definedName name="外部資料_2285" localSheetId="2">紅綠燈!#REF!</definedName>
    <definedName name="外部資料_2286" localSheetId="2">紅綠燈!#REF!</definedName>
    <definedName name="外部資料_2288" localSheetId="2">紅綠燈!#REF!</definedName>
    <definedName name="外部資料_2289" localSheetId="2">紅綠燈!#REF!</definedName>
    <definedName name="外部資料_229" localSheetId="15">PKA!#REF!</definedName>
    <definedName name="外部資料_229" localSheetId="16">PKB!#REF!</definedName>
    <definedName name="外部資料_229" localSheetId="17">PKC!#REF!</definedName>
    <definedName name="外部資料_229" localSheetId="8">PSR!#REF!</definedName>
    <definedName name="外部資料_229" localSheetId="4">評比系統!$T$1:$T$3</definedName>
    <definedName name="外部資料_229" localSheetId="18">福邦!#REF!</definedName>
    <definedName name="外部資料_2290" localSheetId="2">紅綠燈!#REF!</definedName>
    <definedName name="外部資料_2292" localSheetId="2">紅綠燈!#REF!</definedName>
    <definedName name="外部資料_2293" localSheetId="2">紅綠燈!#REF!</definedName>
    <definedName name="外部資料_2294" localSheetId="2">紅綠燈!#REF!</definedName>
    <definedName name="外部資料_2296" localSheetId="2">紅綠燈!#REF!</definedName>
    <definedName name="外部資料_2297" localSheetId="2">紅綠燈!#REF!</definedName>
    <definedName name="外部資料_2298" localSheetId="2">紅綠燈!#REF!</definedName>
    <definedName name="外部資料_23" localSheetId="15">PKA!#REF!</definedName>
    <definedName name="外部資料_23" localSheetId="16">PKB!#REF!</definedName>
    <definedName name="外部資料_23" localSheetId="17">PKC!#REF!</definedName>
    <definedName name="外部資料_23" localSheetId="8">PSR!#REF!</definedName>
    <definedName name="外部資料_23" localSheetId="2">紅綠燈!#REF!</definedName>
    <definedName name="外部資料_23" localSheetId="4">評比系統!#REF!</definedName>
    <definedName name="外部資料_23" localSheetId="18">福邦!#REF!</definedName>
    <definedName name="外部資料_23" localSheetId="5">篩股系統!#REF!</definedName>
    <definedName name="外部資料_23" localSheetId="7">營收搶先報!#REF!</definedName>
    <definedName name="外部資料_230" localSheetId="15">PKA!#REF!</definedName>
    <definedName name="外部資料_230" localSheetId="16">PKB!#REF!</definedName>
    <definedName name="外部資料_230" localSheetId="17">PKC!#REF!</definedName>
    <definedName name="外部資料_230" localSheetId="8">PSR!#REF!</definedName>
    <definedName name="外部資料_230" localSheetId="4">評比系統!$T$1:$T$3</definedName>
    <definedName name="外部資料_230" localSheetId="18">福邦!#REF!</definedName>
    <definedName name="外部資料_2300" localSheetId="2">紅綠燈!#REF!</definedName>
    <definedName name="外部資料_2301" localSheetId="2">紅綠燈!#REF!</definedName>
    <definedName name="外部資料_2302" localSheetId="2">紅綠燈!#REF!</definedName>
    <definedName name="外部資料_2304" localSheetId="2">紅綠燈!#REF!</definedName>
    <definedName name="外部資料_2305" localSheetId="2">紅綠燈!#REF!</definedName>
    <definedName name="外部資料_2306" localSheetId="2">紅綠燈!#REF!</definedName>
    <definedName name="外部資料_2308" localSheetId="2">紅綠燈!#REF!</definedName>
    <definedName name="外部資料_2309" localSheetId="2">紅綠燈!#REF!</definedName>
    <definedName name="外部資料_231" localSheetId="15">PKA!#REF!</definedName>
    <definedName name="外部資料_231" localSheetId="16">PKB!#REF!</definedName>
    <definedName name="外部資料_231" localSheetId="17">PKC!#REF!</definedName>
    <definedName name="外部資料_231" localSheetId="8">PSR!#REF!</definedName>
    <definedName name="外部資料_231" localSheetId="4">評比系統!$T$1:$T$3</definedName>
    <definedName name="外部資料_231" localSheetId="18">福邦!#REF!</definedName>
    <definedName name="外部資料_2310" localSheetId="2">紅綠燈!#REF!</definedName>
    <definedName name="外部資料_2312" localSheetId="2">紅綠燈!#REF!</definedName>
    <definedName name="外部資料_2313" localSheetId="2">紅綠燈!#REF!</definedName>
    <definedName name="外部資料_2314" localSheetId="2">紅綠燈!#REF!</definedName>
    <definedName name="外部資料_2316" localSheetId="2">紅綠燈!#REF!</definedName>
    <definedName name="外部資料_2317" localSheetId="2">紅綠燈!#REF!</definedName>
    <definedName name="外部資料_2318" localSheetId="2">紅綠燈!#REF!</definedName>
    <definedName name="外部資料_232" localSheetId="15">PKA!#REF!</definedName>
    <definedName name="外部資料_232" localSheetId="16">PKB!#REF!</definedName>
    <definedName name="外部資料_232" localSheetId="17">PKC!#REF!</definedName>
    <definedName name="外部資料_232" localSheetId="8">PSR!#REF!</definedName>
    <definedName name="外部資料_232" localSheetId="4">評比系統!$T$1:$T$3</definedName>
    <definedName name="外部資料_232" localSheetId="18">福邦!#REF!</definedName>
    <definedName name="外部資料_2320" localSheetId="2">紅綠燈!#REF!</definedName>
    <definedName name="外部資料_2321" localSheetId="2">紅綠燈!#REF!</definedName>
    <definedName name="外部資料_2322" localSheetId="2">紅綠燈!#REF!</definedName>
    <definedName name="外部資料_2324" localSheetId="2">紅綠燈!#REF!</definedName>
    <definedName name="外部資料_2325" localSheetId="2">紅綠燈!#REF!</definedName>
    <definedName name="外部資料_2326" localSheetId="2">紅綠燈!#REF!</definedName>
    <definedName name="外部資料_2328" localSheetId="2">紅綠燈!#REF!</definedName>
    <definedName name="外部資料_2329" localSheetId="2">紅綠燈!#REF!</definedName>
    <definedName name="外部資料_233" localSheetId="15">PKA!#REF!</definedName>
    <definedName name="外部資料_233" localSheetId="16">PKB!#REF!</definedName>
    <definedName name="外部資料_233" localSheetId="17">PKC!#REF!</definedName>
    <definedName name="外部資料_233" localSheetId="8">PSR!#REF!</definedName>
    <definedName name="外部資料_233" localSheetId="4">評比系統!$T$1:$T$3</definedName>
    <definedName name="外部資料_233" localSheetId="18">福邦!#REF!</definedName>
    <definedName name="外部資料_2330" localSheetId="2">紅綠燈!#REF!</definedName>
    <definedName name="外部資料_2332" localSheetId="2">紅綠燈!#REF!</definedName>
    <definedName name="外部資料_2333" localSheetId="2">紅綠燈!#REF!</definedName>
    <definedName name="外部資料_2334" localSheetId="2">紅綠燈!#REF!</definedName>
    <definedName name="外部資料_2336" localSheetId="2">紅綠燈!#REF!</definedName>
    <definedName name="外部資料_2337" localSheetId="2">紅綠燈!#REF!</definedName>
    <definedName name="外部資料_2338" localSheetId="2">紅綠燈!#REF!</definedName>
    <definedName name="外部資料_234" localSheetId="15">PKA!#REF!</definedName>
    <definedName name="外部資料_234" localSheetId="16">PKB!#REF!</definedName>
    <definedName name="外部資料_234" localSheetId="17">PKC!#REF!</definedName>
    <definedName name="外部資料_234" localSheetId="8">PSR!#REF!</definedName>
    <definedName name="外部資料_234" localSheetId="4">評比系統!$T$1:$T$3</definedName>
    <definedName name="外部資料_234" localSheetId="18">福邦!#REF!</definedName>
    <definedName name="外部資料_2340" localSheetId="2">紅綠燈!#REF!</definedName>
    <definedName name="外部資料_2341" localSheetId="2">紅綠燈!#REF!</definedName>
    <definedName name="外部資料_2342" localSheetId="2">紅綠燈!#REF!</definedName>
    <definedName name="外部資料_2344" localSheetId="2">紅綠燈!#REF!</definedName>
    <definedName name="外部資料_2345" localSheetId="2">紅綠燈!#REF!</definedName>
    <definedName name="外部資料_2346" localSheetId="2">紅綠燈!#REF!</definedName>
    <definedName name="外部資料_2348" localSheetId="2">紅綠燈!#REF!</definedName>
    <definedName name="外部資料_2349" localSheetId="2">紅綠燈!#REF!</definedName>
    <definedName name="外部資料_235" localSheetId="15">PKA!#REF!</definedName>
    <definedName name="外部資料_235" localSheetId="16">PKB!#REF!</definedName>
    <definedName name="外部資料_235" localSheetId="17">PKC!#REF!</definedName>
    <definedName name="外部資料_235" localSheetId="8">PSR!#REF!</definedName>
    <definedName name="外部資料_235" localSheetId="4">評比系統!$T$1:$T$3</definedName>
    <definedName name="外部資料_235" localSheetId="18">福邦!#REF!</definedName>
    <definedName name="外部資料_2350" localSheetId="2">紅綠燈!#REF!</definedName>
    <definedName name="外部資料_2352" localSheetId="2">紅綠燈!#REF!</definedName>
    <definedName name="外部資料_2353" localSheetId="2">紅綠燈!#REF!</definedName>
    <definedName name="外部資料_2354" localSheetId="2">紅綠燈!#REF!</definedName>
    <definedName name="外部資料_2356" localSheetId="2">紅綠燈!#REF!</definedName>
    <definedName name="外部資料_2357" localSheetId="2">紅綠燈!#REF!</definedName>
    <definedName name="外部資料_2358" localSheetId="2">紅綠燈!#REF!</definedName>
    <definedName name="外部資料_236" localSheetId="15">PKA!#REF!</definedName>
    <definedName name="外部資料_236" localSheetId="16">PKB!#REF!</definedName>
    <definedName name="外部資料_236" localSheetId="17">PKC!#REF!</definedName>
    <definedName name="外部資料_236" localSheetId="8">PSR!#REF!</definedName>
    <definedName name="外部資料_236" localSheetId="4">評比系統!$T$1:$T$3</definedName>
    <definedName name="外部資料_236" localSheetId="18">福邦!#REF!</definedName>
    <definedName name="外部資料_2360" localSheetId="2">紅綠燈!#REF!</definedName>
    <definedName name="外部資料_2361" localSheetId="2">紅綠燈!#REF!</definedName>
    <definedName name="外部資料_2362" localSheetId="2">紅綠燈!#REF!</definedName>
    <definedName name="外部資料_2364" localSheetId="2">紅綠燈!#REF!</definedName>
    <definedName name="外部資料_2365" localSheetId="2">紅綠燈!#REF!</definedName>
    <definedName name="外部資料_2366" localSheetId="2">紅綠燈!#REF!</definedName>
    <definedName name="外部資料_2368" localSheetId="2">紅綠燈!#REF!</definedName>
    <definedName name="外部資料_2369" localSheetId="2">紅綠燈!#REF!</definedName>
    <definedName name="外部資料_237" localSheetId="15">PKA!#REF!</definedName>
    <definedName name="外部資料_237" localSheetId="16">PKB!#REF!</definedName>
    <definedName name="外部資料_237" localSheetId="17">PKC!#REF!</definedName>
    <definedName name="外部資料_237" localSheetId="8">PSR!#REF!</definedName>
    <definedName name="外部資料_237" localSheetId="4">評比系統!$T$1:$T$3</definedName>
    <definedName name="外部資料_237" localSheetId="18">福邦!#REF!</definedName>
    <definedName name="外部資料_2370" localSheetId="2">紅綠燈!#REF!</definedName>
    <definedName name="外部資料_2372" localSheetId="2">紅綠燈!#REF!</definedName>
    <definedName name="外部資料_2373" localSheetId="2">紅綠燈!#REF!</definedName>
    <definedName name="外部資料_2374" localSheetId="2">紅綠燈!#REF!</definedName>
    <definedName name="外部資料_2376" localSheetId="2">紅綠燈!#REF!</definedName>
    <definedName name="外部資料_2377" localSheetId="2">紅綠燈!#REF!</definedName>
    <definedName name="外部資料_2378" localSheetId="2">紅綠燈!#REF!</definedName>
    <definedName name="外部資料_238" localSheetId="15">PKA!#REF!</definedName>
    <definedName name="外部資料_238" localSheetId="16">PKB!#REF!</definedName>
    <definedName name="外部資料_238" localSheetId="17">PKC!#REF!</definedName>
    <definedName name="外部資料_238" localSheetId="8">PSR!#REF!</definedName>
    <definedName name="外部資料_238" localSheetId="4">評比系統!$T$1:$T$3</definedName>
    <definedName name="外部資料_238" localSheetId="18">福邦!#REF!</definedName>
    <definedName name="外部資料_2380" localSheetId="2">紅綠燈!#REF!</definedName>
    <definedName name="外部資料_2381" localSheetId="2">紅綠燈!#REF!</definedName>
    <definedName name="外部資料_2382" localSheetId="2">紅綠燈!#REF!</definedName>
    <definedName name="外部資料_2384" localSheetId="2">紅綠燈!#REF!</definedName>
    <definedName name="外部資料_2385" localSheetId="2">紅綠燈!#REF!</definedName>
    <definedName name="外部資料_2386" localSheetId="2">紅綠燈!#REF!</definedName>
    <definedName name="外部資料_2388" localSheetId="2">紅綠燈!#REF!</definedName>
    <definedName name="外部資料_2389" localSheetId="2">紅綠燈!#REF!</definedName>
    <definedName name="外部資料_239" localSheetId="15">PKA!#REF!</definedName>
    <definedName name="外部資料_239" localSheetId="16">PKB!#REF!</definedName>
    <definedName name="外部資料_239" localSheetId="17">PKC!#REF!</definedName>
    <definedName name="外部資料_239" localSheetId="8">PSR!#REF!</definedName>
    <definedName name="外部資料_239" localSheetId="4">評比系統!$T$1:$T$3</definedName>
    <definedName name="外部資料_239" localSheetId="18">福邦!#REF!</definedName>
    <definedName name="外部資料_2390" localSheetId="2">紅綠燈!#REF!</definedName>
    <definedName name="外部資料_2392" localSheetId="2">紅綠燈!#REF!</definedName>
    <definedName name="外部資料_2393" localSheetId="2">紅綠燈!#REF!</definedName>
    <definedName name="外部資料_2394" localSheetId="2">紅綠燈!#REF!</definedName>
    <definedName name="外部資料_2396" localSheetId="2">紅綠燈!#REF!</definedName>
    <definedName name="外部資料_2397" localSheetId="2">紅綠燈!#REF!</definedName>
    <definedName name="外部資料_2398" localSheetId="2">紅綠燈!#REF!</definedName>
    <definedName name="外部資料_24" localSheetId="15">PKA!#REF!</definedName>
    <definedName name="外部資料_24" localSheetId="16">PKB!#REF!</definedName>
    <definedName name="外部資料_24" localSheetId="17">PKC!#REF!</definedName>
    <definedName name="外部資料_24" localSheetId="8">PSR!#REF!</definedName>
    <definedName name="外部資料_24" localSheetId="2">紅綠燈!#REF!</definedName>
    <definedName name="外部資料_24" localSheetId="4">評比系統!#REF!</definedName>
    <definedName name="外部資料_24" localSheetId="18">福邦!#REF!</definedName>
    <definedName name="外部資料_24" localSheetId="5">篩股系統!#REF!</definedName>
    <definedName name="外部資料_24" localSheetId="7">營收搶先報!#REF!</definedName>
    <definedName name="外部資料_240" localSheetId="15">PKA!#REF!</definedName>
    <definedName name="外部資料_240" localSheetId="16">PKB!#REF!</definedName>
    <definedName name="外部資料_240" localSheetId="17">PKC!#REF!</definedName>
    <definedName name="外部資料_240" localSheetId="8">PSR!#REF!</definedName>
    <definedName name="外部資料_240" localSheetId="4">評比系統!$T$1:$T$3</definedName>
    <definedName name="外部資料_240" localSheetId="18">福邦!#REF!</definedName>
    <definedName name="外部資料_2400" localSheetId="2">紅綠燈!#REF!</definedName>
    <definedName name="外部資料_2401" localSheetId="2">紅綠燈!#REF!</definedName>
    <definedName name="外部資料_2402" localSheetId="2">紅綠燈!#REF!</definedName>
    <definedName name="外部資料_2404" localSheetId="2">紅綠燈!#REF!</definedName>
    <definedName name="外部資料_2405" localSheetId="2">紅綠燈!#REF!</definedName>
    <definedName name="外部資料_2406" localSheetId="2">紅綠燈!#REF!</definedName>
    <definedName name="外部資料_2408" localSheetId="2">紅綠燈!#REF!</definedName>
    <definedName name="外部資料_2409" localSheetId="2">紅綠燈!#REF!</definedName>
    <definedName name="外部資料_241" localSheetId="15">PKA!#REF!</definedName>
    <definedName name="外部資料_241" localSheetId="16">PKB!#REF!</definedName>
    <definedName name="外部資料_241" localSheetId="17">PKC!#REF!</definedName>
    <definedName name="外部資料_241" localSheetId="8">PSR!#REF!</definedName>
    <definedName name="外部資料_241" localSheetId="4">評比系統!$T$1:$T$3</definedName>
    <definedName name="外部資料_241" localSheetId="18">福邦!#REF!</definedName>
    <definedName name="外部資料_2410" localSheetId="2">紅綠燈!#REF!</definedName>
    <definedName name="外部資料_2412" localSheetId="2">紅綠燈!#REF!</definedName>
    <definedName name="外部資料_2413" localSheetId="2">紅綠燈!#REF!</definedName>
    <definedName name="外部資料_2414" localSheetId="2">紅綠燈!#REF!</definedName>
    <definedName name="外部資料_2416" localSheetId="2">紅綠燈!#REF!</definedName>
    <definedName name="外部資料_2417" localSheetId="2">紅綠燈!#REF!</definedName>
    <definedName name="外部資料_2418" localSheetId="2">紅綠燈!#REF!</definedName>
    <definedName name="外部資料_242" localSheetId="15">PKA!#REF!</definedName>
    <definedName name="外部資料_242" localSheetId="16">PKB!#REF!</definedName>
    <definedName name="外部資料_242" localSheetId="17">PKC!#REF!</definedName>
    <definedName name="外部資料_242" localSheetId="8">PSR!#REF!</definedName>
    <definedName name="外部資料_242" localSheetId="4">評比系統!$T$1:$T$3</definedName>
    <definedName name="外部資料_242" localSheetId="18">福邦!#REF!</definedName>
    <definedName name="外部資料_2420" localSheetId="2">紅綠燈!#REF!</definedName>
    <definedName name="外部資料_2421" localSheetId="2">紅綠燈!#REF!</definedName>
    <definedName name="外部資料_2422" localSheetId="2">紅綠燈!#REF!</definedName>
    <definedName name="外部資料_2424" localSheetId="2">紅綠燈!#REF!</definedName>
    <definedName name="外部資料_2425" localSheetId="2">紅綠燈!#REF!</definedName>
    <definedName name="外部資料_2426" localSheetId="2">紅綠燈!#REF!</definedName>
    <definedName name="外部資料_2428" localSheetId="2">紅綠燈!#REF!</definedName>
    <definedName name="外部資料_2429" localSheetId="2">紅綠燈!#REF!</definedName>
    <definedName name="外部資料_243" localSheetId="15">PKA!#REF!</definedName>
    <definedName name="外部資料_243" localSheetId="16">PKB!#REF!</definedName>
    <definedName name="外部資料_243" localSheetId="17">PKC!#REF!</definedName>
    <definedName name="外部資料_243" localSheetId="8">PSR!#REF!</definedName>
    <definedName name="外部資料_243" localSheetId="4">評比系統!$T$1:$T$3</definedName>
    <definedName name="外部資料_243" localSheetId="18">福邦!#REF!</definedName>
    <definedName name="外部資料_2430" localSheetId="2">紅綠燈!#REF!</definedName>
    <definedName name="外部資料_2432" localSheetId="2">紅綠燈!#REF!</definedName>
    <definedName name="外部資料_2433" localSheetId="2">紅綠燈!#REF!</definedName>
    <definedName name="外部資料_2434" localSheetId="2">紅綠燈!#REF!</definedName>
    <definedName name="外部資料_2436" localSheetId="2">紅綠燈!#REF!</definedName>
    <definedName name="外部資料_2437" localSheetId="2">紅綠燈!#REF!</definedName>
    <definedName name="外部資料_2438" localSheetId="2">紅綠燈!#REF!</definedName>
    <definedName name="外部資料_244" localSheetId="15">PKA!#REF!</definedName>
    <definedName name="外部資料_244" localSheetId="16">PKB!#REF!</definedName>
    <definedName name="外部資料_244" localSheetId="17">PKC!#REF!</definedName>
    <definedName name="外部資料_244" localSheetId="8">PSR!#REF!</definedName>
    <definedName name="外部資料_244" localSheetId="4">評比系統!$T$1:$T$3</definedName>
    <definedName name="外部資料_244" localSheetId="18">福邦!#REF!</definedName>
    <definedName name="外部資料_2440" localSheetId="2">紅綠燈!#REF!</definedName>
    <definedName name="外部資料_2441" localSheetId="2">紅綠燈!#REF!</definedName>
    <definedName name="外部資料_2442" localSheetId="2">紅綠燈!#REF!</definedName>
    <definedName name="外部資料_2444" localSheetId="2">紅綠燈!#REF!</definedName>
    <definedName name="外部資料_2445" localSheetId="2">紅綠燈!#REF!</definedName>
    <definedName name="外部資料_2446" localSheetId="2">紅綠燈!#REF!</definedName>
    <definedName name="外部資料_2448" localSheetId="2">紅綠燈!#REF!</definedName>
    <definedName name="外部資料_2449" localSheetId="2">紅綠燈!#REF!</definedName>
    <definedName name="外部資料_245" localSheetId="15">PKA!#REF!</definedName>
    <definedName name="外部資料_245" localSheetId="16">PKB!#REF!</definedName>
    <definedName name="外部資料_245" localSheetId="17">PKC!#REF!</definedName>
    <definedName name="外部資料_245" localSheetId="8">PSR!#REF!</definedName>
    <definedName name="外部資料_245" localSheetId="4">評比系統!$T$1:$T$3</definedName>
    <definedName name="外部資料_245" localSheetId="18">福邦!#REF!</definedName>
    <definedName name="外部資料_2451" localSheetId="2">紅綠燈!#REF!</definedName>
    <definedName name="外部資料_2452" localSheetId="2">紅綠燈!#REF!</definedName>
    <definedName name="外部資料_2453" localSheetId="2">紅綠燈!#REF!</definedName>
    <definedName name="外部資料_2455" localSheetId="2">紅綠燈!#REF!</definedName>
    <definedName name="外部資料_2456" localSheetId="2">紅綠燈!#REF!</definedName>
    <definedName name="外部資料_2457" localSheetId="2">紅綠燈!#REF!</definedName>
    <definedName name="外部資料_2459" localSheetId="2">紅綠燈!#REF!</definedName>
    <definedName name="外部資料_246" localSheetId="15">PKA!#REF!</definedName>
    <definedName name="外部資料_246" localSheetId="16">PKB!#REF!</definedName>
    <definedName name="外部資料_246" localSheetId="17">PKC!#REF!</definedName>
    <definedName name="外部資料_246" localSheetId="8">PSR!#REF!</definedName>
    <definedName name="外部資料_246" localSheetId="4">評比系統!$T$1:$T$3</definedName>
    <definedName name="外部資料_246" localSheetId="18">福邦!#REF!</definedName>
    <definedName name="外部資料_2460" localSheetId="2">紅綠燈!#REF!</definedName>
    <definedName name="外部資料_2461" localSheetId="2">紅綠燈!#REF!</definedName>
    <definedName name="外部資料_2463" localSheetId="2">紅綠燈!#REF!</definedName>
    <definedName name="外部資料_2464" localSheetId="2">紅綠燈!#REF!</definedName>
    <definedName name="外部資料_2465" localSheetId="2">紅綠燈!#REF!</definedName>
    <definedName name="外部資料_2467" localSheetId="2">紅綠燈!#REF!</definedName>
    <definedName name="外部資料_2468" localSheetId="2">紅綠燈!#REF!</definedName>
    <definedName name="外部資料_2469" localSheetId="2">紅綠燈!#REF!</definedName>
    <definedName name="外部資料_247" localSheetId="15">PKA!#REF!</definedName>
    <definedName name="外部資料_247" localSheetId="16">PKB!#REF!</definedName>
    <definedName name="外部資料_247" localSheetId="17">PKC!#REF!</definedName>
    <definedName name="外部資料_247" localSheetId="8">PSR!#REF!</definedName>
    <definedName name="外部資料_247" localSheetId="4">評比系統!$T$1:$T$3</definedName>
    <definedName name="外部資料_247" localSheetId="18">福邦!#REF!</definedName>
    <definedName name="外部資料_2471" localSheetId="2">紅綠燈!#REF!</definedName>
    <definedName name="外部資料_2472" localSheetId="2">紅綠燈!#REF!</definedName>
    <definedName name="外部資料_2473" localSheetId="2">紅綠燈!#REF!</definedName>
    <definedName name="外部資料_2475" localSheetId="2">紅綠燈!#REF!</definedName>
    <definedName name="外部資料_2476" localSheetId="2">紅綠燈!#REF!</definedName>
    <definedName name="外部資料_2477" localSheetId="2">紅綠燈!#REF!</definedName>
    <definedName name="外部資料_2479" localSheetId="2">紅綠燈!#REF!</definedName>
    <definedName name="外部資料_248" localSheetId="15">PKA!#REF!</definedName>
    <definedName name="外部資料_248" localSheetId="16">PKB!#REF!</definedName>
    <definedName name="外部資料_248" localSheetId="17">PKC!#REF!</definedName>
    <definedName name="外部資料_248" localSheetId="8">PSR!#REF!</definedName>
    <definedName name="外部資料_248" localSheetId="4">評比系統!$T$1:$T$3</definedName>
    <definedName name="外部資料_248" localSheetId="18">福邦!#REF!</definedName>
    <definedName name="外部資料_2480" localSheetId="2">紅綠燈!#REF!</definedName>
    <definedName name="外部資料_2481" localSheetId="2">紅綠燈!#REF!</definedName>
    <definedName name="外部資料_2483" localSheetId="2">紅綠燈!#REF!</definedName>
    <definedName name="外部資料_2484" localSheetId="2">紅綠燈!#REF!</definedName>
    <definedName name="外部資料_2485" localSheetId="2">紅綠燈!#REF!</definedName>
    <definedName name="外部資料_2487" localSheetId="2">紅綠燈!#REF!</definedName>
    <definedName name="外部資料_2488" localSheetId="2">紅綠燈!#REF!</definedName>
    <definedName name="外部資料_2489" localSheetId="2">紅綠燈!#REF!</definedName>
    <definedName name="外部資料_249" localSheetId="15">PKA!#REF!</definedName>
    <definedName name="外部資料_249" localSheetId="16">PKB!#REF!</definedName>
    <definedName name="外部資料_249" localSheetId="17">PKC!#REF!</definedName>
    <definedName name="外部資料_249" localSheetId="8">PSR!#REF!</definedName>
    <definedName name="外部資料_249" localSheetId="4">評比系統!$T$1:$T$3</definedName>
    <definedName name="外部資料_249" localSheetId="18">福邦!#REF!</definedName>
    <definedName name="外部資料_2491" localSheetId="2">紅綠燈!#REF!</definedName>
    <definedName name="外部資料_2492" localSheetId="2">紅綠燈!#REF!</definedName>
    <definedName name="外部資料_2493" localSheetId="2">紅綠燈!#REF!</definedName>
    <definedName name="外部資料_2495" localSheetId="2">紅綠燈!#REF!</definedName>
    <definedName name="外部資料_2496" localSheetId="2">紅綠燈!#REF!</definedName>
    <definedName name="外部資料_2497" localSheetId="2">紅綠燈!#REF!</definedName>
    <definedName name="外部資料_2499" localSheetId="2">紅綠燈!#REF!</definedName>
    <definedName name="外部資料_25" localSheetId="15">PKA!#REF!</definedName>
    <definedName name="外部資料_25" localSheetId="16">PKB!#REF!</definedName>
    <definedName name="外部資料_25" localSheetId="17">PKC!#REF!</definedName>
    <definedName name="外部資料_25" localSheetId="8">PSR!#REF!</definedName>
    <definedName name="外部資料_25" localSheetId="2">紅綠燈!#REF!</definedName>
    <definedName name="外部資料_25" localSheetId="4">評比系統!#REF!</definedName>
    <definedName name="外部資料_25" localSheetId="18">福邦!#REF!</definedName>
    <definedName name="外部資料_25" localSheetId="5">篩股系統!#REF!</definedName>
    <definedName name="外部資料_25" localSheetId="7">營收搶先報!#REF!</definedName>
    <definedName name="外部資料_250" localSheetId="15">PKA!#REF!</definedName>
    <definedName name="外部資料_250" localSheetId="16">PKB!#REF!</definedName>
    <definedName name="外部資料_250" localSheetId="17">PKC!#REF!</definedName>
    <definedName name="外部資料_250" localSheetId="8">PSR!#REF!</definedName>
    <definedName name="外部資料_250" localSheetId="4">評比系統!$T$1:$T$3</definedName>
    <definedName name="外部資料_250" localSheetId="18">福邦!#REF!</definedName>
    <definedName name="外部資料_2500" localSheetId="2">紅綠燈!#REF!</definedName>
    <definedName name="外部資料_2501" localSheetId="2">紅綠燈!#REF!</definedName>
    <definedName name="外部資料_2503" localSheetId="2">紅綠燈!#REF!</definedName>
    <definedName name="外部資料_2504" localSheetId="2">紅綠燈!#REF!</definedName>
    <definedName name="外部資料_2505" localSheetId="2">紅綠燈!#REF!</definedName>
    <definedName name="外部資料_2507" localSheetId="2">紅綠燈!#REF!</definedName>
    <definedName name="外部資料_2508" localSheetId="2">紅綠燈!#REF!</definedName>
    <definedName name="外部資料_2509" localSheetId="2">紅綠燈!#REF!</definedName>
    <definedName name="外部資料_251" localSheetId="15">PKA!#REF!</definedName>
    <definedName name="外部資料_251" localSheetId="16">PKB!#REF!</definedName>
    <definedName name="外部資料_251" localSheetId="17">PKC!#REF!</definedName>
    <definedName name="外部資料_251" localSheetId="8">PSR!#REF!</definedName>
    <definedName name="外部資料_251" localSheetId="4">評比系統!$T$1:$T$3</definedName>
    <definedName name="外部資料_251" localSheetId="18">福邦!#REF!</definedName>
    <definedName name="外部資料_2511" localSheetId="2">紅綠燈!#REF!</definedName>
    <definedName name="外部資料_2512" localSheetId="2">紅綠燈!#REF!</definedName>
    <definedName name="外部資料_2513" localSheetId="2">紅綠燈!#REF!</definedName>
    <definedName name="外部資料_2515" localSheetId="2">紅綠燈!#REF!</definedName>
    <definedName name="外部資料_2516" localSheetId="2">紅綠燈!#REF!</definedName>
    <definedName name="外部資料_2517" localSheetId="2">紅綠燈!#REF!</definedName>
    <definedName name="外部資料_2519" localSheetId="2">紅綠燈!#REF!</definedName>
    <definedName name="外部資料_252" localSheetId="15">PKA!#REF!</definedName>
    <definedName name="外部資料_252" localSheetId="16">PKB!#REF!</definedName>
    <definedName name="外部資料_252" localSheetId="17">PKC!#REF!</definedName>
    <definedName name="外部資料_252" localSheetId="8">PSR!#REF!</definedName>
    <definedName name="外部資料_252" localSheetId="4">評比系統!$T$1:$T$3</definedName>
    <definedName name="外部資料_252" localSheetId="18">福邦!#REF!</definedName>
    <definedName name="外部資料_2520" localSheetId="2">紅綠燈!#REF!</definedName>
    <definedName name="外部資料_2521" localSheetId="2">紅綠燈!#REF!</definedName>
    <definedName name="外部資料_2523" localSheetId="2">紅綠燈!#REF!</definedName>
    <definedName name="外部資料_2524" localSheetId="2">紅綠燈!#REF!</definedName>
    <definedName name="外部資料_2525" localSheetId="2">紅綠燈!#REF!</definedName>
    <definedName name="外部資料_2527" localSheetId="2">紅綠燈!#REF!</definedName>
    <definedName name="外部資料_2528" localSheetId="2">紅綠燈!#REF!</definedName>
    <definedName name="外部資料_2529" localSheetId="2">紅綠燈!#REF!</definedName>
    <definedName name="外部資料_253" localSheetId="15">PKA!#REF!</definedName>
    <definedName name="外部資料_253" localSheetId="16">PKB!#REF!</definedName>
    <definedName name="外部資料_253" localSheetId="17">PKC!#REF!</definedName>
    <definedName name="外部資料_253" localSheetId="8">PSR!#REF!</definedName>
    <definedName name="外部資料_253" localSheetId="4">評比系統!$T$1:$T$3</definedName>
    <definedName name="外部資料_253" localSheetId="18">福邦!#REF!</definedName>
    <definedName name="外部資料_2531" localSheetId="2">紅綠燈!#REF!</definedName>
    <definedName name="外部資料_2532" localSheetId="2">紅綠燈!#REF!</definedName>
    <definedName name="外部資料_2533" localSheetId="2">紅綠燈!#REF!</definedName>
    <definedName name="外部資料_2535" localSheetId="2">紅綠燈!#REF!</definedName>
    <definedName name="外部資料_2536" localSheetId="2">紅綠燈!#REF!</definedName>
    <definedName name="外部資料_2537" localSheetId="2">紅綠燈!#REF!</definedName>
    <definedName name="外部資料_2539" localSheetId="2">紅綠燈!#REF!</definedName>
    <definedName name="外部資料_254" localSheetId="15">PKA!#REF!</definedName>
    <definedName name="外部資料_254" localSheetId="16">PKB!#REF!</definedName>
    <definedName name="外部資料_254" localSheetId="17">PKC!#REF!</definedName>
    <definedName name="外部資料_254" localSheetId="8">PSR!#REF!</definedName>
    <definedName name="外部資料_254" localSheetId="4">評比系統!$T$1:$T$3</definedName>
    <definedName name="外部資料_254" localSheetId="18">福邦!#REF!</definedName>
    <definedName name="外部資料_2540" localSheetId="2">紅綠燈!#REF!</definedName>
    <definedName name="外部資料_2541" localSheetId="2">紅綠燈!#REF!</definedName>
    <definedName name="外部資料_2543" localSheetId="2">紅綠燈!#REF!</definedName>
    <definedName name="外部資料_2544" localSheetId="2">紅綠燈!#REF!</definedName>
    <definedName name="外部資料_2545" localSheetId="2">紅綠燈!#REF!</definedName>
    <definedName name="外部資料_2547" localSheetId="2">紅綠燈!#REF!</definedName>
    <definedName name="外部資料_2548" localSheetId="2">紅綠燈!#REF!</definedName>
    <definedName name="外部資料_2549" localSheetId="2">紅綠燈!#REF!</definedName>
    <definedName name="外部資料_255" localSheetId="15">PKA!#REF!</definedName>
    <definedName name="外部資料_255" localSheetId="16">PKB!#REF!</definedName>
    <definedName name="外部資料_255" localSheetId="17">PKC!#REF!</definedName>
    <definedName name="外部資料_255" localSheetId="8">PSR!#REF!</definedName>
    <definedName name="外部資料_255" localSheetId="4">評比系統!$T$1:$T$3</definedName>
    <definedName name="外部資料_255" localSheetId="18">福邦!#REF!</definedName>
    <definedName name="外部資料_2551" localSheetId="2">紅綠燈!#REF!</definedName>
    <definedName name="外部資料_2552" localSheetId="2">紅綠燈!#REF!</definedName>
    <definedName name="外部資料_2553" localSheetId="2">紅綠燈!#REF!</definedName>
    <definedName name="外部資料_2555" localSheetId="2">紅綠燈!#REF!</definedName>
    <definedName name="外部資料_2556" localSheetId="2">紅綠燈!#REF!</definedName>
    <definedName name="外部資料_2557" localSheetId="2">紅綠燈!#REF!</definedName>
    <definedName name="外部資料_2559" localSheetId="2">紅綠燈!#REF!</definedName>
    <definedName name="外部資料_256" localSheetId="15">PKA!#REF!</definedName>
    <definedName name="外部資料_256" localSheetId="16">PKB!#REF!</definedName>
    <definedName name="外部資料_256" localSheetId="17">PKC!#REF!</definedName>
    <definedName name="外部資料_256" localSheetId="8">PSR!#REF!</definedName>
    <definedName name="外部資料_256" localSheetId="4">評比系統!$T$1:$T$3</definedName>
    <definedName name="外部資料_256" localSheetId="18">福邦!#REF!</definedName>
    <definedName name="外部資料_2560" localSheetId="2">紅綠燈!#REF!</definedName>
    <definedName name="外部資料_2561" localSheetId="2">紅綠燈!#REF!</definedName>
    <definedName name="外部資料_2563" localSheetId="2">紅綠燈!#REF!</definedName>
    <definedName name="外部資料_2564" localSheetId="2">紅綠燈!#REF!</definedName>
    <definedName name="外部資料_2565" localSheetId="2">紅綠燈!#REF!</definedName>
    <definedName name="外部資料_2567" localSheetId="2">紅綠燈!#REF!</definedName>
    <definedName name="外部資料_2568" localSheetId="2">紅綠燈!#REF!</definedName>
    <definedName name="外部資料_2569" localSheetId="2">紅綠燈!#REF!</definedName>
    <definedName name="外部資料_257" localSheetId="15">PKA!#REF!</definedName>
    <definedName name="外部資料_257" localSheetId="16">PKB!#REF!</definedName>
    <definedName name="外部資料_257" localSheetId="17">PKC!#REF!</definedName>
    <definedName name="外部資料_257" localSheetId="8">PSR!#REF!</definedName>
    <definedName name="外部資料_257" localSheetId="4">評比系統!$T$1:$T$3</definedName>
    <definedName name="外部資料_257" localSheetId="18">福邦!#REF!</definedName>
    <definedName name="外部資料_2571" localSheetId="2">紅綠燈!#REF!</definedName>
    <definedName name="外部資料_2572" localSheetId="2">紅綠燈!#REF!</definedName>
    <definedName name="外部資料_2573" localSheetId="2">紅綠燈!#REF!</definedName>
    <definedName name="外部資料_2575" localSheetId="2">紅綠燈!#REF!</definedName>
    <definedName name="外部資料_2576" localSheetId="2">紅綠燈!#REF!</definedName>
    <definedName name="外部資料_2577" localSheetId="2">紅綠燈!#REF!</definedName>
    <definedName name="外部資料_2579" localSheetId="2">紅綠燈!#REF!</definedName>
    <definedName name="外部資料_258" localSheetId="15">PKA!#REF!</definedName>
    <definedName name="外部資料_258" localSheetId="16">PKB!#REF!</definedName>
    <definedName name="外部資料_258" localSheetId="17">PKC!#REF!</definedName>
    <definedName name="外部資料_258" localSheetId="8">PSR!#REF!</definedName>
    <definedName name="外部資料_258" localSheetId="4">評比系統!$T$1:$T$3</definedName>
    <definedName name="外部資料_258" localSheetId="18">福邦!#REF!</definedName>
    <definedName name="外部資料_2580" localSheetId="2">紅綠燈!#REF!</definedName>
    <definedName name="外部資料_2581" localSheetId="2">紅綠燈!#REF!</definedName>
    <definedName name="外部資料_2583" localSheetId="2">紅綠燈!#REF!</definedName>
    <definedName name="外部資料_2584" localSheetId="2">紅綠燈!#REF!</definedName>
    <definedName name="外部資料_2585" localSheetId="2">紅綠燈!#REF!</definedName>
    <definedName name="外部資料_2587" localSheetId="2">紅綠燈!#REF!</definedName>
    <definedName name="外部資料_2588" localSheetId="2">紅綠燈!#REF!</definedName>
    <definedName name="外部資料_2589" localSheetId="2">紅綠燈!#REF!</definedName>
    <definedName name="外部資料_259" localSheetId="15">PKA!#REF!</definedName>
    <definedName name="外部資料_259" localSheetId="16">PKB!#REF!</definedName>
    <definedName name="外部資料_259" localSheetId="17">PKC!#REF!</definedName>
    <definedName name="外部資料_259" localSheetId="8">PSR!#REF!</definedName>
    <definedName name="外部資料_259" localSheetId="4">評比系統!$T$1:$T$3</definedName>
    <definedName name="外部資料_259" localSheetId="18">福邦!#REF!</definedName>
    <definedName name="外部資料_2591" localSheetId="2">紅綠燈!#REF!</definedName>
    <definedName name="外部資料_2592" localSheetId="2">紅綠燈!#REF!</definedName>
    <definedName name="外部資料_2593" localSheetId="2">紅綠燈!#REF!</definedName>
    <definedName name="外部資料_2595" localSheetId="2">紅綠燈!#REF!</definedName>
    <definedName name="外部資料_2596" localSheetId="2">紅綠燈!#REF!</definedName>
    <definedName name="外部資料_2597" localSheetId="2">紅綠燈!#REF!</definedName>
    <definedName name="外部資料_2599" localSheetId="2">紅綠燈!#REF!</definedName>
    <definedName name="外部資料_26" localSheetId="15">PKA!#REF!</definedName>
    <definedName name="外部資料_26" localSheetId="16">PKB!#REF!</definedName>
    <definedName name="外部資料_26" localSheetId="17">PKC!#REF!</definedName>
    <definedName name="外部資料_26" localSheetId="8">PSR!#REF!</definedName>
    <definedName name="外部資料_26" localSheetId="2">紅綠燈!#REF!</definedName>
    <definedName name="外部資料_26" localSheetId="4">評比系統!#REF!</definedName>
    <definedName name="外部資料_26" localSheetId="18">福邦!#REF!</definedName>
    <definedName name="外部資料_26" localSheetId="5">篩股系統!#REF!</definedName>
    <definedName name="外部資料_26" localSheetId="7">營收搶先報!#REF!</definedName>
    <definedName name="外部資料_260" localSheetId="15">PKA!#REF!</definedName>
    <definedName name="外部資料_260" localSheetId="16">PKB!#REF!</definedName>
    <definedName name="外部資料_260" localSheetId="17">PKC!#REF!</definedName>
    <definedName name="外部資料_260" localSheetId="8">PSR!#REF!</definedName>
    <definedName name="外部資料_260" localSheetId="4">評比系統!$T$1:$T$3</definedName>
    <definedName name="外部資料_260" localSheetId="18">福邦!#REF!</definedName>
    <definedName name="外部資料_2600" localSheetId="2">紅綠燈!#REF!</definedName>
    <definedName name="外部資料_2601" localSheetId="2">紅綠燈!#REF!</definedName>
    <definedName name="外部資料_2603" localSheetId="2">紅綠燈!#REF!</definedName>
    <definedName name="外部資料_2604" localSheetId="2">紅綠燈!#REF!</definedName>
    <definedName name="外部資料_2605" localSheetId="2">紅綠燈!#REF!</definedName>
    <definedName name="外部資料_2607" localSheetId="2">紅綠燈!#REF!</definedName>
    <definedName name="外部資料_2608" localSheetId="2">紅綠燈!#REF!</definedName>
    <definedName name="外部資料_261" localSheetId="15">PKA!#REF!</definedName>
    <definedName name="外部資料_261" localSheetId="16">PKB!#REF!</definedName>
    <definedName name="外部資料_261" localSheetId="17">PKC!#REF!</definedName>
    <definedName name="外部資料_261" localSheetId="8">PSR!#REF!</definedName>
    <definedName name="外部資料_261" localSheetId="4">評比系統!$T$1:$T$3</definedName>
    <definedName name="外部資料_261" localSheetId="18">福邦!#REF!</definedName>
    <definedName name="外部資料_2610" localSheetId="2">紅綠燈!#REF!</definedName>
    <definedName name="外部資料_2611" localSheetId="2">紅綠燈!#REF!</definedName>
    <definedName name="外部資料_2612" localSheetId="2">紅綠燈!#REF!</definedName>
    <definedName name="外部資料_2614" localSheetId="2">紅綠燈!#REF!</definedName>
    <definedName name="外部資料_2615" localSheetId="2">紅綠燈!#REF!</definedName>
    <definedName name="外部資料_2616" localSheetId="2">紅綠燈!#REF!</definedName>
    <definedName name="外部資料_2618" localSheetId="2">紅綠燈!#REF!</definedName>
    <definedName name="外部資料_2619" localSheetId="2">紅綠燈!#REF!</definedName>
    <definedName name="外部資料_262" localSheetId="15">PKA!#REF!</definedName>
    <definedName name="外部資料_262" localSheetId="16">PKB!#REF!</definedName>
    <definedName name="外部資料_262" localSheetId="17">PKC!#REF!</definedName>
    <definedName name="外部資料_262" localSheetId="8">PSR!#REF!</definedName>
    <definedName name="外部資料_262" localSheetId="4">評比系統!$T$1:$T$3</definedName>
    <definedName name="外部資料_262" localSheetId="18">福邦!#REF!</definedName>
    <definedName name="外部資料_2621" localSheetId="2">紅綠燈!#REF!</definedName>
    <definedName name="外部資料_2622" localSheetId="2">紅綠燈!#REF!</definedName>
    <definedName name="外部資料_2623" localSheetId="2">紅綠燈!#REF!</definedName>
    <definedName name="外部資料_2625" localSheetId="2">紅綠燈!#REF!</definedName>
    <definedName name="外部資料_2626" localSheetId="2">紅綠燈!#REF!</definedName>
    <definedName name="外部資料_2627" localSheetId="2">紅綠燈!#REF!</definedName>
    <definedName name="外部資料_2629" localSheetId="2">紅綠燈!#REF!</definedName>
    <definedName name="外部資料_263" localSheetId="15">PKA!#REF!</definedName>
    <definedName name="外部資料_263" localSheetId="16">PKB!#REF!</definedName>
    <definedName name="外部資料_263" localSheetId="17">PKC!#REF!</definedName>
    <definedName name="外部資料_263" localSheetId="8">PSR!#REF!</definedName>
    <definedName name="外部資料_263" localSheetId="4">評比系統!$T$1:$T$3</definedName>
    <definedName name="外部資料_263" localSheetId="18">福邦!#REF!</definedName>
    <definedName name="外部資料_2630" localSheetId="2">紅綠燈!#REF!</definedName>
    <definedName name="外部資料_2631" localSheetId="2">紅綠燈!#REF!</definedName>
    <definedName name="外部資料_2633" localSheetId="2">紅綠燈!#REF!</definedName>
    <definedName name="外部資料_2634" localSheetId="2">紅綠燈!#REF!</definedName>
    <definedName name="外部資料_2635" localSheetId="2">紅綠燈!#REF!</definedName>
    <definedName name="外部資料_2637" localSheetId="2">紅綠燈!#REF!</definedName>
    <definedName name="外部資料_2638" localSheetId="2">紅綠燈!#REF!</definedName>
    <definedName name="外部資料_2639" localSheetId="2">紅綠燈!#REF!</definedName>
    <definedName name="外部資料_264" localSheetId="15">PKA!#REF!</definedName>
    <definedName name="外部資料_264" localSheetId="16">PKB!#REF!</definedName>
    <definedName name="外部資料_264" localSheetId="17">PKC!#REF!</definedName>
    <definedName name="外部資料_264" localSheetId="8">PSR!#REF!</definedName>
    <definedName name="外部資料_264" localSheetId="4">評比系統!$T$1:$T$3</definedName>
    <definedName name="外部資料_264" localSheetId="18">福邦!#REF!</definedName>
    <definedName name="外部資料_2641" localSheetId="2">紅綠燈!#REF!</definedName>
    <definedName name="外部資料_2642" localSheetId="2">紅綠燈!#REF!</definedName>
    <definedName name="外部資料_2643" localSheetId="2">紅綠燈!#REF!</definedName>
    <definedName name="外部資料_2645" localSheetId="2">紅綠燈!#REF!</definedName>
    <definedName name="外部資料_2646" localSheetId="2">紅綠燈!#REF!</definedName>
    <definedName name="外部資料_2647" localSheetId="2">紅綠燈!#REF!</definedName>
    <definedName name="外部資料_2649" localSheetId="2">紅綠燈!#REF!</definedName>
    <definedName name="外部資料_265" localSheetId="15">PKA!#REF!</definedName>
    <definedName name="外部資料_265" localSheetId="16">PKB!#REF!</definedName>
    <definedName name="外部資料_265" localSheetId="17">PKC!#REF!</definedName>
    <definedName name="外部資料_265" localSheetId="8">PSR!#REF!</definedName>
    <definedName name="外部資料_265" localSheetId="4">評比系統!$T$1:$T$3</definedName>
    <definedName name="外部資料_265" localSheetId="18">福邦!#REF!</definedName>
    <definedName name="外部資料_2650" localSheetId="2">紅綠燈!#REF!</definedName>
    <definedName name="外部資料_2651" localSheetId="2">紅綠燈!#REF!</definedName>
    <definedName name="外部資料_2653" localSheetId="2">紅綠燈!#REF!</definedName>
    <definedName name="外部資料_2654" localSheetId="2">紅綠燈!#REF!</definedName>
    <definedName name="外部資料_2655" localSheetId="2">紅綠燈!#REF!</definedName>
    <definedName name="外部資料_2657" localSheetId="2">紅綠燈!#REF!</definedName>
    <definedName name="外部資料_2658" localSheetId="2">紅綠燈!#REF!</definedName>
    <definedName name="外部資料_2659" localSheetId="2">紅綠燈!#REF!</definedName>
    <definedName name="外部資料_266" localSheetId="15">PKA!#REF!</definedName>
    <definedName name="外部資料_266" localSheetId="16">PKB!#REF!</definedName>
    <definedName name="外部資料_266" localSheetId="17">PKC!#REF!</definedName>
    <definedName name="外部資料_266" localSheetId="8">PSR!#REF!</definedName>
    <definedName name="外部資料_266" localSheetId="4">評比系統!$T$1:$T$3</definedName>
    <definedName name="外部資料_266" localSheetId="18">福邦!#REF!</definedName>
    <definedName name="外部資料_2661" localSheetId="2">紅綠燈!#REF!</definedName>
    <definedName name="外部資料_2662" localSheetId="2">紅綠燈!#REF!</definedName>
    <definedName name="外部資料_2663" localSheetId="2">紅綠燈!#REF!</definedName>
    <definedName name="外部資料_2665" localSheetId="2">紅綠燈!#REF!</definedName>
    <definedName name="外部資料_2666" localSheetId="2">紅綠燈!#REF!</definedName>
    <definedName name="外部資料_2667" localSheetId="2">紅綠燈!#REF!</definedName>
    <definedName name="外部資料_2669" localSheetId="2">紅綠燈!#REF!</definedName>
    <definedName name="外部資料_267" localSheetId="15">PKA!#REF!</definedName>
    <definedName name="外部資料_267" localSheetId="16">PKB!#REF!</definedName>
    <definedName name="外部資料_267" localSheetId="17">PKC!#REF!</definedName>
    <definedName name="外部資料_267" localSheetId="8">PSR!#REF!</definedName>
    <definedName name="外部資料_267" localSheetId="4">評比系統!$T$1:$T$3</definedName>
    <definedName name="外部資料_267" localSheetId="18">福邦!#REF!</definedName>
    <definedName name="外部資料_2670" localSheetId="2">紅綠燈!#REF!</definedName>
    <definedName name="外部資料_2671" localSheetId="2">紅綠燈!#REF!</definedName>
    <definedName name="外部資料_2673" localSheetId="2">紅綠燈!#REF!</definedName>
    <definedName name="外部資料_2674" localSheetId="2">紅綠燈!#REF!</definedName>
    <definedName name="外部資料_2675" localSheetId="2">紅綠燈!#REF!</definedName>
    <definedName name="外部資料_2677" localSheetId="2">紅綠燈!#REF!</definedName>
    <definedName name="外部資料_2678" localSheetId="2">紅綠燈!#REF!</definedName>
    <definedName name="外部資料_2679" localSheetId="2">紅綠燈!#REF!</definedName>
    <definedName name="外部資料_268" localSheetId="15">PKA!#REF!</definedName>
    <definedName name="外部資料_268" localSheetId="16">PKB!#REF!</definedName>
    <definedName name="外部資料_268" localSheetId="17">PKC!#REF!</definedName>
    <definedName name="外部資料_268" localSheetId="8">PSR!#REF!</definedName>
    <definedName name="外部資料_268" localSheetId="4">評比系統!$T$1:$T$3</definedName>
    <definedName name="外部資料_268" localSheetId="18">福邦!#REF!</definedName>
    <definedName name="外部資料_2681" localSheetId="2">紅綠燈!#REF!</definedName>
    <definedName name="外部資料_2682" localSheetId="2">紅綠燈!#REF!</definedName>
    <definedName name="外部資料_2683" localSheetId="2">紅綠燈!#REF!</definedName>
    <definedName name="外部資料_2685" localSheetId="2">紅綠燈!#REF!</definedName>
    <definedName name="外部資料_2686" localSheetId="2">紅綠燈!#REF!</definedName>
    <definedName name="外部資料_2687" localSheetId="2">紅綠燈!#REF!</definedName>
    <definedName name="外部資料_2689" localSheetId="2">紅綠燈!#REF!</definedName>
    <definedName name="外部資料_269" localSheetId="15">PKA!#REF!</definedName>
    <definedName name="外部資料_269" localSheetId="16">PKB!#REF!</definedName>
    <definedName name="外部資料_269" localSheetId="17">PKC!#REF!</definedName>
    <definedName name="外部資料_269" localSheetId="8">PSR!#REF!</definedName>
    <definedName name="外部資料_269" localSheetId="4">評比系統!$T$1:$T$3</definedName>
    <definedName name="外部資料_269" localSheetId="18">福邦!#REF!</definedName>
    <definedName name="外部資料_2690" localSheetId="2">紅綠燈!#REF!</definedName>
    <definedName name="外部資料_2691" localSheetId="2">紅綠燈!#REF!</definedName>
    <definedName name="外部資料_2693" localSheetId="2">紅綠燈!#REF!</definedName>
    <definedName name="外部資料_2694" localSheetId="2">紅綠燈!#REF!</definedName>
    <definedName name="外部資料_2695" localSheetId="2">紅綠燈!#REF!</definedName>
    <definedName name="外部資料_2697" localSheetId="2">紅綠燈!#REF!</definedName>
    <definedName name="外部資料_2698" localSheetId="2">紅綠燈!#REF!</definedName>
    <definedName name="外部資料_2699" localSheetId="2">紅綠燈!#REF!</definedName>
    <definedName name="外部資料_27" localSheetId="15">PKA!#REF!</definedName>
    <definedName name="外部資料_27" localSheetId="16">PKB!#REF!</definedName>
    <definedName name="外部資料_27" localSheetId="17">PKC!#REF!</definedName>
    <definedName name="外部資料_27" localSheetId="8">PSR!#REF!</definedName>
    <definedName name="外部資料_27" localSheetId="4">評比系統!#REF!</definedName>
    <definedName name="外部資料_27" localSheetId="18">福邦!#REF!</definedName>
    <definedName name="外部資料_27" localSheetId="5">篩股系統!#REF!</definedName>
    <definedName name="外部資料_27" localSheetId="7">營收搶先報!#REF!</definedName>
    <definedName name="外部資料_270" localSheetId="15">PKA!#REF!</definedName>
    <definedName name="外部資料_270" localSheetId="16">PKB!#REF!</definedName>
    <definedName name="外部資料_270" localSheetId="17">PKC!#REF!</definedName>
    <definedName name="外部資料_270" localSheetId="8">PSR!#REF!</definedName>
    <definedName name="外部資料_270" localSheetId="4">評比系統!$T$1:$T$3</definedName>
    <definedName name="外部資料_270" localSheetId="18">福邦!#REF!</definedName>
    <definedName name="外部資料_2701" localSheetId="2">紅綠燈!#REF!</definedName>
    <definedName name="外部資料_2702" localSheetId="2">紅綠燈!#REF!</definedName>
    <definedName name="外部資料_2703" localSheetId="2">紅綠燈!#REF!</definedName>
    <definedName name="外部資料_2705" localSheetId="2">紅綠燈!#REF!</definedName>
    <definedName name="外部資料_2706" localSheetId="2">紅綠燈!#REF!</definedName>
    <definedName name="外部資料_2707" localSheetId="2">紅綠燈!#REF!</definedName>
    <definedName name="外部資料_2709" localSheetId="2">紅綠燈!#REF!</definedName>
    <definedName name="外部資料_271" localSheetId="15">PKA!#REF!</definedName>
    <definedName name="外部資料_271" localSheetId="16">PKB!#REF!</definedName>
    <definedName name="外部資料_271" localSheetId="17">PKC!#REF!</definedName>
    <definedName name="外部資料_271" localSheetId="8">PSR!#REF!</definedName>
    <definedName name="外部資料_271" localSheetId="4">評比系統!$T$1:$T$3</definedName>
    <definedName name="外部資料_271" localSheetId="18">福邦!#REF!</definedName>
    <definedName name="外部資料_2710" localSheetId="2">紅綠燈!#REF!</definedName>
    <definedName name="外部資料_2711" localSheetId="2">紅綠燈!#REF!</definedName>
    <definedName name="外部資料_2713" localSheetId="2">紅綠燈!#REF!</definedName>
    <definedName name="外部資料_2714" localSheetId="2">紅綠燈!#REF!</definedName>
    <definedName name="外部資料_2715" localSheetId="2">紅綠燈!#REF!</definedName>
    <definedName name="外部資料_2717" localSheetId="2">紅綠燈!#REF!</definedName>
    <definedName name="外部資料_2718" localSheetId="2">紅綠燈!#REF!</definedName>
    <definedName name="外部資料_2719" localSheetId="2">紅綠燈!#REF!</definedName>
    <definedName name="外部資料_272" localSheetId="15">PKA!#REF!</definedName>
    <definedName name="外部資料_272" localSheetId="16">PKB!#REF!</definedName>
    <definedName name="外部資料_272" localSheetId="17">PKC!#REF!</definedName>
    <definedName name="外部資料_272" localSheetId="8">PSR!#REF!</definedName>
    <definedName name="外部資料_272" localSheetId="4">評比系統!$T$1:$T$3</definedName>
    <definedName name="外部資料_272" localSheetId="18">福邦!#REF!</definedName>
    <definedName name="外部資料_2721" localSheetId="2">紅綠燈!#REF!</definedName>
    <definedName name="外部資料_2722" localSheetId="2">紅綠燈!#REF!</definedName>
    <definedName name="外部資料_2723" localSheetId="2">紅綠燈!#REF!</definedName>
    <definedName name="外部資料_2725" localSheetId="2">紅綠燈!#REF!</definedName>
    <definedName name="外部資料_2726" localSheetId="2">紅綠燈!#REF!</definedName>
    <definedName name="外部資料_2727" localSheetId="2">紅綠燈!#REF!</definedName>
    <definedName name="外部資料_2729" localSheetId="2">紅綠燈!#REF!</definedName>
    <definedName name="外部資料_273" localSheetId="15">PKA!#REF!</definedName>
    <definedName name="外部資料_273" localSheetId="16">PKB!#REF!</definedName>
    <definedName name="外部資料_273" localSheetId="17">PKC!#REF!</definedName>
    <definedName name="外部資料_273" localSheetId="8">PSR!#REF!</definedName>
    <definedName name="外部資料_273" localSheetId="4">評比系統!$T$1:$T$3</definedName>
    <definedName name="外部資料_273" localSheetId="18">福邦!#REF!</definedName>
    <definedName name="外部資料_2730" localSheetId="2">紅綠燈!#REF!</definedName>
    <definedName name="外部資料_2731" localSheetId="2">紅綠燈!#REF!</definedName>
    <definedName name="外部資料_2733" localSheetId="2">紅綠燈!#REF!</definedName>
    <definedName name="外部資料_2734" localSheetId="2">紅綠燈!#REF!</definedName>
    <definedName name="外部資料_2735" localSheetId="2">紅綠燈!#REF!</definedName>
    <definedName name="外部資料_2737" localSheetId="2">紅綠燈!#REF!</definedName>
    <definedName name="外部資料_2738" localSheetId="2">紅綠燈!#REF!</definedName>
    <definedName name="外部資料_2739" localSheetId="2">紅綠燈!#REF!</definedName>
    <definedName name="外部資料_274" localSheetId="15">PKA!#REF!</definedName>
    <definedName name="外部資料_274" localSheetId="16">PKB!#REF!</definedName>
    <definedName name="外部資料_274" localSheetId="17">PKC!#REF!</definedName>
    <definedName name="外部資料_274" localSheetId="8">PSR!#REF!</definedName>
    <definedName name="外部資料_274" localSheetId="4">評比系統!$T$1:$T$3</definedName>
    <definedName name="外部資料_274" localSheetId="18">福邦!#REF!</definedName>
    <definedName name="外部資料_2741" localSheetId="2">紅綠燈!#REF!</definedName>
    <definedName name="外部資料_2742" localSheetId="2">紅綠燈!#REF!</definedName>
    <definedName name="外部資料_2743" localSheetId="2">紅綠燈!#REF!</definedName>
    <definedName name="外部資料_2745" localSheetId="2">紅綠燈!#REF!</definedName>
    <definedName name="外部資料_2746" localSheetId="2">紅綠燈!#REF!</definedName>
    <definedName name="外部資料_2747" localSheetId="2">紅綠燈!#REF!</definedName>
    <definedName name="外部資料_2749" localSheetId="2">紅綠燈!#REF!</definedName>
    <definedName name="外部資料_275" localSheetId="15">PKA!#REF!</definedName>
    <definedName name="外部資料_275" localSheetId="16">PKB!#REF!</definedName>
    <definedName name="外部資料_275" localSheetId="17">PKC!#REF!</definedName>
    <definedName name="外部資料_275" localSheetId="8">PSR!#REF!</definedName>
    <definedName name="外部資料_275" localSheetId="4">評比系統!$T$1:$T$3</definedName>
    <definedName name="外部資料_275" localSheetId="18">福邦!#REF!</definedName>
    <definedName name="外部資料_2750" localSheetId="2">紅綠燈!#REF!</definedName>
    <definedName name="外部資料_2751" localSheetId="2">紅綠燈!#REF!</definedName>
    <definedName name="外部資料_2753" localSheetId="2">紅綠燈!#REF!</definedName>
    <definedName name="外部資料_2754" localSheetId="2">紅綠燈!#REF!</definedName>
    <definedName name="外部資料_2755" localSheetId="2">紅綠燈!#REF!</definedName>
    <definedName name="外部資料_2757" localSheetId="2">紅綠燈!#REF!</definedName>
    <definedName name="外部資料_2758" localSheetId="2">紅綠燈!#REF!</definedName>
    <definedName name="外部資料_2759" localSheetId="2">紅綠燈!#REF!</definedName>
    <definedName name="外部資料_276" localSheetId="15">PKA!#REF!</definedName>
    <definedName name="外部資料_276" localSheetId="16">PKB!#REF!</definedName>
    <definedName name="外部資料_276" localSheetId="17">PKC!#REF!</definedName>
    <definedName name="外部資料_276" localSheetId="8">PSR!#REF!</definedName>
    <definedName name="外部資料_276" localSheetId="4">評比系統!$T$1:$T$3</definedName>
    <definedName name="外部資料_276" localSheetId="18">福邦!#REF!</definedName>
    <definedName name="外部資料_2761" localSheetId="2">紅綠燈!#REF!</definedName>
    <definedName name="外部資料_2762" localSheetId="2">紅綠燈!#REF!</definedName>
    <definedName name="外部資料_2763" localSheetId="2">紅綠燈!#REF!</definedName>
    <definedName name="外部資料_2765" localSheetId="2">紅綠燈!#REF!</definedName>
    <definedName name="外部資料_2766" localSheetId="2">紅綠燈!#REF!</definedName>
    <definedName name="外部資料_2767" localSheetId="2">紅綠燈!#REF!</definedName>
    <definedName name="外部資料_2769" localSheetId="2">紅綠燈!#REF!</definedName>
    <definedName name="外部資料_277" localSheetId="15">PKA!#REF!</definedName>
    <definedName name="外部資料_277" localSheetId="16">PKB!#REF!</definedName>
    <definedName name="外部資料_277" localSheetId="17">PKC!#REF!</definedName>
    <definedName name="外部資料_277" localSheetId="8">PSR!#REF!</definedName>
    <definedName name="外部資料_277" localSheetId="4">評比系統!$T$1:$T$3</definedName>
    <definedName name="外部資料_277" localSheetId="18">福邦!#REF!</definedName>
    <definedName name="外部資料_2770" localSheetId="2">紅綠燈!#REF!</definedName>
    <definedName name="外部資料_2771" localSheetId="2">紅綠燈!#REF!</definedName>
    <definedName name="外部資料_2773" localSheetId="2">紅綠燈!#REF!</definedName>
    <definedName name="外部資料_2774" localSheetId="2">紅綠燈!#REF!</definedName>
    <definedName name="外部資料_2775" localSheetId="2">紅綠燈!#REF!</definedName>
    <definedName name="外部資料_2777" localSheetId="2">紅綠燈!#REF!</definedName>
    <definedName name="外部資料_2778" localSheetId="2">紅綠燈!#REF!</definedName>
    <definedName name="外部資料_2779" localSheetId="2">紅綠燈!#REF!</definedName>
    <definedName name="外部資料_278" localSheetId="15">PKA!#REF!</definedName>
    <definedName name="外部資料_278" localSheetId="16">PKB!#REF!</definedName>
    <definedName name="外部資料_278" localSheetId="17">PKC!#REF!</definedName>
    <definedName name="外部資料_278" localSheetId="8">PSR!#REF!</definedName>
    <definedName name="外部資料_278" localSheetId="4">評比系統!$T$1:$T$3</definedName>
    <definedName name="外部資料_278" localSheetId="18">福邦!#REF!</definedName>
    <definedName name="外部資料_2781" localSheetId="2">紅綠燈!#REF!</definedName>
    <definedName name="外部資料_2782" localSheetId="2">紅綠燈!#REF!</definedName>
    <definedName name="外部資料_2783" localSheetId="2">紅綠燈!#REF!</definedName>
    <definedName name="外部資料_2785" localSheetId="2">紅綠燈!#REF!</definedName>
    <definedName name="外部資料_2786" localSheetId="2">紅綠燈!#REF!</definedName>
    <definedName name="外部資料_2787" localSheetId="2">紅綠燈!#REF!</definedName>
    <definedName name="外部資料_2788" localSheetId="5">篩股系統!$D$3:$H$56</definedName>
    <definedName name="外部資料_2789" localSheetId="2">紅綠燈!#REF!</definedName>
    <definedName name="外部資料_279" localSheetId="15">PKA!#REF!</definedName>
    <definedName name="外部資料_279" localSheetId="16">PKB!#REF!</definedName>
    <definedName name="外部資料_279" localSheetId="17">PKC!#REF!</definedName>
    <definedName name="外部資料_279" localSheetId="8">PSR!#REF!</definedName>
    <definedName name="外部資料_279" localSheetId="4">評比系統!$T$1:$T$3</definedName>
    <definedName name="外部資料_279" localSheetId="18">福邦!#REF!</definedName>
    <definedName name="外部資料_2790" localSheetId="2">紅綠燈!#REF!</definedName>
    <definedName name="外部資料_2792" localSheetId="2">紅綠燈!#REF!</definedName>
    <definedName name="外部資料_2793" localSheetId="2">紅綠燈!#REF!</definedName>
    <definedName name="外部資料_2794" localSheetId="2">紅綠燈!#REF!</definedName>
    <definedName name="外部資料_2796" localSheetId="2">紅綠燈!#REF!</definedName>
    <definedName name="外部資料_2797" localSheetId="2">紅綠燈!#REF!</definedName>
    <definedName name="外部資料_2798" localSheetId="2">紅綠燈!#REF!</definedName>
    <definedName name="外部資料_28" localSheetId="15">PKA!#REF!</definedName>
    <definedName name="外部資料_28" localSheetId="16">PKB!#REF!</definedName>
    <definedName name="外部資料_28" localSheetId="17">PKC!#REF!</definedName>
    <definedName name="外部資料_28" localSheetId="8">PSR!#REF!</definedName>
    <definedName name="外部資料_28" localSheetId="2">紅綠燈!#REF!</definedName>
    <definedName name="外部資料_28" localSheetId="4">評比系統!#REF!</definedName>
    <definedName name="外部資料_28" localSheetId="18">福邦!#REF!</definedName>
    <definedName name="外部資料_28" localSheetId="5">篩股系統!#REF!</definedName>
    <definedName name="外部資料_28" localSheetId="7">營收搶先報!#REF!</definedName>
    <definedName name="外部資料_280" localSheetId="15">PKA!#REF!</definedName>
    <definedName name="外部資料_280" localSheetId="16">PKB!#REF!</definedName>
    <definedName name="外部資料_280" localSheetId="17">PKC!#REF!</definedName>
    <definedName name="外部資料_280" localSheetId="8">PSR!#REF!</definedName>
    <definedName name="外部資料_280" localSheetId="4">評比系統!$T$1:$T$3</definedName>
    <definedName name="外部資料_280" localSheetId="18">福邦!#REF!</definedName>
    <definedName name="外部資料_2800" localSheetId="2">紅綠燈!#REF!</definedName>
    <definedName name="外部資料_2801" localSheetId="2">紅綠燈!#REF!</definedName>
    <definedName name="外部資料_2802" localSheetId="2">紅綠燈!#REF!</definedName>
    <definedName name="外部資料_2804" localSheetId="2">紅綠燈!#REF!</definedName>
    <definedName name="外部資料_2805" localSheetId="2">紅綠燈!#REF!</definedName>
    <definedName name="外部資料_2806" localSheetId="2">紅綠燈!#REF!</definedName>
    <definedName name="外部資料_2808" localSheetId="2">紅綠燈!#REF!</definedName>
    <definedName name="外部資料_2809" localSheetId="2">紅綠燈!#REF!</definedName>
    <definedName name="外部資料_281" localSheetId="15">PKA!#REF!</definedName>
    <definedName name="外部資料_281" localSheetId="16">PKB!#REF!</definedName>
    <definedName name="外部資料_281" localSheetId="17">PKC!#REF!</definedName>
    <definedName name="外部資料_281" localSheetId="8">PSR!#REF!</definedName>
    <definedName name="外部資料_281" localSheetId="4">評比系統!$T$1:$T$3</definedName>
    <definedName name="外部資料_281" localSheetId="18">福邦!#REF!</definedName>
    <definedName name="外部資料_2810" localSheetId="2">紅綠燈!#REF!</definedName>
    <definedName name="外部資料_2812" localSheetId="2">紅綠燈!#REF!</definedName>
    <definedName name="外部資料_2813" localSheetId="2">紅綠燈!#REF!</definedName>
    <definedName name="外部資料_2814" localSheetId="2">紅綠燈!#REF!</definedName>
    <definedName name="外部資料_2815" localSheetId="5">篩股系統!$D$3:$H$56</definedName>
    <definedName name="外部資料_2816" localSheetId="2">紅綠燈!#REF!</definedName>
    <definedName name="外部資料_2817" localSheetId="2">紅綠燈!#REF!</definedName>
    <definedName name="外部資料_2818" localSheetId="2">紅綠燈!#REF!</definedName>
    <definedName name="外部資料_282" localSheetId="15">PKA!#REF!</definedName>
    <definedName name="外部資料_282" localSheetId="16">PKB!#REF!</definedName>
    <definedName name="外部資料_282" localSheetId="17">PKC!#REF!</definedName>
    <definedName name="外部資料_282" localSheetId="8">PSR!#REF!</definedName>
    <definedName name="外部資料_282" localSheetId="4">評比系統!$T$1:$T$3</definedName>
    <definedName name="外部資料_282" localSheetId="18">福邦!#REF!</definedName>
    <definedName name="外部資料_2820" localSheetId="2">紅綠燈!#REF!</definedName>
    <definedName name="外部資料_2821" localSheetId="2">紅綠燈!#REF!</definedName>
    <definedName name="外部資料_2822" localSheetId="2">紅綠燈!#REF!</definedName>
    <definedName name="外部資料_2824" localSheetId="2">紅綠燈!#REF!</definedName>
    <definedName name="外部資料_2825" localSheetId="2">紅綠燈!#REF!</definedName>
    <definedName name="外部資料_2826" localSheetId="2">紅綠燈!#REF!</definedName>
    <definedName name="外部資料_2828" localSheetId="2">紅綠燈!#REF!</definedName>
    <definedName name="外部資料_2829" localSheetId="2">紅綠燈!#REF!</definedName>
    <definedName name="外部資料_283" localSheetId="15">PKA!#REF!</definedName>
    <definedName name="外部資料_283" localSheetId="16">PKB!#REF!</definedName>
    <definedName name="外部資料_283" localSheetId="17">PKC!#REF!</definedName>
    <definedName name="外部資料_283" localSheetId="8">PSR!#REF!</definedName>
    <definedName name="外部資料_283" localSheetId="4">評比系統!$T$1:$T$3</definedName>
    <definedName name="外部資料_283" localSheetId="18">福邦!#REF!</definedName>
    <definedName name="外部資料_2830" localSheetId="2">紅綠燈!#REF!</definedName>
    <definedName name="外部資料_2832" localSheetId="2">紅綠燈!#REF!</definedName>
    <definedName name="外部資料_2833" localSheetId="2">紅綠燈!#REF!</definedName>
    <definedName name="外部資料_2834" localSheetId="2">紅綠燈!#REF!</definedName>
    <definedName name="外部資料_2834" localSheetId="5">篩股系統!$D$3:$H$56</definedName>
    <definedName name="外部資料_2836" localSheetId="2">紅綠燈!#REF!</definedName>
    <definedName name="外部資料_2837" localSheetId="2">紅綠燈!#REF!</definedName>
    <definedName name="外部資料_2838" localSheetId="2">紅綠燈!#REF!</definedName>
    <definedName name="外部資料_2838" localSheetId="5">篩股系統!$D$3:$H$56</definedName>
    <definedName name="外部資料_284" localSheetId="15">PKA!#REF!</definedName>
    <definedName name="外部資料_284" localSheetId="16">PKB!#REF!</definedName>
    <definedName name="外部資料_284" localSheetId="17">PKC!#REF!</definedName>
    <definedName name="外部資料_284" localSheetId="8">PSR!#REF!</definedName>
    <definedName name="外部資料_284" localSheetId="4">評比系統!$T$1:$T$3</definedName>
    <definedName name="外部資料_284" localSheetId="18">福邦!#REF!</definedName>
    <definedName name="外部資料_2840" localSheetId="2">紅綠燈!#REF!</definedName>
    <definedName name="外部資料_2841" localSheetId="2">紅綠燈!#REF!</definedName>
    <definedName name="外部資料_2842" localSheetId="2">紅綠燈!#REF!</definedName>
    <definedName name="外部資料_2844" localSheetId="2">紅綠燈!#REF!</definedName>
    <definedName name="外部資料_2845" localSheetId="2">紅綠燈!#REF!</definedName>
    <definedName name="外部資料_2846" localSheetId="2">紅綠燈!#REF!</definedName>
    <definedName name="外部資料_2848" localSheetId="2">紅綠燈!#REF!</definedName>
    <definedName name="外部資料_2849" localSheetId="2">紅綠燈!#REF!</definedName>
    <definedName name="外部資料_285" localSheetId="15">PKA!#REF!</definedName>
    <definedName name="外部資料_285" localSheetId="16">PKB!#REF!</definedName>
    <definedName name="外部資料_285" localSheetId="17">PKC!#REF!</definedName>
    <definedName name="外部資料_285" localSheetId="4">評比系統!$T$1:$T$3</definedName>
    <definedName name="外部資料_285" localSheetId="18">福邦!#REF!</definedName>
    <definedName name="外部資料_2850" localSheetId="2">紅綠燈!#REF!</definedName>
    <definedName name="外部資料_2850" localSheetId="5">篩股系統!$D$3:$H$56</definedName>
    <definedName name="外部資料_2852" localSheetId="2">紅綠燈!#REF!</definedName>
    <definedName name="外部資料_2853" localSheetId="2">紅綠燈!#REF!</definedName>
    <definedName name="外部資料_2853" localSheetId="5">篩股系統!$D$3:$H$56</definedName>
    <definedName name="外部資料_2854" localSheetId="2">紅綠燈!#REF!</definedName>
    <definedName name="外部資料_2856" localSheetId="2">紅綠燈!#REF!</definedName>
    <definedName name="外部資料_2857" localSheetId="2">紅綠燈!#REF!</definedName>
    <definedName name="外部資料_2858" localSheetId="2">紅綠燈!#REF!</definedName>
    <definedName name="外部資料_286" localSheetId="15">PKA!#REF!</definedName>
    <definedName name="外部資料_286" localSheetId="16">PKB!#REF!</definedName>
    <definedName name="外部資料_286" localSheetId="17">PKC!#REF!</definedName>
    <definedName name="外部資料_286" localSheetId="4">評比系統!$T$1:$T$3</definedName>
    <definedName name="外部資料_286" localSheetId="18">福邦!#REF!</definedName>
    <definedName name="外部資料_2860" localSheetId="2">紅綠燈!#REF!</definedName>
    <definedName name="外部資料_2861" localSheetId="2">紅綠燈!#REF!</definedName>
    <definedName name="外部資料_2862" localSheetId="2">紅綠燈!#REF!</definedName>
    <definedName name="外部資料_2864" localSheetId="2">紅綠燈!#REF!</definedName>
    <definedName name="外部資料_2865" localSheetId="2">紅綠燈!#REF!</definedName>
    <definedName name="外部資料_2866" localSheetId="2">紅綠燈!#REF!</definedName>
    <definedName name="外部資料_2868" localSheetId="2">紅綠燈!#REF!</definedName>
    <definedName name="外部資料_2869" localSheetId="2">紅綠燈!#REF!</definedName>
    <definedName name="外部資料_287" localSheetId="15">PKA!#REF!</definedName>
    <definedName name="外部資料_287" localSheetId="16">PKB!#REF!</definedName>
    <definedName name="外部資料_287" localSheetId="17">PKC!#REF!</definedName>
    <definedName name="外部資料_287" localSheetId="4">評比系統!$T$1:$T$3</definedName>
    <definedName name="外部資料_287" localSheetId="18">福邦!#REF!</definedName>
    <definedName name="外部資料_2870" localSheetId="2">紅綠燈!#REF!</definedName>
    <definedName name="外部資料_2872" localSheetId="2">紅綠燈!#REF!</definedName>
    <definedName name="外部資料_2873" localSheetId="2">紅綠燈!#REF!</definedName>
    <definedName name="外部資料_2874" localSheetId="2">紅綠燈!#REF!</definedName>
    <definedName name="外部資料_2876" localSheetId="2">紅綠燈!#REF!</definedName>
    <definedName name="外部資料_2877" localSheetId="2">紅綠燈!#REF!</definedName>
    <definedName name="外部資料_2878" localSheetId="2">紅綠燈!#REF!</definedName>
    <definedName name="外部資料_288" localSheetId="15">PKA!#REF!</definedName>
    <definedName name="外部資料_288" localSheetId="16">PKB!#REF!</definedName>
    <definedName name="外部資料_288" localSheetId="17">PKC!#REF!</definedName>
    <definedName name="外部資料_288" localSheetId="4">評比系統!$T$1:$T$3</definedName>
    <definedName name="外部資料_288" localSheetId="18">福邦!#REF!</definedName>
    <definedName name="外部資料_2880" localSheetId="2">紅綠燈!#REF!</definedName>
    <definedName name="外部資料_2881" localSheetId="2">紅綠燈!#REF!</definedName>
    <definedName name="外部資料_2882" localSheetId="2">紅綠燈!#REF!</definedName>
    <definedName name="外部資料_2884" localSheetId="2">紅綠燈!#REF!</definedName>
    <definedName name="外部資料_2885" localSheetId="2">紅綠燈!#REF!</definedName>
    <definedName name="外部資料_2886" localSheetId="2">紅綠燈!#REF!</definedName>
    <definedName name="外部資料_2888" localSheetId="2">紅綠燈!#REF!</definedName>
    <definedName name="外部資料_2889" localSheetId="2">紅綠燈!#REF!</definedName>
    <definedName name="外部資料_289" localSheetId="15">PKA!#REF!</definedName>
    <definedName name="外部資料_289" localSheetId="16">PKB!#REF!</definedName>
    <definedName name="外部資料_289" localSheetId="17">PKC!#REF!</definedName>
    <definedName name="外部資料_289" localSheetId="4">評比系統!$T$1:$T$3</definedName>
    <definedName name="外部資料_289" localSheetId="18">福邦!#REF!</definedName>
    <definedName name="外部資料_2890" localSheetId="2">紅綠燈!#REF!</definedName>
    <definedName name="外部資料_2892" localSheetId="2">紅綠燈!#REF!</definedName>
    <definedName name="外部資料_2893" localSheetId="2">紅綠燈!#REF!</definedName>
    <definedName name="外部資料_2894" localSheetId="2">紅綠燈!#REF!</definedName>
    <definedName name="外部資料_2896" localSheetId="2">紅綠燈!#REF!</definedName>
    <definedName name="外部資料_2897" localSheetId="2">紅綠燈!#REF!</definedName>
    <definedName name="外部資料_2898" localSheetId="2">紅綠燈!#REF!</definedName>
    <definedName name="外部資料_29" localSheetId="15">PKA!#REF!</definedName>
    <definedName name="外部資料_29" localSheetId="16">PKB!#REF!</definedName>
    <definedName name="外部資料_29" localSheetId="17">PKC!#REF!</definedName>
    <definedName name="外部資料_29" localSheetId="8">PSR!#REF!</definedName>
    <definedName name="外部資料_29" localSheetId="2">紅綠燈!#REF!</definedName>
    <definedName name="外部資料_29" localSheetId="4">評比系統!#REF!</definedName>
    <definedName name="外部資料_29" localSheetId="18">福邦!#REF!</definedName>
    <definedName name="外部資料_29" localSheetId="5">篩股系統!#REF!</definedName>
    <definedName name="外部資料_29" localSheetId="7">營收搶先報!#REF!</definedName>
    <definedName name="外部資料_290" localSheetId="15">PKA!#REF!</definedName>
    <definedName name="外部資料_290" localSheetId="16">PKB!#REF!</definedName>
    <definedName name="外部資料_290" localSheetId="17">PKC!#REF!</definedName>
    <definedName name="外部資料_290" localSheetId="4">評比系統!$T$1:$T$3</definedName>
    <definedName name="外部資料_290" localSheetId="18">福邦!#REF!</definedName>
    <definedName name="外部資料_2900" localSheetId="2">紅綠燈!#REF!</definedName>
    <definedName name="外部資料_2901" localSheetId="2">紅綠燈!#REF!</definedName>
    <definedName name="外部資料_2902" localSheetId="2">紅綠燈!#REF!</definedName>
    <definedName name="外部資料_2904" localSheetId="2">紅綠燈!#REF!</definedName>
    <definedName name="外部資料_2905" localSheetId="2">紅綠燈!#REF!</definedName>
    <definedName name="外部資料_2906" localSheetId="2">紅綠燈!#REF!</definedName>
    <definedName name="外部資料_2908" localSheetId="2">紅綠燈!#REF!</definedName>
    <definedName name="外部資料_2909" localSheetId="2">紅綠燈!#REF!</definedName>
    <definedName name="外部資料_291" localSheetId="15">PKA!#REF!</definedName>
    <definedName name="外部資料_291" localSheetId="16">PKB!#REF!</definedName>
    <definedName name="外部資料_291" localSheetId="17">PKC!#REF!</definedName>
    <definedName name="外部資料_291" localSheetId="4">評比系統!$T$1:$T$3</definedName>
    <definedName name="外部資料_291" localSheetId="18">福邦!#REF!</definedName>
    <definedName name="外部資料_2910" localSheetId="2">紅綠燈!#REF!</definedName>
    <definedName name="外部資料_2912" localSheetId="2">紅綠燈!#REF!</definedName>
    <definedName name="外部資料_2913" localSheetId="2">紅綠燈!#REF!</definedName>
    <definedName name="外部資料_2914" localSheetId="2">紅綠燈!#REF!</definedName>
    <definedName name="外部資料_2916" localSheetId="2">紅綠燈!#REF!</definedName>
    <definedName name="外部資料_2917" localSheetId="2">紅綠燈!#REF!</definedName>
    <definedName name="外部資料_2918" localSheetId="2">紅綠燈!#REF!</definedName>
    <definedName name="外部資料_292" localSheetId="15">PKA!#REF!</definedName>
    <definedName name="外部資料_292" localSheetId="16">PKB!#REF!</definedName>
    <definedName name="外部資料_292" localSheetId="17">PKC!#REF!</definedName>
    <definedName name="外部資料_292" localSheetId="4">評比系統!$T$1:$T$3</definedName>
    <definedName name="外部資料_292" localSheetId="18">福邦!#REF!</definedName>
    <definedName name="外部資料_2920" localSheetId="2">紅綠燈!#REF!</definedName>
    <definedName name="外部資料_2921" localSheetId="2">紅綠燈!#REF!</definedName>
    <definedName name="外部資料_2922" localSheetId="2">紅綠燈!#REF!</definedName>
    <definedName name="外部資料_2924" localSheetId="2">紅綠燈!#REF!</definedName>
    <definedName name="外部資料_2925" localSheetId="2">紅綠燈!#REF!</definedName>
    <definedName name="外部資料_2926" localSheetId="2">紅綠燈!#REF!</definedName>
    <definedName name="外部資料_2928" localSheetId="2">紅綠燈!#REF!</definedName>
    <definedName name="外部資料_2929" localSheetId="2">紅綠燈!#REF!</definedName>
    <definedName name="外部資料_293" localSheetId="15">PKA!#REF!</definedName>
    <definedName name="外部資料_293" localSheetId="16">PKB!#REF!</definedName>
    <definedName name="外部資料_293" localSheetId="17">PKC!#REF!</definedName>
    <definedName name="外部資料_293" localSheetId="4">評比系統!$T$1:$T$3</definedName>
    <definedName name="外部資料_293" localSheetId="18">福邦!#REF!</definedName>
    <definedName name="外部資料_2930" localSheetId="2">紅綠燈!#REF!</definedName>
    <definedName name="外部資料_2932" localSheetId="2">紅綠燈!#REF!</definedName>
    <definedName name="外部資料_2933" localSheetId="2">紅綠燈!#REF!</definedName>
    <definedName name="外部資料_2934" localSheetId="2">紅綠燈!#REF!</definedName>
    <definedName name="外部資料_2936" localSheetId="2">紅綠燈!#REF!</definedName>
    <definedName name="外部資料_2937" localSheetId="2">紅綠燈!#REF!</definedName>
    <definedName name="外部資料_2938" localSheetId="2">紅綠燈!#REF!</definedName>
    <definedName name="外部資料_294" localSheetId="15">PKA!#REF!</definedName>
    <definedName name="外部資料_294" localSheetId="16">PKB!#REF!</definedName>
    <definedName name="外部資料_294" localSheetId="17">PKC!#REF!</definedName>
    <definedName name="外部資料_294" localSheetId="4">評比系統!$T$1:$T$3</definedName>
    <definedName name="外部資料_294" localSheetId="18">福邦!#REF!</definedName>
    <definedName name="外部資料_2940" localSheetId="2">紅綠燈!#REF!</definedName>
    <definedName name="外部資料_2941" localSheetId="2">紅綠燈!#REF!</definedName>
    <definedName name="外部資料_2942" localSheetId="2">紅綠燈!#REF!</definedName>
    <definedName name="外部資料_2944" localSheetId="2">紅綠燈!#REF!</definedName>
    <definedName name="外部資料_2945" localSheetId="2">紅綠燈!#REF!</definedName>
    <definedName name="外部資料_2946" localSheetId="2">紅綠燈!#REF!</definedName>
    <definedName name="外部資料_2948" localSheetId="2">紅綠燈!#REF!</definedName>
    <definedName name="外部資料_2949" localSheetId="2">紅綠燈!#REF!</definedName>
    <definedName name="外部資料_295" localSheetId="15">PKA!#REF!</definedName>
    <definedName name="外部資料_295" localSheetId="16">PKB!#REF!</definedName>
    <definedName name="外部資料_295" localSheetId="17">PKC!#REF!</definedName>
    <definedName name="外部資料_295" localSheetId="4">評比系統!$T$1:$T$3</definedName>
    <definedName name="外部資料_295" localSheetId="18">福邦!#REF!</definedName>
    <definedName name="外部資料_2950" localSheetId="2">紅綠燈!#REF!</definedName>
    <definedName name="外部資料_2952" localSheetId="2">紅綠燈!#REF!</definedName>
    <definedName name="外部資料_2953" localSheetId="2">紅綠燈!#REF!</definedName>
    <definedName name="外部資料_2954" localSheetId="2">紅綠燈!#REF!</definedName>
    <definedName name="外部資料_2956" localSheetId="2">紅綠燈!#REF!</definedName>
    <definedName name="外部資料_2957" localSheetId="2">紅綠燈!#REF!</definedName>
    <definedName name="外部資料_2958" localSheetId="2">紅綠燈!#REF!</definedName>
    <definedName name="外部資料_296" localSheetId="15">PKA!#REF!</definedName>
    <definedName name="外部資料_296" localSheetId="16">PKB!#REF!</definedName>
    <definedName name="外部資料_296" localSheetId="17">PKC!#REF!</definedName>
    <definedName name="外部資料_296" localSheetId="4">評比系統!$T$1:$T$3</definedName>
    <definedName name="外部資料_296" localSheetId="18">福邦!#REF!</definedName>
    <definedName name="外部資料_2960" localSheetId="2">紅綠燈!#REF!</definedName>
    <definedName name="外部資料_2961" localSheetId="2">紅綠燈!#REF!</definedName>
    <definedName name="外部資料_2962" localSheetId="2">紅綠燈!#REF!</definedName>
    <definedName name="外部資料_2964" localSheetId="2">紅綠燈!#REF!</definedName>
    <definedName name="外部資料_2965" localSheetId="2">紅綠燈!#REF!</definedName>
    <definedName name="外部資料_2966" localSheetId="2">紅綠燈!#REF!</definedName>
    <definedName name="外部資料_2968" localSheetId="2">紅綠燈!#REF!</definedName>
    <definedName name="外部資料_2969" localSheetId="2">紅綠燈!#REF!</definedName>
    <definedName name="外部資料_297" localSheetId="15">PKA!#REF!</definedName>
    <definedName name="外部資料_297" localSheetId="16">PKB!#REF!</definedName>
    <definedName name="外部資料_297" localSheetId="17">PKC!#REF!</definedName>
    <definedName name="外部資料_297" localSheetId="4">評比系統!$T$1:$T$3</definedName>
    <definedName name="外部資料_297" localSheetId="18">福邦!#REF!</definedName>
    <definedName name="外部資料_2970" localSheetId="2">紅綠燈!#REF!</definedName>
    <definedName name="外部資料_2972" localSheetId="2">紅綠燈!#REF!</definedName>
    <definedName name="外部資料_2973" localSheetId="2">紅綠燈!#REF!</definedName>
    <definedName name="外部資料_2974" localSheetId="2">紅綠燈!#REF!</definedName>
    <definedName name="外部資料_2976" localSheetId="2">紅綠燈!#REF!</definedName>
    <definedName name="外部資料_2977" localSheetId="2">紅綠燈!#REF!</definedName>
    <definedName name="外部資料_2978" localSheetId="2">紅綠燈!#REF!</definedName>
    <definedName name="外部資料_298" localSheetId="15">PKA!#REF!</definedName>
    <definedName name="外部資料_298" localSheetId="16">PKB!#REF!</definedName>
    <definedName name="外部資料_298" localSheetId="17">PKC!#REF!</definedName>
    <definedName name="外部資料_298" localSheetId="4">評比系統!$T$1:$T$3</definedName>
    <definedName name="外部資料_298" localSheetId="18">福邦!#REF!</definedName>
    <definedName name="外部資料_2980" localSheetId="2">紅綠燈!#REF!</definedName>
    <definedName name="外部資料_2981" localSheetId="2">紅綠燈!#REF!</definedName>
    <definedName name="外部資料_2982" localSheetId="2">紅綠燈!#REF!</definedName>
    <definedName name="外部資料_2984" localSheetId="2">紅綠燈!#REF!</definedName>
    <definedName name="外部資料_2985" localSheetId="2">紅綠燈!#REF!</definedName>
    <definedName name="外部資料_2986" localSheetId="2">紅綠燈!#REF!</definedName>
    <definedName name="外部資料_2988" localSheetId="2">紅綠燈!#REF!</definedName>
    <definedName name="外部資料_2989" localSheetId="2">紅綠燈!#REF!</definedName>
    <definedName name="外部資料_299" localSheetId="15">PKA!#REF!</definedName>
    <definedName name="外部資料_299" localSheetId="16">PKB!#REF!</definedName>
    <definedName name="外部資料_299" localSheetId="17">PKC!#REF!</definedName>
    <definedName name="外部資料_299" localSheetId="4">評比系統!$T$1:$T$3</definedName>
    <definedName name="外部資料_299" localSheetId="18">福邦!#REF!</definedName>
    <definedName name="外部資料_2990" localSheetId="2">紅綠燈!#REF!</definedName>
    <definedName name="外部資料_2992" localSheetId="2">紅綠燈!#REF!</definedName>
    <definedName name="外部資料_2993" localSheetId="2">紅綠燈!#REF!</definedName>
    <definedName name="外部資料_2994" localSheetId="2">紅綠燈!#REF!</definedName>
    <definedName name="外部資料_2996" localSheetId="2">紅綠燈!#REF!</definedName>
    <definedName name="外部資料_2997" localSheetId="2">紅綠燈!#REF!</definedName>
    <definedName name="外部資料_2998" localSheetId="2">紅綠燈!#REF!</definedName>
    <definedName name="外部資料_3" localSheetId="15">PKA!#REF!</definedName>
    <definedName name="外部資料_3" localSheetId="16">PKB!#REF!</definedName>
    <definedName name="外部資料_3" localSheetId="17">PKC!#REF!</definedName>
    <definedName name="外部資料_3" localSheetId="8">PSR!#REF!</definedName>
    <definedName name="外部資料_3" localSheetId="2">紅綠燈!#REF!</definedName>
    <definedName name="外部資料_3" localSheetId="4">評比系統!#REF!</definedName>
    <definedName name="外部資料_3" localSheetId="18">福邦!#REF!</definedName>
    <definedName name="外部資料_3" localSheetId="5">篩股系統!#REF!</definedName>
    <definedName name="外部資料_3" localSheetId="7">營收搶先報!#REF!</definedName>
    <definedName name="外部資料_30" localSheetId="15">PKA!#REF!</definedName>
    <definedName name="外部資料_30" localSheetId="16">PKB!#REF!</definedName>
    <definedName name="外部資料_30" localSheetId="17">PKC!#REF!</definedName>
    <definedName name="外部資料_30" localSheetId="8">PSR!#REF!</definedName>
    <definedName name="外部資料_30" localSheetId="2">紅綠燈!#REF!</definedName>
    <definedName name="外部資料_30" localSheetId="4">評比系統!#REF!</definedName>
    <definedName name="外部資料_30" localSheetId="18">福邦!#REF!</definedName>
    <definedName name="外部資料_30" localSheetId="5">篩股系統!#REF!</definedName>
    <definedName name="外部資料_30" localSheetId="7">營收搶先報!#REF!</definedName>
    <definedName name="外部資料_300" localSheetId="15">PKA!#REF!</definedName>
    <definedName name="外部資料_300" localSheetId="16">PKB!#REF!</definedName>
    <definedName name="外部資料_300" localSheetId="17">PKC!#REF!</definedName>
    <definedName name="外部資料_300" localSheetId="4">評比系統!$T$1:$T$3</definedName>
    <definedName name="外部資料_300" localSheetId="18">福邦!$B$1:$T$21</definedName>
    <definedName name="外部資料_3000" localSheetId="2">紅綠燈!#REF!</definedName>
    <definedName name="外部資料_3001" localSheetId="2">紅綠燈!#REF!</definedName>
    <definedName name="外部資料_3002" localSheetId="2">紅綠燈!#REF!</definedName>
    <definedName name="外部資料_3004" localSheetId="2">紅綠燈!#REF!</definedName>
    <definedName name="外部資料_3005" localSheetId="2">紅綠燈!#REF!</definedName>
    <definedName name="外部資料_3006" localSheetId="2">紅綠燈!#REF!</definedName>
    <definedName name="外部資料_3008" localSheetId="2">紅綠燈!#REF!</definedName>
    <definedName name="外部資料_3009" localSheetId="2">紅綠燈!#REF!</definedName>
    <definedName name="外部資料_301" localSheetId="15">PKA!#REF!</definedName>
    <definedName name="外部資料_301" localSheetId="16">PKB!#REF!</definedName>
    <definedName name="外部資料_301" localSheetId="17">PKC!#REF!</definedName>
    <definedName name="外部資料_301" localSheetId="4">評比系統!$T$1:$T$3</definedName>
    <definedName name="外部資料_301" localSheetId="18">福邦!$B$1:$T$21</definedName>
    <definedName name="外部資料_3011" localSheetId="2">紅綠燈!#REF!</definedName>
    <definedName name="外部資料_3012" localSheetId="2">紅綠燈!#REF!</definedName>
    <definedName name="外部資料_3013" localSheetId="2">紅綠燈!#REF!</definedName>
    <definedName name="外部資料_3015" localSheetId="2">紅綠燈!#REF!</definedName>
    <definedName name="外部資料_3016" localSheetId="2">紅綠燈!#REF!</definedName>
    <definedName name="外部資料_3017" localSheetId="2">紅綠燈!#REF!</definedName>
    <definedName name="外部資料_3019" localSheetId="2">紅綠燈!#REF!</definedName>
    <definedName name="外部資料_302" localSheetId="15">PKA!#REF!</definedName>
    <definedName name="外部資料_302" localSheetId="16">PKB!#REF!</definedName>
    <definedName name="外部資料_302" localSheetId="17">PKC!#REF!</definedName>
    <definedName name="外部資料_302" localSheetId="4">評比系統!$T$1:$T$3</definedName>
    <definedName name="外部資料_302" localSheetId="18">福邦!$B$1:$T$21</definedName>
    <definedName name="外部資料_3020" localSheetId="2">紅綠燈!#REF!</definedName>
    <definedName name="外部資料_3022" localSheetId="2">紅綠燈!#REF!</definedName>
    <definedName name="外部資料_3023" localSheetId="2">紅綠燈!#REF!</definedName>
    <definedName name="外部資料_3024" localSheetId="2">紅綠燈!#REF!</definedName>
    <definedName name="外部資料_3026" localSheetId="2">紅綠燈!#REF!</definedName>
    <definedName name="外部資料_3027" localSheetId="2">紅綠燈!#REF!</definedName>
    <definedName name="外部資料_3028" localSheetId="2">紅綠燈!#REF!</definedName>
    <definedName name="外部資料_303" localSheetId="15">PKA!#REF!</definedName>
    <definedName name="外部資料_303" localSheetId="16">PKB!#REF!</definedName>
    <definedName name="外部資料_303" localSheetId="17">PKC!#REF!</definedName>
    <definedName name="外部資料_303" localSheetId="4">評比系統!$T$1:$T$3</definedName>
    <definedName name="外部資料_303" localSheetId="18">福邦!$B$1:$T$21</definedName>
    <definedName name="外部資料_3030" localSheetId="2">紅綠燈!#REF!</definedName>
    <definedName name="外部資料_3031" localSheetId="2">紅綠燈!#REF!</definedName>
    <definedName name="外部資料_3032" localSheetId="2">紅綠燈!#REF!</definedName>
    <definedName name="外部資料_3034" localSheetId="2">紅綠燈!#REF!</definedName>
    <definedName name="外部資料_3035" localSheetId="2">紅綠燈!#REF!</definedName>
    <definedName name="外部資料_3036" localSheetId="2">紅綠燈!#REF!</definedName>
    <definedName name="外部資料_3038" localSheetId="2">紅綠燈!#REF!</definedName>
    <definedName name="外部資料_3039" localSheetId="2">紅綠燈!#REF!</definedName>
    <definedName name="外部資料_304" localSheetId="15">PKA!#REF!</definedName>
    <definedName name="外部資料_304" localSheetId="16">PKB!#REF!</definedName>
    <definedName name="外部資料_304" localSheetId="17">PKC!#REF!</definedName>
    <definedName name="外部資料_304" localSheetId="4">評比系統!$T$1:$T$3</definedName>
    <definedName name="外部資料_304" localSheetId="18">福邦!$B$1:$T$21</definedName>
    <definedName name="外部資料_3040" localSheetId="2">紅綠燈!#REF!</definedName>
    <definedName name="外部資料_3042" localSheetId="2">紅綠燈!#REF!</definedName>
    <definedName name="外部資料_3043" localSheetId="2">紅綠燈!#REF!</definedName>
    <definedName name="外部資料_3044" localSheetId="2">紅綠燈!#REF!</definedName>
    <definedName name="外部資料_3046" localSheetId="2">紅綠燈!#REF!</definedName>
    <definedName name="外部資料_3047" localSheetId="2">紅綠燈!#REF!</definedName>
    <definedName name="外部資料_3048" localSheetId="2">紅綠燈!#REF!</definedName>
    <definedName name="外部資料_305" localSheetId="15">PKA!#REF!</definedName>
    <definedName name="外部資料_305" localSheetId="16">PKB!#REF!</definedName>
    <definedName name="外部資料_305" localSheetId="17">PKC!#REF!</definedName>
    <definedName name="外部資料_305" localSheetId="4">評比系統!$T$1:$T$3</definedName>
    <definedName name="外部資料_305" localSheetId="18">福邦!$B$1:$T$21</definedName>
    <definedName name="外部資料_3050" localSheetId="2">紅綠燈!#REF!</definedName>
    <definedName name="外部資料_3051" localSheetId="2">紅綠燈!#REF!</definedName>
    <definedName name="外部資料_3053" localSheetId="2">紅綠燈!#REF!</definedName>
    <definedName name="外部資料_3054" localSheetId="2">紅綠燈!#REF!</definedName>
    <definedName name="外部資料_3056" localSheetId="2">紅綠燈!#REF!</definedName>
    <definedName name="外部資料_3057" localSheetId="2">紅綠燈!#REF!</definedName>
    <definedName name="外部資料_3058" localSheetId="2">紅綠燈!#REF!</definedName>
    <definedName name="外部資料_306" localSheetId="15">PKA!#REF!</definedName>
    <definedName name="外部資料_306" localSheetId="16">PKB!#REF!</definedName>
    <definedName name="外部資料_306" localSheetId="17">PKC!#REF!</definedName>
    <definedName name="外部資料_306" localSheetId="4">評比系統!$T$1:$T$3</definedName>
    <definedName name="外部資料_306" localSheetId="18">福邦!$B$1:$T$21</definedName>
    <definedName name="外部資料_3060" localSheetId="2">紅綠燈!#REF!</definedName>
    <definedName name="外部資料_3061" localSheetId="2">紅綠燈!#REF!</definedName>
    <definedName name="外部資料_3062" localSheetId="2">紅綠燈!#REF!</definedName>
    <definedName name="外部資料_3064" localSheetId="2">紅綠燈!#REF!</definedName>
    <definedName name="外部資料_3065" localSheetId="2">紅綠燈!#REF!</definedName>
    <definedName name="外部資料_3066" localSheetId="2">紅綠燈!#REF!</definedName>
    <definedName name="外部資料_3068" localSheetId="2">紅綠燈!#REF!</definedName>
    <definedName name="外部資料_3069" localSheetId="2">紅綠燈!#REF!</definedName>
    <definedName name="外部資料_307" localSheetId="15">PKA!#REF!</definedName>
    <definedName name="外部資料_307" localSheetId="16">PKB!#REF!</definedName>
    <definedName name="外部資料_307" localSheetId="17">PKC!#REF!</definedName>
    <definedName name="外部資料_307" localSheetId="4">評比系統!$T$1:$T$3</definedName>
    <definedName name="外部資料_307" localSheetId="18">福邦!$B$1:$T$21</definedName>
    <definedName name="外部資料_3070" localSheetId="2">紅綠燈!#REF!</definedName>
    <definedName name="外部資料_3072" localSheetId="2">紅綠燈!#REF!</definedName>
    <definedName name="外部資料_3073" localSheetId="2">紅綠燈!#REF!</definedName>
    <definedName name="外部資料_3074" localSheetId="2">紅綠燈!#REF!</definedName>
    <definedName name="外部資料_3076" localSheetId="2">紅綠燈!#REF!</definedName>
    <definedName name="外部資料_3077" localSheetId="2">紅綠燈!#REF!</definedName>
    <definedName name="外部資料_3078" localSheetId="2">紅綠燈!#REF!</definedName>
    <definedName name="外部資料_308" localSheetId="15">PKA!#REF!</definedName>
    <definedName name="外部資料_308" localSheetId="16">PKB!#REF!</definedName>
    <definedName name="外部資料_308" localSheetId="17">PKC!#REF!</definedName>
    <definedName name="外部資料_308" localSheetId="4">評比系統!$T$1:$T$3</definedName>
    <definedName name="外部資料_308" localSheetId="18">福邦!$B$1:$T$21</definedName>
    <definedName name="外部資料_3080" localSheetId="2">紅綠燈!#REF!</definedName>
    <definedName name="外部資料_3081" localSheetId="2">紅綠燈!#REF!</definedName>
    <definedName name="外部資料_3082" localSheetId="2">紅綠燈!#REF!</definedName>
    <definedName name="外部資料_3084" localSheetId="2">紅綠燈!#REF!</definedName>
    <definedName name="外部資料_3085" localSheetId="2">紅綠燈!#REF!</definedName>
    <definedName name="外部資料_3086" localSheetId="2">紅綠燈!#REF!</definedName>
    <definedName name="外部資料_3088" localSheetId="2">紅綠燈!#REF!</definedName>
    <definedName name="外部資料_3089" localSheetId="2">紅綠燈!#REF!</definedName>
    <definedName name="外部資料_309" localSheetId="15">PKA!#REF!</definedName>
    <definedName name="外部資料_309" localSheetId="16">PKB!#REF!</definedName>
    <definedName name="外部資料_309" localSheetId="17">PKC!#REF!</definedName>
    <definedName name="外部資料_309" localSheetId="4">評比系統!$T$1:$T$3</definedName>
    <definedName name="外部資料_309" localSheetId="18">福邦!$B$1:$T$21</definedName>
    <definedName name="外部資料_3090" localSheetId="2">紅綠燈!#REF!</definedName>
    <definedName name="外部資料_3092" localSheetId="2">紅綠燈!#REF!</definedName>
    <definedName name="外部資料_3093" localSheetId="2">紅綠燈!#REF!</definedName>
    <definedName name="外部資料_3094" localSheetId="2">紅綠燈!#REF!</definedName>
    <definedName name="外部資料_3096" localSheetId="2">紅綠燈!#REF!</definedName>
    <definedName name="外部資料_3097" localSheetId="2">紅綠燈!#REF!</definedName>
    <definedName name="外部資料_3098" localSheetId="2">紅綠燈!#REF!</definedName>
    <definedName name="外部資料_31" localSheetId="15">PKA!#REF!</definedName>
    <definedName name="外部資料_31" localSheetId="16">PKB!#REF!</definedName>
    <definedName name="外部資料_31" localSheetId="17">PKC!#REF!</definedName>
    <definedName name="外部資料_31" localSheetId="8">PSR!#REF!</definedName>
    <definedName name="外部資料_31" localSheetId="4">評比系統!#REF!</definedName>
    <definedName name="外部資料_31" localSheetId="18">福邦!#REF!</definedName>
    <definedName name="外部資料_31" localSheetId="5">篩股系統!#REF!</definedName>
    <definedName name="外部資料_31" localSheetId="7">營收搶先報!#REF!</definedName>
    <definedName name="外部資料_310" localSheetId="15">PKA!#REF!</definedName>
    <definedName name="外部資料_310" localSheetId="16">PKB!#REF!</definedName>
    <definedName name="外部資料_310" localSheetId="17">PKC!#REF!</definedName>
    <definedName name="外部資料_310" localSheetId="4">評比系統!$T$1:$T$3</definedName>
    <definedName name="外部資料_310" localSheetId="18">福邦!$B$1:$T$21</definedName>
    <definedName name="外部資料_3100" localSheetId="2">紅綠燈!#REF!</definedName>
    <definedName name="外部資料_3101" localSheetId="2">紅綠燈!#REF!</definedName>
    <definedName name="外部資料_3102" localSheetId="2">紅綠燈!#REF!</definedName>
    <definedName name="外部資料_3104" localSheetId="2">紅綠燈!#REF!</definedName>
    <definedName name="外部資料_3105" localSheetId="2">紅綠燈!#REF!</definedName>
    <definedName name="外部資料_3106" localSheetId="2">紅綠燈!#REF!</definedName>
    <definedName name="外部資料_3108" localSheetId="2">紅綠燈!#REF!</definedName>
    <definedName name="外部資料_3109" localSheetId="2">紅綠燈!#REF!</definedName>
    <definedName name="外部資料_311" localSheetId="15">PKA!#REF!</definedName>
    <definedName name="外部資料_311" localSheetId="16">PKB!#REF!</definedName>
    <definedName name="外部資料_311" localSheetId="17">PKC!#REF!</definedName>
    <definedName name="外部資料_311" localSheetId="4">評比系統!$T$1:$T$3</definedName>
    <definedName name="外部資料_311" localSheetId="18">福邦!$B$1:$T$21</definedName>
    <definedName name="外部資料_3110" localSheetId="2">紅綠燈!#REF!</definedName>
    <definedName name="外部資料_3112" localSheetId="2">紅綠燈!#REF!</definedName>
    <definedName name="外部資料_3113" localSheetId="2">紅綠燈!#REF!</definedName>
    <definedName name="外部資料_3114" localSheetId="2">紅綠燈!#REF!</definedName>
    <definedName name="外部資料_3116" localSheetId="2">紅綠燈!#REF!</definedName>
    <definedName name="外部資料_3117" localSheetId="2">紅綠燈!#REF!</definedName>
    <definedName name="外部資料_3119" localSheetId="2">紅綠燈!#REF!</definedName>
    <definedName name="外部資料_312" localSheetId="15">PKA!#REF!</definedName>
    <definedName name="外部資料_312" localSheetId="16">PKB!#REF!</definedName>
    <definedName name="外部資料_312" localSheetId="17">PKC!#REF!</definedName>
    <definedName name="外部資料_312" localSheetId="4">評比系統!$T$1:$T$3</definedName>
    <definedName name="外部資料_312" localSheetId="18">福邦!$B$1:$T$21</definedName>
    <definedName name="外部資料_3120" localSheetId="2">紅綠燈!#REF!</definedName>
    <definedName name="外部資料_3121" localSheetId="2">紅綠燈!#REF!</definedName>
    <definedName name="外部資料_3123" localSheetId="2">紅綠燈!#REF!</definedName>
    <definedName name="外部資料_3124" localSheetId="2">紅綠燈!#REF!</definedName>
    <definedName name="外部資料_3125" localSheetId="2">紅綠燈!#REF!</definedName>
    <definedName name="外部資料_3127" localSheetId="2">紅綠燈!#REF!</definedName>
    <definedName name="外部資料_3128" localSheetId="2">紅綠燈!#REF!</definedName>
    <definedName name="外部資料_3129" localSheetId="2">紅綠燈!#REF!</definedName>
    <definedName name="外部資料_313" localSheetId="15">PKA!#REF!</definedName>
    <definedName name="外部資料_313" localSheetId="16">PKB!#REF!</definedName>
    <definedName name="外部資料_313" localSheetId="17">PKC!#REF!</definedName>
    <definedName name="外部資料_313" localSheetId="4">評比系統!$T$1:$T$3</definedName>
    <definedName name="外部資料_313" localSheetId="18">福邦!$B$1:$T$21</definedName>
    <definedName name="外部資料_3131" localSheetId="2">紅綠燈!#REF!</definedName>
    <definedName name="外部資料_3132" localSheetId="2">紅綠燈!#REF!</definedName>
    <definedName name="外部資料_3133" localSheetId="2">紅綠燈!#REF!</definedName>
    <definedName name="外部資料_3135" localSheetId="2">紅綠燈!#REF!</definedName>
    <definedName name="外部資料_3136" localSheetId="2">紅綠燈!#REF!</definedName>
    <definedName name="外部資料_3137" localSheetId="2">紅綠燈!#REF!</definedName>
    <definedName name="外部資料_3139" localSheetId="2">紅綠燈!#REF!</definedName>
    <definedName name="外部資料_314" localSheetId="15">PKA!#REF!</definedName>
    <definedName name="外部資料_314" localSheetId="16">PKB!#REF!</definedName>
    <definedName name="外部資料_314" localSheetId="17">PKC!#REF!</definedName>
    <definedName name="外部資料_314" localSheetId="4">評比系統!$T$1:$T$3</definedName>
    <definedName name="外部資料_314" localSheetId="18">福邦!$B$1:$T$21</definedName>
    <definedName name="外部資料_3140" localSheetId="2">紅綠燈!#REF!</definedName>
    <definedName name="外部資料_3141" localSheetId="2">紅綠燈!#REF!</definedName>
    <definedName name="外部資料_3143" localSheetId="2">紅綠燈!#REF!</definedName>
    <definedName name="外部資料_3144" localSheetId="2">紅綠燈!#REF!</definedName>
    <definedName name="外部資料_3145" localSheetId="2">紅綠燈!#REF!</definedName>
    <definedName name="外部資料_3147" localSheetId="2">紅綠燈!#REF!</definedName>
    <definedName name="外部資料_3148" localSheetId="2">紅綠燈!#REF!</definedName>
    <definedName name="外部資料_3149" localSheetId="2">紅綠燈!#REF!</definedName>
    <definedName name="外部資料_315" localSheetId="15">PKA!#REF!</definedName>
    <definedName name="外部資料_315" localSheetId="16">PKB!#REF!</definedName>
    <definedName name="外部資料_315" localSheetId="17">PKC!#REF!</definedName>
    <definedName name="外部資料_315" localSheetId="4">評比系統!$T$1:$T$3</definedName>
    <definedName name="外部資料_315" localSheetId="18">福邦!$B$1:$T$21</definedName>
    <definedName name="外部資料_3151" localSheetId="2">紅綠燈!#REF!</definedName>
    <definedName name="外部資料_3152" localSheetId="2">紅綠燈!#REF!</definedName>
    <definedName name="外部資料_3153" localSheetId="2">紅綠燈!#REF!</definedName>
    <definedName name="外部資料_3155" localSheetId="2">紅綠燈!#REF!</definedName>
    <definedName name="外部資料_3156" localSheetId="2">紅綠燈!#REF!</definedName>
    <definedName name="外部資料_3157" localSheetId="2">紅綠燈!#REF!</definedName>
    <definedName name="外部資料_3159" localSheetId="2">紅綠燈!#REF!</definedName>
    <definedName name="外部資料_316" localSheetId="15">PKA!#REF!</definedName>
    <definedName name="外部資料_316" localSheetId="16">PKB!#REF!</definedName>
    <definedName name="外部資料_316" localSheetId="17">PKC!#REF!</definedName>
    <definedName name="外部資料_316" localSheetId="4">評比系統!$T$1:$T$3</definedName>
    <definedName name="外部資料_316" localSheetId="18">福邦!$B$1:$T$21</definedName>
    <definedName name="外部資料_3160" localSheetId="2">紅綠燈!#REF!</definedName>
    <definedName name="外部資料_3161" localSheetId="2">紅綠燈!#REF!</definedName>
    <definedName name="外部資料_3163" localSheetId="2">紅綠燈!#REF!</definedName>
    <definedName name="外部資料_3164" localSheetId="2">紅綠燈!#REF!</definedName>
    <definedName name="外部資料_3165" localSheetId="2">紅綠燈!#REF!</definedName>
    <definedName name="外部資料_3167" localSheetId="2">紅綠燈!#REF!</definedName>
    <definedName name="外部資料_3168" localSheetId="2">紅綠燈!#REF!</definedName>
    <definedName name="外部資料_3169" localSheetId="2">紅綠燈!#REF!</definedName>
    <definedName name="外部資料_317" localSheetId="15">PKA!#REF!</definedName>
    <definedName name="外部資料_317" localSheetId="16">PKB!#REF!</definedName>
    <definedName name="外部資料_317" localSheetId="17">PKC!#REF!</definedName>
    <definedName name="外部資料_317" localSheetId="4">評比系統!$T$1:$T$3</definedName>
    <definedName name="外部資料_317" localSheetId="18">福邦!$B$1:$T$21</definedName>
    <definedName name="外部資料_3171" localSheetId="2">紅綠燈!#REF!</definedName>
    <definedName name="外部資料_3172" localSheetId="2">紅綠燈!#REF!</definedName>
    <definedName name="外部資料_3173" localSheetId="2">紅綠燈!#REF!</definedName>
    <definedName name="外部資料_3175" localSheetId="2">紅綠燈!#REF!</definedName>
    <definedName name="外部資料_3176" localSheetId="2">紅綠燈!#REF!</definedName>
    <definedName name="外部資料_3177" localSheetId="2">紅綠燈!#REF!</definedName>
    <definedName name="外部資料_3179" localSheetId="2">紅綠燈!#REF!</definedName>
    <definedName name="外部資料_318" localSheetId="15">PKA!#REF!</definedName>
    <definedName name="外部資料_318" localSheetId="16">PKB!#REF!</definedName>
    <definedName name="外部資料_318" localSheetId="17">PKC!#REF!</definedName>
    <definedName name="外部資料_318" localSheetId="4">評比系統!$T$1:$T$3</definedName>
    <definedName name="外部資料_318" localSheetId="18">福邦!$B$1:$T$21</definedName>
    <definedName name="外部資料_3180" localSheetId="2">紅綠燈!#REF!</definedName>
    <definedName name="外部資料_3181" localSheetId="2">紅綠燈!#REF!</definedName>
    <definedName name="外部資料_3183" localSheetId="2">紅綠燈!#REF!</definedName>
    <definedName name="外部資料_3184" localSheetId="2">紅綠燈!#REF!</definedName>
    <definedName name="外部資料_3185" localSheetId="2">紅綠燈!#REF!</definedName>
    <definedName name="外部資料_3187" localSheetId="2">紅綠燈!#REF!</definedName>
    <definedName name="外部資料_3188" localSheetId="2">紅綠燈!#REF!</definedName>
    <definedName name="外部資料_3189" localSheetId="2">紅綠燈!#REF!</definedName>
    <definedName name="外部資料_319" localSheetId="15">PKA!#REF!</definedName>
    <definedName name="外部資料_319" localSheetId="16">PKB!#REF!</definedName>
    <definedName name="外部資料_319" localSheetId="17">PKC!#REF!</definedName>
    <definedName name="外部資料_319" localSheetId="4">評比系統!$T$1:$T$3</definedName>
    <definedName name="外部資料_319" localSheetId="18">福邦!$B$1:$T$21</definedName>
    <definedName name="外部資料_3191" localSheetId="2">紅綠燈!#REF!</definedName>
    <definedName name="外部資料_3192" localSheetId="2">紅綠燈!#REF!</definedName>
    <definedName name="外部資料_3193" localSheetId="2">紅綠燈!#REF!</definedName>
    <definedName name="外部資料_3195" localSheetId="2">紅綠燈!#REF!</definedName>
    <definedName name="外部資料_3196" localSheetId="2">紅綠燈!#REF!</definedName>
    <definedName name="外部資料_3197" localSheetId="2">紅綠燈!#REF!</definedName>
    <definedName name="外部資料_3199" localSheetId="2">紅綠燈!#REF!</definedName>
    <definedName name="外部資料_32" localSheetId="15">PKA!#REF!</definedName>
    <definedName name="外部資料_32" localSheetId="16">PKB!#REF!</definedName>
    <definedName name="外部資料_32" localSheetId="17">PKC!#REF!</definedName>
    <definedName name="外部資料_32" localSheetId="8">PSR!#REF!</definedName>
    <definedName name="外部資料_32" localSheetId="2">紅綠燈!#REF!</definedName>
    <definedName name="外部資料_32" localSheetId="4">評比系統!#REF!</definedName>
    <definedName name="外部資料_32" localSheetId="18">福邦!#REF!</definedName>
    <definedName name="外部資料_32" localSheetId="5">篩股系統!#REF!</definedName>
    <definedName name="外部資料_32" localSheetId="7">營收搶先報!#REF!</definedName>
    <definedName name="外部資料_320" localSheetId="15">PKA!#REF!</definedName>
    <definedName name="外部資料_320" localSheetId="16">PKB!#REF!</definedName>
    <definedName name="外部資料_320" localSheetId="17">PKC!#REF!</definedName>
    <definedName name="外部資料_320" localSheetId="4">評比系統!$T$1:$T$3</definedName>
    <definedName name="外部資料_320" localSheetId="18">福邦!$B$1:$T$21</definedName>
    <definedName name="外部資料_3200" localSheetId="2">紅綠燈!#REF!</definedName>
    <definedName name="外部資料_3201" localSheetId="2">紅綠燈!#REF!</definedName>
    <definedName name="外部資料_3203" localSheetId="2">紅綠燈!#REF!</definedName>
    <definedName name="外部資料_3204" localSheetId="2">紅綠燈!#REF!</definedName>
    <definedName name="外部資料_3205" localSheetId="2">紅綠燈!#REF!</definedName>
    <definedName name="外部資料_3207" localSheetId="2">紅綠燈!#REF!</definedName>
    <definedName name="外部資料_3208" localSheetId="2">紅綠燈!#REF!</definedName>
    <definedName name="外部資料_3209" localSheetId="2">紅綠燈!#REF!</definedName>
    <definedName name="外部資料_321" localSheetId="15">PKA!#REF!</definedName>
    <definedName name="外部資料_321" localSheetId="16">PKB!#REF!</definedName>
    <definedName name="外部資料_321" localSheetId="17">PKC!#REF!</definedName>
    <definedName name="外部資料_321" localSheetId="4">評比系統!$T$1:$T$3</definedName>
    <definedName name="外部資料_321" localSheetId="18">福邦!$B$1:$T$21</definedName>
    <definedName name="外部資料_3211" localSheetId="2">紅綠燈!#REF!</definedName>
    <definedName name="外部資料_3212" localSheetId="2">紅綠燈!#REF!</definedName>
    <definedName name="外部資料_3213" localSheetId="2">紅綠燈!#REF!</definedName>
    <definedName name="外部資料_3215" localSheetId="2">紅綠燈!#REF!</definedName>
    <definedName name="外部資料_3216" localSheetId="2">紅綠燈!#REF!</definedName>
    <definedName name="外部資料_3217" localSheetId="2">紅綠燈!#REF!</definedName>
    <definedName name="外部資料_3219" localSheetId="2">紅綠燈!#REF!</definedName>
    <definedName name="外部資料_322" localSheetId="15">PKA!#REF!</definedName>
    <definedName name="外部資料_322" localSheetId="16">PKB!#REF!</definedName>
    <definedName name="外部資料_322" localSheetId="17">PKC!#REF!</definedName>
    <definedName name="外部資料_322" localSheetId="4">評比系統!$T$1:$T$3</definedName>
    <definedName name="外部資料_322" localSheetId="18">福邦!$B$1:$T$21</definedName>
    <definedName name="外部資料_3220" localSheetId="2">紅綠燈!#REF!</definedName>
    <definedName name="外部資料_3221" localSheetId="2">紅綠燈!#REF!</definedName>
    <definedName name="外部資料_3223" localSheetId="2">紅綠燈!#REF!</definedName>
    <definedName name="外部資料_3224" localSheetId="2">紅綠燈!#REF!</definedName>
    <definedName name="外部資料_3225" localSheetId="2">紅綠燈!#REF!</definedName>
    <definedName name="外部資料_3227" localSheetId="2">紅綠燈!#REF!</definedName>
    <definedName name="外部資料_3228" localSheetId="2">紅綠燈!#REF!</definedName>
    <definedName name="外部資料_3229" localSheetId="2">紅綠燈!#REF!</definedName>
    <definedName name="外部資料_323" localSheetId="15">PKA!#REF!</definedName>
    <definedName name="外部資料_323" localSheetId="16">PKB!#REF!</definedName>
    <definedName name="外部資料_323" localSheetId="17">PKC!#REF!</definedName>
    <definedName name="外部資料_323" localSheetId="4">評比系統!$T$1:$T$3</definedName>
    <definedName name="外部資料_323" localSheetId="18">福邦!$B$1:$T$21</definedName>
    <definedName name="外部資料_3231" localSheetId="2">紅綠燈!#REF!</definedName>
    <definedName name="外部資料_3232" localSheetId="2">紅綠燈!#REF!</definedName>
    <definedName name="外部資料_3233" localSheetId="2">紅綠燈!#REF!</definedName>
    <definedName name="外部資料_3235" localSheetId="2">紅綠燈!#REF!</definedName>
    <definedName name="外部資料_3236" localSheetId="2">紅綠燈!#REF!</definedName>
    <definedName name="外部資料_3237" localSheetId="2">紅綠燈!#REF!</definedName>
    <definedName name="外部資料_3239" localSheetId="2">紅綠燈!#REF!</definedName>
    <definedName name="外部資料_324" localSheetId="15">PKA!#REF!</definedName>
    <definedName name="外部資料_324" localSheetId="16">PKB!#REF!</definedName>
    <definedName name="外部資料_324" localSheetId="17">PKC!#REF!</definedName>
    <definedName name="外部資料_324" localSheetId="4">評比系統!$T$1:$T$3</definedName>
    <definedName name="外部資料_324" localSheetId="18">福邦!$B$1:$T$21</definedName>
    <definedName name="外部資料_3240" localSheetId="2">紅綠燈!#REF!</definedName>
    <definedName name="外部資料_3241" localSheetId="2">紅綠燈!#REF!</definedName>
    <definedName name="外部資料_3243" localSheetId="2">紅綠燈!#REF!</definedName>
    <definedName name="外部資料_3244" localSheetId="2">紅綠燈!#REF!</definedName>
    <definedName name="外部資料_3245" localSheetId="2">紅綠燈!#REF!</definedName>
    <definedName name="外部資料_3247" localSheetId="2">紅綠燈!#REF!</definedName>
    <definedName name="外部資料_3248" localSheetId="2">紅綠燈!#REF!</definedName>
    <definedName name="外部資料_3249" localSheetId="2">紅綠燈!#REF!</definedName>
    <definedName name="外部資料_325" localSheetId="15">PKA!#REF!</definedName>
    <definedName name="外部資料_325" localSheetId="16">PKB!#REF!</definedName>
    <definedName name="外部資料_325" localSheetId="17">PKC!#REF!</definedName>
    <definedName name="外部資料_325" localSheetId="4">評比系統!$T$1:$T$3</definedName>
    <definedName name="外部資料_325" localSheetId="18">福邦!$B$1:$T$21</definedName>
    <definedName name="外部資料_3251" localSheetId="2">紅綠燈!#REF!</definedName>
    <definedName name="外部資料_3252" localSheetId="2">紅綠燈!#REF!</definedName>
    <definedName name="外部資料_3253" localSheetId="2">紅綠燈!#REF!</definedName>
    <definedName name="外部資料_3255" localSheetId="2">紅綠燈!#REF!</definedName>
    <definedName name="外部資料_3256" localSheetId="2">紅綠燈!#REF!</definedName>
    <definedName name="外部資料_3257" localSheetId="2">紅綠燈!#REF!</definedName>
    <definedName name="外部資料_3259" localSheetId="2">紅綠燈!#REF!</definedName>
    <definedName name="外部資料_326" localSheetId="15">PKA!#REF!</definedName>
    <definedName name="外部資料_326" localSheetId="16">PKB!#REF!</definedName>
    <definedName name="外部資料_326" localSheetId="17">PKC!#REF!</definedName>
    <definedName name="外部資料_326" localSheetId="4">評比系統!$T$1:$T$3</definedName>
    <definedName name="外部資料_326" localSheetId="18">福邦!$B$1:$T$21</definedName>
    <definedName name="外部資料_3260" localSheetId="2">紅綠燈!#REF!</definedName>
    <definedName name="外部資料_3261" localSheetId="2">紅綠燈!#REF!</definedName>
    <definedName name="外部資料_3263" localSheetId="2">紅綠燈!#REF!</definedName>
    <definedName name="外部資料_3264" localSheetId="2">紅綠燈!#REF!</definedName>
    <definedName name="外部資料_3265" localSheetId="2">紅綠燈!#REF!</definedName>
    <definedName name="外部資料_3267" localSheetId="2">紅綠燈!#REF!</definedName>
    <definedName name="外部資料_3268" localSheetId="2">紅綠燈!#REF!</definedName>
    <definedName name="外部資料_3269" localSheetId="2">紅綠燈!#REF!</definedName>
    <definedName name="外部資料_327" localSheetId="15">PKA!#REF!</definedName>
    <definedName name="外部資料_327" localSheetId="16">PKB!#REF!</definedName>
    <definedName name="外部資料_327" localSheetId="17">PKC!#REF!</definedName>
    <definedName name="外部資料_327" localSheetId="4">評比系統!$T$1:$T$3</definedName>
    <definedName name="外部資料_327" localSheetId="18">福邦!$B$1:$T$21</definedName>
    <definedName name="外部資料_3271" localSheetId="2">紅綠燈!#REF!</definedName>
    <definedName name="外部資料_3272" localSheetId="2">紅綠燈!#REF!</definedName>
    <definedName name="外部資料_3273" localSheetId="2">紅綠燈!#REF!</definedName>
    <definedName name="外部資料_3275" localSheetId="2">紅綠燈!#REF!</definedName>
    <definedName name="外部資料_3276" localSheetId="2">紅綠燈!#REF!</definedName>
    <definedName name="外部資料_3277" localSheetId="2">紅綠燈!#REF!</definedName>
    <definedName name="外部資料_3279" localSheetId="2">紅綠燈!#REF!</definedName>
    <definedName name="外部資料_328" localSheetId="15">PKA!#REF!</definedName>
    <definedName name="外部資料_328" localSheetId="16">PKB!#REF!</definedName>
    <definedName name="外部資料_328" localSheetId="17">PKC!#REF!</definedName>
    <definedName name="外部資料_328" localSheetId="4">評比系統!$T$1:$T$3</definedName>
    <definedName name="外部資料_328" localSheetId="18">福邦!$B$1:$T$21</definedName>
    <definedName name="外部資料_3280" localSheetId="2">紅綠燈!#REF!</definedName>
    <definedName name="外部資料_3281" localSheetId="2">紅綠燈!#REF!</definedName>
    <definedName name="外部資料_3283" localSheetId="2">紅綠燈!#REF!</definedName>
    <definedName name="外部資料_3284" localSheetId="2">紅綠燈!#REF!</definedName>
    <definedName name="外部資料_3285" localSheetId="2">紅綠燈!#REF!</definedName>
    <definedName name="外部資料_3287" localSheetId="2">紅綠燈!#REF!</definedName>
    <definedName name="外部資料_3288" localSheetId="2">紅綠燈!#REF!</definedName>
    <definedName name="外部資料_3289" localSheetId="2">紅綠燈!#REF!</definedName>
    <definedName name="外部資料_329" localSheetId="15">PKA!#REF!</definedName>
    <definedName name="外部資料_329" localSheetId="16">PKB!#REF!</definedName>
    <definedName name="外部資料_329" localSheetId="17">PKC!#REF!</definedName>
    <definedName name="外部資料_329" localSheetId="4">評比系統!$T$1:$T$3</definedName>
    <definedName name="外部資料_329" localSheetId="18">福邦!$B$1:$T$21</definedName>
    <definedName name="外部資料_3291" localSheetId="2">紅綠燈!#REF!</definedName>
    <definedName name="外部資料_3292" localSheetId="2">紅綠燈!#REF!</definedName>
    <definedName name="外部資料_3293" localSheetId="2">紅綠燈!#REF!</definedName>
    <definedName name="外部資料_3295" localSheetId="2">紅綠燈!#REF!</definedName>
    <definedName name="外部資料_3296" localSheetId="2">紅綠燈!#REF!</definedName>
    <definedName name="外部資料_3297" localSheetId="2">紅綠燈!#REF!</definedName>
    <definedName name="外部資料_3299" localSheetId="2">紅綠燈!#REF!</definedName>
    <definedName name="外部資料_33" localSheetId="15">PKA!#REF!</definedName>
    <definedName name="外部資料_33" localSheetId="16">PKB!#REF!</definedName>
    <definedName name="外部資料_33" localSheetId="17">PKC!#REF!</definedName>
    <definedName name="外部資料_33" localSheetId="8">PSR!#REF!</definedName>
    <definedName name="外部資料_33" localSheetId="2">紅綠燈!#REF!</definedName>
    <definedName name="外部資料_33" localSheetId="4">評比系統!#REF!</definedName>
    <definedName name="外部資料_33" localSheetId="18">福邦!#REF!</definedName>
    <definedName name="外部資料_33" localSheetId="5">篩股系統!#REF!</definedName>
    <definedName name="外部資料_33" localSheetId="7">營收搶先報!#REF!</definedName>
    <definedName name="外部資料_330" localSheetId="15">PKA!#REF!</definedName>
    <definedName name="外部資料_330" localSheetId="16">PKB!#REF!</definedName>
    <definedName name="外部資料_330" localSheetId="17">PKC!#REF!</definedName>
    <definedName name="外部資料_330" localSheetId="4">評比系統!$T$1:$T$3</definedName>
    <definedName name="外部資料_330" localSheetId="18">福邦!$B$1:$T$21</definedName>
    <definedName name="外部資料_3300" localSheetId="2">紅綠燈!#REF!</definedName>
    <definedName name="外部資料_3301" localSheetId="2">紅綠燈!#REF!</definedName>
    <definedName name="外部資料_3303" localSheetId="2">紅綠燈!#REF!</definedName>
    <definedName name="外部資料_3304" localSheetId="2">紅綠燈!#REF!</definedName>
    <definedName name="外部資料_3305" localSheetId="2">紅綠燈!#REF!</definedName>
    <definedName name="外部資料_3307" localSheetId="2">紅綠燈!#REF!</definedName>
    <definedName name="外部資料_3308" localSheetId="2">紅綠燈!#REF!</definedName>
    <definedName name="外部資料_3309" localSheetId="2">紅綠燈!#REF!</definedName>
    <definedName name="外部資料_331" localSheetId="15">PKA!#REF!</definedName>
    <definedName name="外部資料_331" localSheetId="16">PKB!#REF!</definedName>
    <definedName name="外部資料_331" localSheetId="17">PKC!#REF!</definedName>
    <definedName name="外部資料_331" localSheetId="4">評比系統!$T$1:$T$3</definedName>
    <definedName name="外部資料_331" localSheetId="18">福邦!$B$1:$T$21</definedName>
    <definedName name="外部資料_3311" localSheetId="2">紅綠燈!#REF!</definedName>
    <definedName name="外部資料_3312" localSheetId="2">紅綠燈!#REF!</definedName>
    <definedName name="外部資料_3313" localSheetId="2">紅綠燈!#REF!</definedName>
    <definedName name="外部資料_3315" localSheetId="2">紅綠燈!#REF!</definedName>
    <definedName name="外部資料_3316" localSheetId="2">紅綠燈!#REF!</definedName>
    <definedName name="外部資料_3317" localSheetId="2">紅綠燈!#REF!</definedName>
    <definedName name="外部資料_3319" localSheetId="2">紅綠燈!#REF!</definedName>
    <definedName name="外部資料_332" localSheetId="15">PKA!#REF!</definedName>
    <definedName name="外部資料_332" localSheetId="16">PKB!#REF!</definedName>
    <definedName name="外部資料_332" localSheetId="17">PKC!#REF!</definedName>
    <definedName name="外部資料_332" localSheetId="4">評比系統!$T$1:$T$3</definedName>
    <definedName name="外部資料_332" localSheetId="18">福邦!$B$1:$T$21</definedName>
    <definedName name="外部資料_3320" localSheetId="2">紅綠燈!#REF!</definedName>
    <definedName name="外部資料_3321" localSheetId="2">紅綠燈!#REF!</definedName>
    <definedName name="外部資料_3323" localSheetId="2">紅綠燈!#REF!</definedName>
    <definedName name="外部資料_3324" localSheetId="2">紅綠燈!#REF!</definedName>
    <definedName name="外部資料_3325" localSheetId="2">紅綠燈!#REF!</definedName>
    <definedName name="外部資料_3327" localSheetId="2">紅綠燈!#REF!</definedName>
    <definedName name="外部資料_3328" localSheetId="2">紅綠燈!#REF!</definedName>
    <definedName name="外部資料_3329" localSheetId="2">紅綠燈!#REF!</definedName>
    <definedName name="外部資料_333" localSheetId="15">PKA!#REF!</definedName>
    <definedName name="外部資料_333" localSheetId="16">PKB!#REF!</definedName>
    <definedName name="外部資料_333" localSheetId="17">PKC!#REF!</definedName>
    <definedName name="外部資料_333" localSheetId="4">評比系統!$T$1:$T$3</definedName>
    <definedName name="外部資料_333" localSheetId="18">福邦!$B$1:$T$21</definedName>
    <definedName name="外部資料_3331" localSheetId="2">紅綠燈!#REF!</definedName>
    <definedName name="外部資料_3332" localSheetId="2">紅綠燈!#REF!</definedName>
    <definedName name="外部資料_3333" localSheetId="2">紅綠燈!#REF!</definedName>
    <definedName name="外部資料_3335" localSheetId="2">紅綠燈!#REF!</definedName>
    <definedName name="外部資料_3336" localSheetId="2">紅綠燈!#REF!</definedName>
    <definedName name="外部資料_3337" localSheetId="2">紅綠燈!#REF!</definedName>
    <definedName name="外部資料_3339" localSheetId="2">紅綠燈!#REF!</definedName>
    <definedName name="外部資料_334" localSheetId="15">PKA!#REF!</definedName>
    <definedName name="外部資料_334" localSheetId="16">PKB!#REF!</definedName>
    <definedName name="外部資料_334" localSheetId="17">PKC!#REF!</definedName>
    <definedName name="外部資料_334" localSheetId="4">評比系統!$T$1:$T$3</definedName>
    <definedName name="外部資料_334" localSheetId="18">福邦!$B$1:$T$21</definedName>
    <definedName name="外部資料_3340" localSheetId="2">紅綠燈!#REF!</definedName>
    <definedName name="外部資料_3341" localSheetId="2">紅綠燈!#REF!</definedName>
    <definedName name="外部資料_3343" localSheetId="2">紅綠燈!#REF!</definedName>
    <definedName name="外部資料_3344" localSheetId="2">紅綠燈!#REF!</definedName>
    <definedName name="外部資料_3345" localSheetId="2">紅綠燈!#REF!</definedName>
    <definedName name="外部資料_3347" localSheetId="2">紅綠燈!#REF!</definedName>
    <definedName name="外部資料_3348" localSheetId="2">紅綠燈!#REF!</definedName>
    <definedName name="外部資料_3349" localSheetId="2">紅綠燈!#REF!</definedName>
    <definedName name="外部資料_335" localSheetId="15">PKA!#REF!</definedName>
    <definedName name="外部資料_335" localSheetId="16">PKB!#REF!</definedName>
    <definedName name="外部資料_335" localSheetId="17">PKC!#REF!</definedName>
    <definedName name="外部資料_335" localSheetId="4">評比系統!$T$1:$T$3</definedName>
    <definedName name="外部資料_335" localSheetId="18">福邦!$B$1:$T$21</definedName>
    <definedName name="外部資料_3351" localSheetId="2">紅綠燈!#REF!</definedName>
    <definedName name="外部資料_3352" localSheetId="2">紅綠燈!#REF!</definedName>
    <definedName name="外部資料_3353" localSheetId="2">紅綠燈!#REF!</definedName>
    <definedName name="外部資料_3355" localSheetId="2">紅綠燈!#REF!</definedName>
    <definedName name="外部資料_3356" localSheetId="2">紅綠燈!#REF!</definedName>
    <definedName name="外部資料_3357" localSheetId="2">紅綠燈!#REF!</definedName>
    <definedName name="外部資料_3359" localSheetId="2">紅綠燈!#REF!</definedName>
    <definedName name="外部資料_336" localSheetId="15">PKA!#REF!</definedName>
    <definedName name="外部資料_336" localSheetId="16">PKB!#REF!</definedName>
    <definedName name="外部資料_336" localSheetId="17">PKC!#REF!</definedName>
    <definedName name="外部資料_336" localSheetId="4">評比系統!$T$1:$T$3</definedName>
    <definedName name="外部資料_336" localSheetId="18">福邦!$B$1:$T$21</definedName>
    <definedName name="外部資料_3360" localSheetId="2">紅綠燈!#REF!</definedName>
    <definedName name="外部資料_3361" localSheetId="2">紅綠燈!#REF!</definedName>
    <definedName name="外部資料_3363" localSheetId="2">紅綠燈!#REF!</definedName>
    <definedName name="外部資料_3364" localSheetId="2">紅綠燈!#REF!</definedName>
    <definedName name="外部資料_3365" localSheetId="2">紅綠燈!#REF!</definedName>
    <definedName name="外部資料_3367" localSheetId="2">紅綠燈!#REF!</definedName>
    <definedName name="外部資料_3368" localSheetId="2">紅綠燈!#REF!</definedName>
    <definedName name="外部資料_3369" localSheetId="2">紅綠燈!#REF!</definedName>
    <definedName name="外部資料_337" localSheetId="15">PKA!#REF!</definedName>
    <definedName name="外部資料_337" localSheetId="16">PKB!#REF!</definedName>
    <definedName name="外部資料_337" localSheetId="17">PKC!#REF!</definedName>
    <definedName name="外部資料_337" localSheetId="4">評比系統!$T$1:$T$3</definedName>
    <definedName name="外部資料_337" localSheetId="18">福邦!$B$1:$T$21</definedName>
    <definedName name="外部資料_3371" localSheetId="2">紅綠燈!#REF!</definedName>
    <definedName name="外部資料_3372" localSheetId="2">紅綠燈!#REF!</definedName>
    <definedName name="外部資料_3373" localSheetId="2">紅綠燈!#REF!</definedName>
    <definedName name="外部資料_3375" localSheetId="2">紅綠燈!#REF!</definedName>
    <definedName name="外部資料_3376" localSheetId="2">紅綠燈!#REF!</definedName>
    <definedName name="外部資料_3377" localSheetId="2">紅綠燈!#REF!</definedName>
    <definedName name="外部資料_3379" localSheetId="2">紅綠燈!#REF!</definedName>
    <definedName name="外部資料_338" localSheetId="15">PKA!#REF!</definedName>
    <definedName name="外部資料_338" localSheetId="16">PKB!#REF!</definedName>
    <definedName name="外部資料_338" localSheetId="17">PKC!#REF!</definedName>
    <definedName name="外部資料_338" localSheetId="4">評比系統!$T$1:$T$3</definedName>
    <definedName name="外部資料_338" localSheetId="18">福邦!$B$1:$T$21</definedName>
    <definedName name="外部資料_3380" localSheetId="2">紅綠燈!#REF!</definedName>
    <definedName name="外部資料_3381" localSheetId="2">紅綠燈!#REF!</definedName>
    <definedName name="外部資料_3383" localSheetId="2">紅綠燈!#REF!</definedName>
    <definedName name="外部資料_3384" localSheetId="2">紅綠燈!#REF!</definedName>
    <definedName name="外部資料_3385" localSheetId="2">紅綠燈!#REF!</definedName>
    <definedName name="外部資料_3387" localSheetId="2">紅綠燈!#REF!</definedName>
    <definedName name="外部資料_3388" localSheetId="2">紅綠燈!#REF!</definedName>
    <definedName name="外部資料_3389" localSheetId="2">紅綠燈!#REF!</definedName>
    <definedName name="外部資料_339" localSheetId="15">PKA!#REF!</definedName>
    <definedName name="外部資料_339" localSheetId="16">PKB!#REF!</definedName>
    <definedName name="外部資料_339" localSheetId="17">PKC!#REF!</definedName>
    <definedName name="外部資料_339" localSheetId="4">評比系統!$T$1:$T$3</definedName>
    <definedName name="外部資料_339" localSheetId="18">福邦!$B$1:$T$21</definedName>
    <definedName name="外部資料_3391" localSheetId="2">紅綠燈!#REF!</definedName>
    <definedName name="外部資料_3392" localSheetId="2">紅綠燈!#REF!</definedName>
    <definedName name="外部資料_3393" localSheetId="2">紅綠燈!#REF!</definedName>
    <definedName name="外部資料_3395" localSheetId="2">紅綠燈!#REF!</definedName>
    <definedName name="外部資料_3396" localSheetId="2">紅綠燈!#REF!</definedName>
    <definedName name="外部資料_3397" localSheetId="2">紅綠燈!#REF!</definedName>
    <definedName name="外部資料_3399" localSheetId="2">紅綠燈!#REF!</definedName>
    <definedName name="外部資料_34" localSheetId="15">PKA!#REF!</definedName>
    <definedName name="外部資料_34" localSheetId="16">PKB!#REF!</definedName>
    <definedName name="外部資料_34" localSheetId="17">PKC!#REF!</definedName>
    <definedName name="外部資料_34" localSheetId="8">PSR!#REF!</definedName>
    <definedName name="外部資料_34" localSheetId="2">紅綠燈!#REF!</definedName>
    <definedName name="外部資料_34" localSheetId="4">評比系統!#REF!</definedName>
    <definedName name="外部資料_34" localSheetId="18">福邦!#REF!</definedName>
    <definedName name="外部資料_34" localSheetId="5">篩股系統!#REF!</definedName>
    <definedName name="外部資料_34" localSheetId="7">營收搶先報!#REF!</definedName>
    <definedName name="外部資料_340" localSheetId="15">PKA!#REF!</definedName>
    <definedName name="外部資料_340" localSheetId="16">PKB!#REF!</definedName>
    <definedName name="外部資料_340" localSheetId="17">PKC!#REF!</definedName>
    <definedName name="外部資料_340" localSheetId="4">評比系統!$T$1:$T$3</definedName>
    <definedName name="外部資料_340" localSheetId="18">福邦!$B$1:$T$21</definedName>
    <definedName name="外部資料_3400" localSheetId="2">紅綠燈!#REF!</definedName>
    <definedName name="外部資料_3401" localSheetId="2">紅綠燈!#REF!</definedName>
    <definedName name="外部資料_3403" localSheetId="2">紅綠燈!#REF!</definedName>
    <definedName name="外部資料_3404" localSheetId="2">紅綠燈!#REF!</definedName>
    <definedName name="外部資料_3405" localSheetId="2">紅綠燈!#REF!</definedName>
    <definedName name="外部資料_3407" localSheetId="2">紅綠燈!#REF!</definedName>
    <definedName name="外部資料_3408" localSheetId="2">紅綠燈!#REF!</definedName>
    <definedName name="外部資料_3409" localSheetId="2">紅綠燈!#REF!</definedName>
    <definedName name="外部資料_341" localSheetId="15">PKA!#REF!</definedName>
    <definedName name="外部資料_341" localSheetId="16">PKB!#REF!</definedName>
    <definedName name="外部資料_341" localSheetId="17">PKC!#REF!</definedName>
    <definedName name="外部資料_341" localSheetId="4">評比系統!$T$1:$T$3</definedName>
    <definedName name="外部資料_341" localSheetId="18">福邦!$B$1:$T$21</definedName>
    <definedName name="外部資料_3411" localSheetId="2">紅綠燈!#REF!</definedName>
    <definedName name="外部資料_3412" localSheetId="2">紅綠燈!#REF!</definedName>
    <definedName name="外部資料_3413" localSheetId="2">紅綠燈!#REF!</definedName>
    <definedName name="外部資料_3415" localSheetId="2">紅綠燈!#REF!</definedName>
    <definedName name="外部資料_3416" localSheetId="2">紅綠燈!#REF!</definedName>
    <definedName name="外部資料_3417" localSheetId="2">紅綠燈!#REF!</definedName>
    <definedName name="外部資料_3419" localSheetId="2">紅綠燈!#REF!</definedName>
    <definedName name="外部資料_342" localSheetId="15">PKA!#REF!</definedName>
    <definedName name="外部資料_342" localSheetId="16">PKB!#REF!</definedName>
    <definedName name="外部資料_342" localSheetId="17">PKC!#REF!</definedName>
    <definedName name="外部資料_342" localSheetId="4">評比系統!$T$1:$T$3</definedName>
    <definedName name="外部資料_342" localSheetId="18">福邦!$B$1:$T$21</definedName>
    <definedName name="外部資料_3420" localSheetId="2">紅綠燈!#REF!</definedName>
    <definedName name="外部資料_3421" localSheetId="2">紅綠燈!#REF!</definedName>
    <definedName name="外部資料_3423" localSheetId="2">紅綠燈!#REF!</definedName>
    <definedName name="外部資料_3424" localSheetId="2">紅綠燈!#REF!</definedName>
    <definedName name="外部資料_3425" localSheetId="2">紅綠燈!#REF!</definedName>
    <definedName name="外部資料_3427" localSheetId="2">紅綠燈!#REF!</definedName>
    <definedName name="外部資料_3428" localSheetId="2">紅綠燈!#REF!</definedName>
    <definedName name="外部資料_3429" localSheetId="2">紅綠燈!#REF!</definedName>
    <definedName name="外部資料_343" localSheetId="15">PKA!#REF!</definedName>
    <definedName name="外部資料_343" localSheetId="16">PKB!#REF!</definedName>
    <definedName name="外部資料_343" localSheetId="17">PKC!#REF!</definedName>
    <definedName name="外部資料_343" localSheetId="4">評比系統!$T$1:$T$3</definedName>
    <definedName name="外部資料_343" localSheetId="18">福邦!$B$1:$T$21</definedName>
    <definedName name="外部資料_3431" localSheetId="2">紅綠燈!#REF!</definedName>
    <definedName name="外部資料_3432" localSheetId="2">紅綠燈!#REF!</definedName>
    <definedName name="外部資料_3433" localSheetId="2">紅綠燈!#REF!</definedName>
    <definedName name="外部資料_3435" localSheetId="2">紅綠燈!#REF!</definedName>
    <definedName name="外部資料_3436" localSheetId="2">紅綠燈!#REF!</definedName>
    <definedName name="外部資料_3437" localSheetId="2">紅綠燈!#REF!</definedName>
    <definedName name="外部資料_3439" localSheetId="2">紅綠燈!#REF!</definedName>
    <definedName name="外部資料_344" localSheetId="15">PKA!#REF!</definedName>
    <definedName name="外部資料_344" localSheetId="16">PKB!#REF!</definedName>
    <definedName name="外部資料_344" localSheetId="17">PKC!#REF!</definedName>
    <definedName name="外部資料_344" localSheetId="4">評比系統!$T$1:$T$3</definedName>
    <definedName name="外部資料_344" localSheetId="18">福邦!$B$1:$T$21</definedName>
    <definedName name="外部資料_3440" localSheetId="2">紅綠燈!#REF!</definedName>
    <definedName name="外部資料_3441" localSheetId="2">紅綠燈!#REF!</definedName>
    <definedName name="外部資料_3443" localSheetId="2">紅綠燈!#REF!</definedName>
    <definedName name="外部資料_3444" localSheetId="2">紅綠燈!#REF!</definedName>
    <definedName name="外部資料_3445" localSheetId="2">紅綠燈!#REF!</definedName>
    <definedName name="外部資料_3447" localSheetId="2">紅綠燈!#REF!</definedName>
    <definedName name="外部資料_3448" localSheetId="2">紅綠燈!#REF!</definedName>
    <definedName name="外部資料_3449" localSheetId="2">紅綠燈!#REF!</definedName>
    <definedName name="外部資料_345" localSheetId="15">PKA!#REF!</definedName>
    <definedName name="外部資料_345" localSheetId="16">PKB!#REF!</definedName>
    <definedName name="外部資料_345" localSheetId="17">PKC!#REF!</definedName>
    <definedName name="外部資料_345" localSheetId="4">評比系統!$T$1:$T$3</definedName>
    <definedName name="外部資料_345" localSheetId="18">福邦!$B$1:$T$21</definedName>
    <definedName name="外部資料_3451" localSheetId="2">紅綠燈!#REF!</definedName>
    <definedName name="外部資料_3452" localSheetId="2">紅綠燈!#REF!</definedName>
    <definedName name="外部資料_3453" localSheetId="2">紅綠燈!#REF!</definedName>
    <definedName name="外部資料_3455" localSheetId="2">紅綠燈!#REF!</definedName>
    <definedName name="外部資料_3456" localSheetId="2">紅綠燈!#REF!</definedName>
    <definedName name="外部資料_3457" localSheetId="2">紅綠燈!#REF!</definedName>
    <definedName name="外部資料_3459" localSheetId="2">紅綠燈!#REF!</definedName>
    <definedName name="外部資料_346" localSheetId="15">PKA!#REF!</definedName>
    <definedName name="外部資料_346" localSheetId="16">PKB!#REF!</definedName>
    <definedName name="外部資料_346" localSheetId="17">PKC!#REF!</definedName>
    <definedName name="外部資料_346" localSheetId="4">評比系統!$T$1:$T$3</definedName>
    <definedName name="外部資料_346" localSheetId="18">福邦!$B$1:$T$21</definedName>
    <definedName name="外部資料_346" localSheetId="5">篩股系統!$H$2</definedName>
    <definedName name="外部資料_3460" localSheetId="2">紅綠燈!#REF!</definedName>
    <definedName name="外部資料_3461" localSheetId="2">紅綠燈!#REF!</definedName>
    <definedName name="外部資料_3463" localSheetId="2">紅綠燈!#REF!</definedName>
    <definedName name="外部資料_3464" localSheetId="2">紅綠燈!#REF!</definedName>
    <definedName name="外部資料_3465" localSheetId="2">紅綠燈!#REF!</definedName>
    <definedName name="外部資料_3467" localSheetId="2">紅綠燈!#REF!</definedName>
    <definedName name="外部資料_3468" localSheetId="2">紅綠燈!#REF!</definedName>
    <definedName name="外部資料_3469" localSheetId="2">紅綠燈!#REF!</definedName>
    <definedName name="外部資料_347" localSheetId="15">PKA!#REF!</definedName>
    <definedName name="外部資料_347" localSheetId="16">PKB!#REF!</definedName>
    <definedName name="外部資料_347" localSheetId="17">PKC!#REF!</definedName>
    <definedName name="外部資料_347" localSheetId="4">評比系統!$T$1:$T$3</definedName>
    <definedName name="外部資料_347" localSheetId="18">福邦!$B$1:$T$21</definedName>
    <definedName name="外部資料_3471" localSheetId="2">紅綠燈!#REF!</definedName>
    <definedName name="外部資料_3472" localSheetId="2">紅綠燈!#REF!</definedName>
    <definedName name="外部資料_3473" localSheetId="2">紅綠燈!#REF!</definedName>
    <definedName name="外部資料_3475" localSheetId="2">紅綠燈!#REF!</definedName>
    <definedName name="外部資料_3476" localSheetId="2">紅綠燈!#REF!</definedName>
    <definedName name="外部資料_3477" localSheetId="2">紅綠燈!#REF!</definedName>
    <definedName name="外部資料_3479" localSheetId="2">紅綠燈!#REF!</definedName>
    <definedName name="外部資料_348" localSheetId="15">PKA!#REF!</definedName>
    <definedName name="外部資料_348" localSheetId="16">PKB!#REF!</definedName>
    <definedName name="外部資料_348" localSheetId="17">PKC!#REF!</definedName>
    <definedName name="外部資料_348" localSheetId="4">評比系統!$T$1:$T$3</definedName>
    <definedName name="外部資料_348" localSheetId="18">福邦!$B$1:$T$21</definedName>
    <definedName name="外部資料_3480" localSheetId="2">紅綠燈!#REF!</definedName>
    <definedName name="外部資料_3481" localSheetId="2">紅綠燈!#REF!</definedName>
    <definedName name="外部資料_3483" localSheetId="2">紅綠燈!#REF!</definedName>
    <definedName name="外部資料_3484" localSheetId="2">紅綠燈!#REF!</definedName>
    <definedName name="外部資料_3485" localSheetId="2">紅綠燈!#REF!</definedName>
    <definedName name="外部資料_3487" localSheetId="2">紅綠燈!#REF!</definedName>
    <definedName name="外部資料_3488" localSheetId="2">紅綠燈!#REF!</definedName>
    <definedName name="外部資料_3489" localSheetId="2">紅綠燈!#REF!</definedName>
    <definedName name="外部資料_349" localSheetId="15">PKA!#REF!</definedName>
    <definedName name="外部資料_349" localSheetId="16">PKB!#REF!</definedName>
    <definedName name="外部資料_349" localSheetId="17">PKC!#REF!</definedName>
    <definedName name="外部資料_349" localSheetId="4">評比系統!$T$1:$T$3</definedName>
    <definedName name="外部資料_349" localSheetId="18">福邦!$B$1:$T$21</definedName>
    <definedName name="外部資料_3491" localSheetId="2">紅綠燈!#REF!</definedName>
    <definedName name="外部資料_3492" localSheetId="2">紅綠燈!#REF!</definedName>
    <definedName name="外部資料_3493" localSheetId="2">紅綠燈!#REF!</definedName>
    <definedName name="外部資料_3495" localSheetId="2">紅綠燈!#REF!</definedName>
    <definedName name="外部資料_3496" localSheetId="2">紅綠燈!#REF!</definedName>
    <definedName name="外部資料_3497" localSheetId="2">紅綠燈!#REF!</definedName>
    <definedName name="外部資料_3499" localSheetId="2">紅綠燈!#REF!</definedName>
    <definedName name="外部資料_35" localSheetId="15">PKA!#REF!</definedName>
    <definedName name="外部資料_35" localSheetId="16">PKB!#REF!</definedName>
    <definedName name="外部資料_35" localSheetId="17">PKC!#REF!</definedName>
    <definedName name="外部資料_35" localSheetId="8">PSR!#REF!</definedName>
    <definedName name="外部資料_35" localSheetId="2">紅綠燈!#REF!</definedName>
    <definedName name="外部資料_35" localSheetId="4">評比系統!#REF!</definedName>
    <definedName name="外部資料_35" localSheetId="18">福邦!#REF!</definedName>
    <definedName name="外部資料_35" localSheetId="5">篩股系統!#REF!</definedName>
    <definedName name="外部資料_35" localSheetId="7">營收搶先報!#REF!</definedName>
    <definedName name="外部資料_350" localSheetId="15">PKA!#REF!</definedName>
    <definedName name="外部資料_350" localSheetId="16">PKB!#REF!</definedName>
    <definedName name="外部資料_350" localSheetId="17">PKC!#REF!</definedName>
    <definedName name="外部資料_350" localSheetId="4">評比系統!$T$1:$T$3</definedName>
    <definedName name="外部資料_350" localSheetId="18">福邦!$B$1:$T$21</definedName>
    <definedName name="外部資料_3500" localSheetId="2">紅綠燈!#REF!</definedName>
    <definedName name="外部資料_3501" localSheetId="2">紅綠燈!#REF!</definedName>
    <definedName name="外部資料_3503" localSheetId="2">紅綠燈!#REF!</definedName>
    <definedName name="外部資料_3504" localSheetId="2">紅綠燈!#REF!</definedName>
    <definedName name="外部資料_3505" localSheetId="2">紅綠燈!#REF!</definedName>
    <definedName name="外部資料_3507" localSheetId="2">紅綠燈!#REF!</definedName>
    <definedName name="外部資料_3508" localSheetId="2">紅綠燈!#REF!</definedName>
    <definedName name="外部資料_3509" localSheetId="2">紅綠燈!#REF!</definedName>
    <definedName name="外部資料_351" localSheetId="15">PKA!#REF!</definedName>
    <definedName name="外部資料_351" localSheetId="16">PKB!#REF!</definedName>
    <definedName name="外部資料_351" localSheetId="17">PKC!#REF!</definedName>
    <definedName name="外部資料_351" localSheetId="4">評比系統!$T$1:$T$3</definedName>
    <definedName name="外部資料_351" localSheetId="18">福邦!$B$1:$T$21</definedName>
    <definedName name="外部資料_3511" localSheetId="2">紅綠燈!#REF!</definedName>
    <definedName name="外部資料_3512" localSheetId="2">紅綠燈!#REF!</definedName>
    <definedName name="外部資料_3513" localSheetId="2">紅綠燈!#REF!</definedName>
    <definedName name="外部資料_3515" localSheetId="2">紅綠燈!#REF!</definedName>
    <definedName name="外部資料_3516" localSheetId="2">紅綠燈!#REF!</definedName>
    <definedName name="外部資料_3517" localSheetId="2">紅綠燈!#REF!</definedName>
    <definedName name="外部資料_3519" localSheetId="2">紅綠燈!#REF!</definedName>
    <definedName name="外部資料_352" localSheetId="15">PKA!#REF!</definedName>
    <definedName name="外部資料_352" localSheetId="16">PKB!#REF!</definedName>
    <definedName name="外部資料_352" localSheetId="17">PKC!#REF!</definedName>
    <definedName name="外部資料_352" localSheetId="4">評比系統!$T$1:$T$3</definedName>
    <definedName name="外部資料_352" localSheetId="18">福邦!$B$1:$T$21</definedName>
    <definedName name="外部資料_3520" localSheetId="2">紅綠燈!#REF!</definedName>
    <definedName name="外部資料_3521" localSheetId="2">紅綠燈!#REF!</definedName>
    <definedName name="外部資料_3523" localSheetId="2">紅綠燈!#REF!</definedName>
    <definedName name="外部資料_3524" localSheetId="2">紅綠燈!#REF!</definedName>
    <definedName name="外部資料_3525" localSheetId="2">紅綠燈!#REF!</definedName>
    <definedName name="外部資料_3527" localSheetId="2">紅綠燈!#REF!</definedName>
    <definedName name="外部資料_3528" localSheetId="2">紅綠燈!#REF!</definedName>
    <definedName name="外部資料_3529" localSheetId="2">紅綠燈!#REF!</definedName>
    <definedName name="外部資料_353" localSheetId="15">PKA!#REF!</definedName>
    <definedName name="外部資料_353" localSheetId="16">PKB!#REF!</definedName>
    <definedName name="外部資料_353" localSheetId="17">PKC!#REF!</definedName>
    <definedName name="外部資料_353" localSheetId="4">評比系統!$T$1:$T$3</definedName>
    <definedName name="外部資料_353" localSheetId="18">福邦!$B$1:$T$21</definedName>
    <definedName name="外部資料_3531" localSheetId="2">紅綠燈!#REF!</definedName>
    <definedName name="外部資料_3532" localSheetId="2">紅綠燈!#REF!</definedName>
    <definedName name="外部資料_3533" localSheetId="2">紅綠燈!#REF!</definedName>
    <definedName name="外部資料_3535" localSheetId="2">紅綠燈!#REF!</definedName>
    <definedName name="外部資料_3536" localSheetId="2">紅綠燈!#REF!</definedName>
    <definedName name="外部資料_3537" localSheetId="2">紅綠燈!#REF!</definedName>
    <definedName name="外部資料_3539" localSheetId="2">紅綠燈!#REF!</definedName>
    <definedName name="外部資料_354" localSheetId="15">PKA!#REF!</definedName>
    <definedName name="外部資料_354" localSheetId="16">PKB!#REF!</definedName>
    <definedName name="外部資料_354" localSheetId="17">PKC!#REF!</definedName>
    <definedName name="外部資料_354" localSheetId="4">評比系統!$T$1:$T$3</definedName>
    <definedName name="外部資料_354" localSheetId="18">福邦!$B$1:$T$21</definedName>
    <definedName name="外部資料_3540" localSheetId="2">紅綠燈!#REF!</definedName>
    <definedName name="外部資料_3541" localSheetId="2">紅綠燈!#REF!</definedName>
    <definedName name="外部資料_3543" localSheetId="2">紅綠燈!#REF!</definedName>
    <definedName name="外部資料_3544" localSheetId="2">紅綠燈!#REF!</definedName>
    <definedName name="外部資料_3545" localSheetId="2">紅綠燈!#REF!</definedName>
    <definedName name="外部資料_3547" localSheetId="2">紅綠燈!#REF!</definedName>
    <definedName name="外部資料_3548" localSheetId="2">紅綠燈!#REF!</definedName>
    <definedName name="外部資料_3549" localSheetId="2">紅綠燈!#REF!</definedName>
    <definedName name="外部資料_355" localSheetId="15">PKA!#REF!</definedName>
    <definedName name="外部資料_355" localSheetId="16">PKB!#REF!</definedName>
    <definedName name="外部資料_355" localSheetId="17">PKC!#REF!</definedName>
    <definedName name="外部資料_355" localSheetId="4">評比系統!$T$1:$T$3</definedName>
    <definedName name="外部資料_355" localSheetId="18">福邦!$B$1:$T$21</definedName>
    <definedName name="外部資料_3551" localSheetId="2">紅綠燈!#REF!</definedName>
    <definedName name="外部資料_3552" localSheetId="2">紅綠燈!#REF!</definedName>
    <definedName name="外部資料_3553" localSheetId="2">紅綠燈!#REF!</definedName>
    <definedName name="外部資料_3555" localSheetId="2">紅綠燈!#REF!</definedName>
    <definedName name="外部資料_3556" localSheetId="2">紅綠燈!#REF!</definedName>
    <definedName name="外部資料_3557" localSheetId="2">紅綠燈!#REF!</definedName>
    <definedName name="外部資料_3559" localSheetId="2">紅綠燈!#REF!</definedName>
    <definedName name="外部資料_356" localSheetId="15">PKA!#REF!</definedName>
    <definedName name="外部資料_356" localSheetId="16">PKB!#REF!</definedName>
    <definedName name="外部資料_356" localSheetId="17">PKC!#REF!</definedName>
    <definedName name="外部資料_356" localSheetId="4">評比系統!$T$1:$T$3</definedName>
    <definedName name="外部資料_356" localSheetId="18">福邦!$B$1:$T$21</definedName>
    <definedName name="外部資料_3560" localSheetId="2">紅綠燈!#REF!</definedName>
    <definedName name="外部資料_3561" localSheetId="2">紅綠燈!#REF!</definedName>
    <definedName name="外部資料_3563" localSheetId="2">紅綠燈!#REF!</definedName>
    <definedName name="外部資料_3564" localSheetId="2">紅綠燈!#REF!</definedName>
    <definedName name="外部資料_3565" localSheetId="2">紅綠燈!#REF!</definedName>
    <definedName name="外部資料_3567" localSheetId="2">紅綠燈!#REF!</definedName>
    <definedName name="外部資料_3568" localSheetId="2">紅綠燈!#REF!</definedName>
    <definedName name="外部資料_3569" localSheetId="2">紅綠燈!#REF!</definedName>
    <definedName name="外部資料_357" localSheetId="15">PKA!#REF!</definedName>
    <definedName name="外部資料_357" localSheetId="16">PKB!#REF!</definedName>
    <definedName name="外部資料_357" localSheetId="17">PKC!#REF!</definedName>
    <definedName name="外部資料_357" localSheetId="4">評比系統!$T$1:$T$3</definedName>
    <definedName name="外部資料_3571" localSheetId="2">紅綠燈!#REF!</definedName>
    <definedName name="外部資料_3572" localSheetId="2">紅綠燈!#REF!</definedName>
    <definedName name="外部資料_3573" localSheetId="2">紅綠燈!#REF!</definedName>
    <definedName name="外部資料_3575" localSheetId="2">紅綠燈!#REF!</definedName>
    <definedName name="外部資料_3576" localSheetId="2">紅綠燈!#REF!</definedName>
    <definedName name="外部資料_3577" localSheetId="2">紅綠燈!#REF!</definedName>
    <definedName name="外部資料_3579" localSheetId="2">紅綠燈!#REF!</definedName>
    <definedName name="外部資料_358" localSheetId="15">PKA!#REF!</definedName>
    <definedName name="外部資料_358" localSheetId="16">PKB!#REF!</definedName>
    <definedName name="外部資料_358" localSheetId="17">PKC!#REF!</definedName>
    <definedName name="外部資料_358" localSheetId="4">評比系統!$T$1:$T$3</definedName>
    <definedName name="外部資料_3580" localSheetId="2">紅綠燈!#REF!</definedName>
    <definedName name="外部資料_3581" localSheetId="2">紅綠燈!#REF!</definedName>
    <definedName name="外部資料_3583" localSheetId="2">紅綠燈!#REF!</definedName>
    <definedName name="外部資料_3584" localSheetId="2">紅綠燈!#REF!</definedName>
    <definedName name="外部資料_3585" localSheetId="2">紅綠燈!#REF!</definedName>
    <definedName name="外部資料_3587" localSheetId="2">紅綠燈!#REF!</definedName>
    <definedName name="外部資料_3588" localSheetId="2">紅綠燈!#REF!</definedName>
    <definedName name="外部資料_3589" localSheetId="2">紅綠燈!#REF!</definedName>
    <definedName name="外部資料_359" localSheetId="15">PKA!#REF!</definedName>
    <definedName name="外部資料_359" localSheetId="16">PKB!#REF!</definedName>
    <definedName name="外部資料_359" localSheetId="17">PKC!#REF!</definedName>
    <definedName name="外部資料_359" localSheetId="4">評比系統!$T$1:$T$3</definedName>
    <definedName name="外部資料_3591" localSheetId="2">紅綠燈!#REF!</definedName>
    <definedName name="外部資料_3592" localSheetId="2">紅綠燈!#REF!</definedName>
    <definedName name="外部資料_3593" localSheetId="2">紅綠燈!#REF!</definedName>
    <definedName name="外部資料_3595" localSheetId="2">紅綠燈!#REF!</definedName>
    <definedName name="外部資料_3596" localSheetId="2">紅綠燈!#REF!</definedName>
    <definedName name="外部資料_3597" localSheetId="2">紅綠燈!#REF!</definedName>
    <definedName name="外部資料_3599" localSheetId="2">紅綠燈!#REF!</definedName>
    <definedName name="外部資料_36" localSheetId="15">PKA!#REF!</definedName>
    <definedName name="外部資料_36" localSheetId="16">PKB!#REF!</definedName>
    <definedName name="外部資料_36" localSheetId="17">PKC!#REF!</definedName>
    <definedName name="外部資料_36" localSheetId="8">PSR!#REF!</definedName>
    <definedName name="外部資料_36" localSheetId="2">紅綠燈!#REF!</definedName>
    <definedName name="外部資料_36" localSheetId="4">評比系統!#REF!</definedName>
    <definedName name="外部資料_36" localSheetId="18">福邦!#REF!</definedName>
    <definedName name="外部資料_36" localSheetId="5">篩股系統!#REF!</definedName>
    <definedName name="外部資料_36" localSheetId="7">營收搶先報!#REF!</definedName>
    <definedName name="外部資料_360" localSheetId="15">PKA!#REF!</definedName>
    <definedName name="外部資料_360" localSheetId="16">PKB!#REF!</definedName>
    <definedName name="外部資料_360" localSheetId="17">PKC!#REF!</definedName>
    <definedName name="外部資料_360" localSheetId="4">評比系統!$T$1:$T$3</definedName>
    <definedName name="外部資料_3600" localSheetId="2">紅綠燈!#REF!</definedName>
    <definedName name="外部資料_3601" localSheetId="2">紅綠燈!#REF!</definedName>
    <definedName name="外部資料_3603" localSheetId="2">紅綠燈!#REF!</definedName>
    <definedName name="外部資料_3604" localSheetId="2">紅綠燈!#REF!</definedName>
    <definedName name="外部資料_3605" localSheetId="2">紅綠燈!#REF!</definedName>
    <definedName name="外部資料_3607" localSheetId="2">紅綠燈!#REF!</definedName>
    <definedName name="外部資料_3608" localSheetId="2">紅綠燈!#REF!</definedName>
    <definedName name="外部資料_3609" localSheetId="2">紅綠燈!#REF!</definedName>
    <definedName name="外部資料_361" localSheetId="15">PKA!#REF!</definedName>
    <definedName name="外部資料_361" localSheetId="16">PKB!#REF!</definedName>
    <definedName name="外部資料_361" localSheetId="17">PKC!#REF!</definedName>
    <definedName name="外部資料_361" localSheetId="4">評比系統!$T$1:$T$3</definedName>
    <definedName name="外部資料_3611" localSheetId="2">紅綠燈!#REF!</definedName>
    <definedName name="外部資料_3612" localSheetId="2">紅綠燈!#REF!</definedName>
    <definedName name="外部資料_3613" localSheetId="2">紅綠燈!#REF!</definedName>
    <definedName name="外部資料_3615" localSheetId="2">紅綠燈!#REF!</definedName>
    <definedName name="外部資料_3616" localSheetId="2">紅綠燈!#REF!</definedName>
    <definedName name="外部資料_3617" localSheetId="2">紅綠燈!#REF!</definedName>
    <definedName name="外部資料_3619" localSheetId="2">紅綠燈!#REF!</definedName>
    <definedName name="外部資料_362" localSheetId="15">PKA!#REF!</definedName>
    <definedName name="外部資料_362" localSheetId="16">PKB!#REF!</definedName>
    <definedName name="外部資料_362" localSheetId="17">PKC!#REF!</definedName>
    <definedName name="外部資料_362" localSheetId="4">評比系統!$T$1:$T$3</definedName>
    <definedName name="外部資料_3620" localSheetId="2">紅綠燈!#REF!</definedName>
    <definedName name="外部資料_3621" localSheetId="2">紅綠燈!#REF!</definedName>
    <definedName name="外部資料_3623" localSheetId="2">紅綠燈!#REF!</definedName>
    <definedName name="外部資料_3624" localSheetId="2">紅綠燈!#REF!</definedName>
    <definedName name="外部資料_3625" localSheetId="2">紅綠燈!#REF!</definedName>
    <definedName name="外部資料_3627" localSheetId="2">紅綠燈!#REF!</definedName>
    <definedName name="外部資料_3628" localSheetId="2">紅綠燈!#REF!</definedName>
    <definedName name="外部資料_3629" localSheetId="2">紅綠燈!#REF!</definedName>
    <definedName name="外部資料_363" localSheetId="15">PKA!#REF!</definedName>
    <definedName name="外部資料_363" localSheetId="16">PKB!#REF!</definedName>
    <definedName name="外部資料_363" localSheetId="17">PKC!#REF!</definedName>
    <definedName name="外部資料_363" localSheetId="4">評比系統!$T$1:$T$3</definedName>
    <definedName name="外部資料_3631" localSheetId="2">紅綠燈!#REF!</definedName>
    <definedName name="外部資料_3632" localSheetId="2">紅綠燈!#REF!</definedName>
    <definedName name="外部資料_3633" localSheetId="2">紅綠燈!#REF!</definedName>
    <definedName name="外部資料_3635" localSheetId="2">紅綠燈!#REF!</definedName>
    <definedName name="外部資料_3636" localSheetId="2">紅綠燈!#REF!</definedName>
    <definedName name="外部資料_3638" localSheetId="2">紅綠燈!#REF!</definedName>
    <definedName name="外部資料_3639" localSheetId="2">紅綠燈!#REF!</definedName>
    <definedName name="外部資料_364" localSheetId="15">PKA!#REF!</definedName>
    <definedName name="外部資料_364" localSheetId="16">PKB!#REF!</definedName>
    <definedName name="外部資料_364" localSheetId="17">PKC!#REF!</definedName>
    <definedName name="外部資料_364" localSheetId="4">評比系統!$T$1:$T$3</definedName>
    <definedName name="外部資料_3640" localSheetId="2">紅綠燈!#REF!</definedName>
    <definedName name="外部資料_3642" localSheetId="2">紅綠燈!#REF!</definedName>
    <definedName name="外部資料_3643" localSheetId="2">紅綠燈!#REF!</definedName>
    <definedName name="外部資料_3644" localSheetId="2">紅綠燈!#REF!</definedName>
    <definedName name="外部資料_3646" localSheetId="2">紅綠燈!#REF!</definedName>
    <definedName name="外部資料_3647" localSheetId="2">紅綠燈!#REF!</definedName>
    <definedName name="外部資料_3648" localSheetId="2">紅綠燈!#REF!</definedName>
    <definedName name="外部資料_365" localSheetId="15">PKA!#REF!</definedName>
    <definedName name="外部資料_365" localSheetId="16">PKB!#REF!</definedName>
    <definedName name="外部資料_365" localSheetId="17">PKC!#REF!</definedName>
    <definedName name="外部資料_365" localSheetId="4">評比系統!$T$1:$T$3</definedName>
    <definedName name="外部資料_3650" localSheetId="2">紅綠燈!#REF!</definedName>
    <definedName name="外部資料_3651" localSheetId="2">紅綠燈!#REF!</definedName>
    <definedName name="外部資料_3652" localSheetId="2">紅綠燈!#REF!</definedName>
    <definedName name="外部資料_3654" localSheetId="2">紅綠燈!#REF!</definedName>
    <definedName name="外部資料_3655" localSheetId="2">紅綠燈!#REF!</definedName>
    <definedName name="外部資料_3656" localSheetId="2">紅綠燈!#REF!</definedName>
    <definedName name="外部資料_3658" localSheetId="2">紅綠燈!#REF!</definedName>
    <definedName name="外部資料_3659" localSheetId="2">紅綠燈!#REF!</definedName>
    <definedName name="外部資料_366" localSheetId="15">PKA!#REF!</definedName>
    <definedName name="外部資料_366" localSheetId="16">PKB!#REF!</definedName>
    <definedName name="外部資料_366" localSheetId="17">PKC!#REF!</definedName>
    <definedName name="外部資料_366" localSheetId="4">評比系統!$T$1:$T$3</definedName>
    <definedName name="外部資料_3660" localSheetId="2">紅綠燈!#REF!</definedName>
    <definedName name="外部資料_3662" localSheetId="2">紅綠燈!#REF!</definedName>
    <definedName name="外部資料_3663" localSheetId="2">紅綠燈!#REF!</definedName>
    <definedName name="外部資料_3664" localSheetId="2">紅綠燈!#REF!</definedName>
    <definedName name="外部資料_3666" localSheetId="2">紅綠燈!#REF!</definedName>
    <definedName name="外部資料_3667" localSheetId="2">紅綠燈!#REF!</definedName>
    <definedName name="外部資料_3668" localSheetId="2">紅綠燈!#REF!</definedName>
    <definedName name="外部資料_367" localSheetId="15">PKA!#REF!</definedName>
    <definedName name="外部資料_367" localSheetId="16">PKB!#REF!</definedName>
    <definedName name="外部資料_367" localSheetId="17">PKC!#REF!</definedName>
    <definedName name="外部資料_367" localSheetId="4">評比系統!$T$1:$T$3</definedName>
    <definedName name="外部資料_3670" localSheetId="2">紅綠燈!#REF!</definedName>
    <definedName name="外部資料_3671" localSheetId="2">紅綠燈!#REF!</definedName>
    <definedName name="外部資料_3673" localSheetId="2">紅綠燈!#REF!</definedName>
    <definedName name="外部資料_3674" localSheetId="2">紅綠燈!#REF!</definedName>
    <definedName name="外部資料_3675" localSheetId="2">紅綠燈!#REF!</definedName>
    <definedName name="外部資料_3677" localSheetId="2">紅綠燈!#REF!</definedName>
    <definedName name="外部資料_3678" localSheetId="2">紅綠燈!#REF!</definedName>
    <definedName name="外部資料_3679" localSheetId="2">紅綠燈!#REF!</definedName>
    <definedName name="外部資料_368" localSheetId="15">PKA!#REF!</definedName>
    <definedName name="外部資料_368" localSheetId="16">PKB!#REF!</definedName>
    <definedName name="外部資料_368" localSheetId="17">PKC!#REF!</definedName>
    <definedName name="外部資料_368" localSheetId="4">評比系統!$T$1:$T$3</definedName>
    <definedName name="外部資料_3681" localSheetId="2">紅綠燈!#REF!</definedName>
    <definedName name="外部資料_3682" localSheetId="2">紅綠燈!#REF!</definedName>
    <definedName name="外部資料_3685" localSheetId="2">紅綠燈!#REF!</definedName>
    <definedName name="外部資料_3686" localSheetId="2">紅綠燈!#REF!</definedName>
    <definedName name="外部資料_3689" localSheetId="2">紅綠燈!#REF!</definedName>
    <definedName name="外部資料_369" localSheetId="15">PKA!#REF!</definedName>
    <definedName name="外部資料_369" localSheetId="16">PKB!#REF!</definedName>
    <definedName name="外部資料_369" localSheetId="17">PKC!#REF!</definedName>
    <definedName name="外部資料_369" localSheetId="4">評比系統!$T$1:$T$3</definedName>
    <definedName name="外部資料_3690" localSheetId="2">紅綠燈!#REF!</definedName>
    <definedName name="外部資料_3693" localSheetId="2">紅綠燈!#REF!</definedName>
    <definedName name="外部資料_3694" localSheetId="2">紅綠燈!#REF!</definedName>
    <definedName name="外部資料_3695" localSheetId="2">紅綠燈!#REF!</definedName>
    <definedName name="外部資料_3697" localSheetId="2">紅綠燈!#REF!</definedName>
    <definedName name="外部資料_3698" localSheetId="2">紅綠燈!#REF!</definedName>
    <definedName name="外部資料_3699" localSheetId="2">紅綠燈!#REF!</definedName>
    <definedName name="外部資料_37" localSheetId="15">PKA!#REF!</definedName>
    <definedName name="外部資料_37" localSheetId="16">PKB!#REF!</definedName>
    <definedName name="外部資料_37" localSheetId="17">PKC!#REF!</definedName>
    <definedName name="外部資料_37" localSheetId="8">PSR!#REF!</definedName>
    <definedName name="外部資料_37" localSheetId="2">紅綠燈!#REF!</definedName>
    <definedName name="外部資料_37" localSheetId="4">評比系統!#REF!</definedName>
    <definedName name="外部資料_37" localSheetId="18">福邦!#REF!</definedName>
    <definedName name="外部資料_37" localSheetId="5">篩股系統!#REF!</definedName>
    <definedName name="外部資料_37" localSheetId="7">營收搶先報!#REF!</definedName>
    <definedName name="外部資料_370" localSheetId="15">PKA!#REF!</definedName>
    <definedName name="外部資料_370" localSheetId="16">PKB!#REF!</definedName>
    <definedName name="外部資料_370" localSheetId="17">PKC!#REF!</definedName>
    <definedName name="外部資料_370" localSheetId="4">評比系統!$T$1:$T$3</definedName>
    <definedName name="外部資料_3701" localSheetId="2">紅綠燈!#REF!</definedName>
    <definedName name="外部資料_3702" localSheetId="2">紅綠燈!#REF!</definedName>
    <definedName name="外部資料_3703" localSheetId="2">紅綠燈!#REF!</definedName>
    <definedName name="外部資料_3705" localSheetId="2">紅綠燈!#REF!</definedName>
    <definedName name="外部資料_3706" localSheetId="2">紅綠燈!#REF!</definedName>
    <definedName name="外部資料_3707" localSheetId="2">紅綠燈!#REF!</definedName>
    <definedName name="外部資料_3709" localSheetId="2">紅綠燈!#REF!</definedName>
    <definedName name="外部資料_371" localSheetId="15">PKA!#REF!</definedName>
    <definedName name="外部資料_371" localSheetId="16">PKB!#REF!</definedName>
    <definedName name="外部資料_371" localSheetId="17">PKC!#REF!</definedName>
    <definedName name="外部資料_371" localSheetId="4">評比系統!$T$1:$T$3</definedName>
    <definedName name="外部資料_3710" localSheetId="2">紅綠燈!#REF!</definedName>
    <definedName name="外部資料_3711" localSheetId="2">紅綠燈!#REF!</definedName>
    <definedName name="外部資料_3713" localSheetId="2">紅綠燈!#REF!</definedName>
    <definedName name="外部資料_3714" localSheetId="2">紅綠燈!#REF!</definedName>
    <definedName name="外部資料_3715" localSheetId="2">紅綠燈!#REF!</definedName>
    <definedName name="外部資料_3717" localSheetId="2">紅綠燈!#REF!</definedName>
    <definedName name="外部資料_3718" localSheetId="2">紅綠燈!#REF!</definedName>
    <definedName name="外部資料_3719" localSheetId="2">紅綠燈!#REF!</definedName>
    <definedName name="外部資料_372" localSheetId="15">PKA!#REF!</definedName>
    <definedName name="外部資料_372" localSheetId="16">PKB!#REF!</definedName>
    <definedName name="外部資料_372" localSheetId="17">PKC!#REF!</definedName>
    <definedName name="外部資料_372" localSheetId="4">評比系統!$T$1:$T$3</definedName>
    <definedName name="外部資料_3721" localSheetId="2">紅綠燈!#REF!</definedName>
    <definedName name="外部資料_3722" localSheetId="2">紅綠燈!#REF!</definedName>
    <definedName name="外部資料_3723" localSheetId="2">紅綠燈!#REF!</definedName>
    <definedName name="外部資料_3725" localSheetId="2">紅綠燈!#REF!</definedName>
    <definedName name="外部資料_3726" localSheetId="2">紅綠燈!#REF!</definedName>
    <definedName name="外部資料_3727" localSheetId="2">紅綠燈!#REF!</definedName>
    <definedName name="外部資料_3729" localSheetId="2">紅綠燈!#REF!</definedName>
    <definedName name="外部資料_373" localSheetId="15">PKA!#REF!</definedName>
    <definedName name="外部資料_373" localSheetId="16">PKB!#REF!</definedName>
    <definedName name="外部資料_373" localSheetId="17">PKC!#REF!</definedName>
    <definedName name="外部資料_373" localSheetId="4">評比系統!$T$1:$T$3</definedName>
    <definedName name="外部資料_3730" localSheetId="2">紅綠燈!#REF!</definedName>
    <definedName name="外部資料_3731" localSheetId="2">紅綠燈!#REF!</definedName>
    <definedName name="外部資料_3733" localSheetId="2">紅綠燈!#REF!</definedName>
    <definedName name="外部資料_3734" localSheetId="2">紅綠燈!#REF!</definedName>
    <definedName name="外部資料_3735" localSheetId="2">紅綠燈!#REF!</definedName>
    <definedName name="外部資料_3737" localSheetId="2">紅綠燈!#REF!</definedName>
    <definedName name="外部資料_3738" localSheetId="2">紅綠燈!#REF!</definedName>
    <definedName name="外部資料_3739" localSheetId="2">紅綠燈!#REF!</definedName>
    <definedName name="外部資料_374" localSheetId="15">PKA!#REF!</definedName>
    <definedName name="外部資料_374" localSheetId="16">PKB!#REF!</definedName>
    <definedName name="外部資料_374" localSheetId="17">PKC!#REF!</definedName>
    <definedName name="外部資料_374" localSheetId="4">評比系統!$T$1:$T$3</definedName>
    <definedName name="外部資料_3741" localSheetId="2">紅綠燈!#REF!</definedName>
    <definedName name="外部資料_3742" localSheetId="2">紅綠燈!#REF!</definedName>
    <definedName name="外部資料_3743" localSheetId="2">紅綠燈!#REF!</definedName>
    <definedName name="外部資料_3745" localSheetId="2">紅綠燈!#REF!</definedName>
    <definedName name="外部資料_3746" localSheetId="2">紅綠燈!#REF!</definedName>
    <definedName name="外部資料_3747" localSheetId="2">紅綠燈!#REF!</definedName>
    <definedName name="外部資料_3749" localSheetId="2">紅綠燈!#REF!</definedName>
    <definedName name="外部資料_375" localSheetId="15">PKA!#REF!</definedName>
    <definedName name="外部資料_375" localSheetId="16">PKB!#REF!</definedName>
    <definedName name="外部資料_375" localSheetId="17">PKC!#REF!</definedName>
    <definedName name="外部資料_375" localSheetId="4">評比系統!$T$1:$T$3</definedName>
    <definedName name="外部資料_3750" localSheetId="2">紅綠燈!#REF!</definedName>
    <definedName name="外部資料_3751" localSheetId="2">紅綠燈!#REF!</definedName>
    <definedName name="外部資料_3753" localSheetId="2">紅綠燈!#REF!</definedName>
    <definedName name="外部資料_3754" localSheetId="2">紅綠燈!#REF!</definedName>
    <definedName name="外部資料_3755" localSheetId="2">紅綠燈!#REF!</definedName>
    <definedName name="外部資料_3757" localSheetId="2">紅綠燈!#REF!</definedName>
    <definedName name="外部資料_3758" localSheetId="2">紅綠燈!#REF!</definedName>
    <definedName name="外部資料_3759" localSheetId="2">紅綠燈!#REF!</definedName>
    <definedName name="外部資料_376" localSheetId="15">PKA!#REF!</definedName>
    <definedName name="外部資料_376" localSheetId="16">PKB!#REF!</definedName>
    <definedName name="外部資料_376" localSheetId="17">PKC!#REF!</definedName>
    <definedName name="外部資料_376" localSheetId="4">評比系統!$T$1:$T$3</definedName>
    <definedName name="外部資料_3761" localSheetId="2">紅綠燈!#REF!</definedName>
    <definedName name="外部資料_3762" localSheetId="2">紅綠燈!#REF!</definedName>
    <definedName name="外部資料_3763" localSheetId="2">紅綠燈!#REF!</definedName>
    <definedName name="外部資料_3765" localSheetId="2">紅綠燈!#REF!</definedName>
    <definedName name="外部資料_3766" localSheetId="2">紅綠燈!#REF!</definedName>
    <definedName name="外部資料_3767" localSheetId="2">紅綠燈!#REF!</definedName>
    <definedName name="外部資料_3769" localSheetId="2">紅綠燈!#REF!</definedName>
    <definedName name="外部資料_377" localSheetId="15">PKA!#REF!</definedName>
    <definedName name="外部資料_377" localSheetId="16">PKB!#REF!</definedName>
    <definedName name="外部資料_377" localSheetId="17">PKC!#REF!</definedName>
    <definedName name="外部資料_377" localSheetId="4">評比系統!$T$1:$T$3</definedName>
    <definedName name="外部資料_3770" localSheetId="2">紅綠燈!#REF!</definedName>
    <definedName name="外部資料_3771" localSheetId="2">紅綠燈!#REF!</definedName>
    <definedName name="外部資料_3773" localSheetId="2">紅綠燈!#REF!</definedName>
    <definedName name="外部資料_3774" localSheetId="2">紅綠燈!#REF!</definedName>
    <definedName name="外部資料_3775" localSheetId="2">紅綠燈!#REF!</definedName>
    <definedName name="外部資料_3777" localSheetId="2">紅綠燈!#REF!</definedName>
    <definedName name="外部資料_3778" localSheetId="2">紅綠燈!#REF!</definedName>
    <definedName name="外部資料_3779" localSheetId="2">紅綠燈!#REF!</definedName>
    <definedName name="外部資料_378" localSheetId="15">PKA!#REF!</definedName>
    <definedName name="外部資料_378" localSheetId="16">PKB!#REF!</definedName>
    <definedName name="外部資料_378" localSheetId="17">PKC!#REF!</definedName>
    <definedName name="外部資料_378" localSheetId="4">評比系統!$T$1:$T$3</definedName>
    <definedName name="外部資料_3781" localSheetId="2">紅綠燈!#REF!</definedName>
    <definedName name="外部資料_3782" localSheetId="2">紅綠燈!#REF!</definedName>
    <definedName name="外部資料_3783" localSheetId="2">紅綠燈!#REF!</definedName>
    <definedName name="外部資料_3785" localSheetId="2">紅綠燈!#REF!</definedName>
    <definedName name="外部資料_3786" localSheetId="2">紅綠燈!#REF!</definedName>
    <definedName name="外部資料_3787" localSheetId="2">紅綠燈!#REF!</definedName>
    <definedName name="外部資料_3789" localSheetId="2">紅綠燈!#REF!</definedName>
    <definedName name="外部資料_379" localSheetId="15">PKA!#REF!</definedName>
    <definedName name="外部資料_379" localSheetId="16">PKB!#REF!</definedName>
    <definedName name="外部資料_379" localSheetId="17">PKC!#REF!</definedName>
    <definedName name="外部資料_379" localSheetId="4">評比系統!$T$1:$T$3</definedName>
    <definedName name="外部資料_3790" localSheetId="2">紅綠燈!#REF!</definedName>
    <definedName name="外部資料_3791" localSheetId="2">紅綠燈!#REF!</definedName>
    <definedName name="外部資料_3793" localSheetId="2">紅綠燈!#REF!</definedName>
    <definedName name="外部資料_3794" localSheetId="2">紅綠燈!#REF!</definedName>
    <definedName name="外部資料_3795" localSheetId="2">紅綠燈!#REF!</definedName>
    <definedName name="外部資料_3797" localSheetId="2">紅綠燈!#REF!</definedName>
    <definedName name="外部資料_3798" localSheetId="2">紅綠燈!#REF!</definedName>
    <definedName name="外部資料_3799" localSheetId="2">紅綠燈!#REF!</definedName>
    <definedName name="外部資料_38" localSheetId="15">PKA!#REF!</definedName>
    <definedName name="外部資料_38" localSheetId="16">PKB!#REF!</definedName>
    <definedName name="外部資料_38" localSheetId="17">PKC!#REF!</definedName>
    <definedName name="外部資料_38" localSheetId="8">PSR!#REF!</definedName>
    <definedName name="外部資料_38" localSheetId="2">紅綠燈!#REF!</definedName>
    <definedName name="外部資料_38" localSheetId="4">評比系統!#REF!</definedName>
    <definedName name="外部資料_38" localSheetId="18">福邦!#REF!</definedName>
    <definedName name="外部資料_38" localSheetId="5">篩股系統!#REF!</definedName>
    <definedName name="外部資料_38" localSheetId="7">營收搶先報!#REF!</definedName>
    <definedName name="外部資料_380" localSheetId="15">PKA!#REF!</definedName>
    <definedName name="外部資料_380" localSheetId="16">PKB!#REF!</definedName>
    <definedName name="外部資料_380" localSheetId="17">PKC!#REF!</definedName>
    <definedName name="外部資料_380" localSheetId="4">評比系統!$T$1:$T$3</definedName>
    <definedName name="外部資料_3801" localSheetId="2">紅綠燈!#REF!</definedName>
    <definedName name="外部資料_3802" localSheetId="2">紅綠燈!#REF!</definedName>
    <definedName name="外部資料_3803" localSheetId="2">紅綠燈!#REF!</definedName>
    <definedName name="外部資料_3805" localSheetId="2">紅綠燈!#REF!</definedName>
    <definedName name="外部資料_3806" localSheetId="2">紅綠燈!#REF!</definedName>
    <definedName name="外部資料_3807" localSheetId="2">紅綠燈!#REF!</definedName>
    <definedName name="外部資料_3809" localSheetId="2">紅綠燈!#REF!</definedName>
    <definedName name="外部資料_381" localSheetId="15">PKA!#REF!</definedName>
    <definedName name="外部資料_381" localSheetId="16">PKB!#REF!</definedName>
    <definedName name="外部資料_381" localSheetId="17">PKC!#REF!</definedName>
    <definedName name="外部資料_381" localSheetId="4">評比系統!$T$1:$T$3</definedName>
    <definedName name="外部資料_3810" localSheetId="2">紅綠燈!#REF!</definedName>
    <definedName name="外部資料_3811" localSheetId="2">紅綠燈!#REF!</definedName>
    <definedName name="外部資料_3813" localSheetId="2">紅綠燈!#REF!</definedName>
    <definedName name="外部資料_3814" localSheetId="2">紅綠燈!#REF!</definedName>
    <definedName name="外部資料_3815" localSheetId="2">紅綠燈!#REF!</definedName>
    <definedName name="外部資料_3817" localSheetId="2">紅綠燈!#REF!</definedName>
    <definedName name="外部資料_3818" localSheetId="2">紅綠燈!#REF!</definedName>
    <definedName name="外部資料_3819" localSheetId="2">紅綠燈!#REF!</definedName>
    <definedName name="外部資料_382" localSheetId="15">PKA!#REF!</definedName>
    <definedName name="外部資料_382" localSheetId="16">PKB!#REF!</definedName>
    <definedName name="外部資料_382" localSheetId="17">PKC!#REF!</definedName>
    <definedName name="外部資料_382" localSheetId="4">評比系統!$T$1:$T$3</definedName>
    <definedName name="外部資料_3821" localSheetId="2">紅綠燈!#REF!</definedName>
    <definedName name="外部資料_3822" localSheetId="2">紅綠燈!#REF!</definedName>
    <definedName name="外部資料_3823" localSheetId="2">紅綠燈!#REF!</definedName>
    <definedName name="外部資料_3825" localSheetId="2">紅綠燈!#REF!</definedName>
    <definedName name="外部資料_3826" localSheetId="2">紅綠燈!#REF!</definedName>
    <definedName name="外部資料_3827" localSheetId="2">紅綠燈!#REF!</definedName>
    <definedName name="外部資料_3829" localSheetId="2">紅綠燈!#REF!</definedName>
    <definedName name="外部資料_383" localSheetId="15">PKA!#REF!</definedName>
    <definedName name="外部資料_383" localSheetId="16">PKB!#REF!</definedName>
    <definedName name="外部資料_383" localSheetId="17">PKC!#REF!</definedName>
    <definedName name="外部資料_383" localSheetId="4">評比系統!$T$1:$T$3</definedName>
    <definedName name="外部資料_3830" localSheetId="2">紅綠燈!#REF!</definedName>
    <definedName name="外部資料_3831" localSheetId="2">紅綠燈!#REF!</definedName>
    <definedName name="外部資料_3833" localSheetId="2">紅綠燈!#REF!</definedName>
    <definedName name="外部資料_3834" localSheetId="2">紅綠燈!#REF!</definedName>
    <definedName name="外部資料_3836" localSheetId="2">紅綠燈!#REF!</definedName>
    <definedName name="外部資料_3837" localSheetId="2">紅綠燈!#REF!</definedName>
    <definedName name="外部資料_3838" localSheetId="2">紅綠燈!#REF!</definedName>
    <definedName name="外部資料_384" localSheetId="15">PKA!#REF!</definedName>
    <definedName name="外部資料_384" localSheetId="16">PKB!#REF!</definedName>
    <definedName name="外部資料_384" localSheetId="17">PKC!#REF!</definedName>
    <definedName name="外部資料_384" localSheetId="4">評比系統!$T$1:$T$3</definedName>
    <definedName name="外部資料_3840" localSheetId="2">紅綠燈!#REF!</definedName>
    <definedName name="外部資料_3841" localSheetId="2">紅綠燈!#REF!</definedName>
    <definedName name="外部資料_3842" localSheetId="2">紅綠燈!#REF!</definedName>
    <definedName name="外部資料_3844" localSheetId="2">紅綠燈!#REF!</definedName>
    <definedName name="外部資料_3845" localSheetId="2">紅綠燈!#REF!</definedName>
    <definedName name="外部資料_3846" localSheetId="2">紅綠燈!#REF!</definedName>
    <definedName name="外部資料_3848" localSheetId="2">紅綠燈!#REF!</definedName>
    <definedName name="外部資料_3849" localSheetId="2">紅綠燈!#REF!</definedName>
    <definedName name="外部資料_385" localSheetId="15">PKA!#REF!</definedName>
    <definedName name="外部資料_385" localSheetId="16">PKB!#REF!</definedName>
    <definedName name="外部資料_385" localSheetId="17">PKC!#REF!</definedName>
    <definedName name="外部資料_385" localSheetId="4">評比系統!$T$1:$T$3</definedName>
    <definedName name="外部資料_3850" localSheetId="2">紅綠燈!#REF!</definedName>
    <definedName name="外部資料_3852" localSheetId="2">紅綠燈!#REF!</definedName>
    <definedName name="外部資料_3853" localSheetId="2">紅綠燈!#REF!</definedName>
    <definedName name="外部資料_3854" localSheetId="2">紅綠燈!#REF!</definedName>
    <definedName name="外部資料_3856" localSheetId="2">紅綠燈!#REF!</definedName>
    <definedName name="外部資料_3857" localSheetId="2">紅綠燈!#REF!</definedName>
    <definedName name="外部資料_3858" localSheetId="2">紅綠燈!#REF!</definedName>
    <definedName name="外部資料_386" localSheetId="15">PKA!#REF!</definedName>
    <definedName name="外部資料_386" localSheetId="16">PKB!#REF!</definedName>
    <definedName name="外部資料_386" localSheetId="17">PKC!#REF!</definedName>
    <definedName name="外部資料_386" localSheetId="4">評比系統!$T$1:$T$3</definedName>
    <definedName name="外部資料_3860" localSheetId="2">紅綠燈!#REF!</definedName>
    <definedName name="外部資料_3861" localSheetId="2">紅綠燈!#REF!</definedName>
    <definedName name="外部資料_3862" localSheetId="2">紅綠燈!#REF!</definedName>
    <definedName name="外部資料_3864" localSheetId="2">紅綠燈!#REF!</definedName>
    <definedName name="外部資料_3865" localSheetId="2">紅綠燈!#REF!</definedName>
    <definedName name="外部資料_3866" localSheetId="2">紅綠燈!#REF!</definedName>
    <definedName name="外部資料_3868" localSheetId="2">紅綠燈!#REF!</definedName>
    <definedName name="外部資料_3869" localSheetId="2">紅綠燈!#REF!</definedName>
    <definedName name="外部資料_387" localSheetId="15">PKA!#REF!</definedName>
    <definedName name="外部資料_387" localSheetId="16">PKB!#REF!</definedName>
    <definedName name="外部資料_387" localSheetId="17">PKC!#REF!</definedName>
    <definedName name="外部資料_387" localSheetId="4">評比系統!$T$1:$T$3</definedName>
    <definedName name="外部資料_3870" localSheetId="2">紅綠燈!#REF!</definedName>
    <definedName name="外部資料_3872" localSheetId="2">紅綠燈!#REF!</definedName>
    <definedName name="外部資料_3873" localSheetId="2">紅綠燈!#REF!</definedName>
    <definedName name="外部資料_3874" localSheetId="2">紅綠燈!#REF!</definedName>
    <definedName name="外部資料_3876" localSheetId="2">紅綠燈!#REF!</definedName>
    <definedName name="外部資料_3877" localSheetId="2">紅綠燈!#REF!</definedName>
    <definedName name="外部資料_3878" localSheetId="2">紅綠燈!#REF!</definedName>
    <definedName name="外部資料_388" localSheetId="15">PKA!#REF!</definedName>
    <definedName name="外部資料_388" localSheetId="16">PKB!#REF!</definedName>
    <definedName name="外部資料_388" localSheetId="17">PKC!#REF!</definedName>
    <definedName name="外部資料_388" localSheetId="4">評比系統!$T$1:$T$3</definedName>
    <definedName name="外部資料_3880" localSheetId="2">紅綠燈!#REF!</definedName>
    <definedName name="外部資料_3881" localSheetId="2">紅綠燈!#REF!</definedName>
    <definedName name="外部資料_3882" localSheetId="2">紅綠燈!#REF!</definedName>
    <definedName name="外部資料_3884" localSheetId="2">紅綠燈!#REF!</definedName>
    <definedName name="外部資料_3885" localSheetId="2">紅綠燈!#REF!</definedName>
    <definedName name="外部資料_3886" localSheetId="2">紅綠燈!#REF!</definedName>
    <definedName name="外部資料_3888" localSheetId="2">紅綠燈!#REF!</definedName>
    <definedName name="外部資料_3889" localSheetId="2">紅綠燈!#REF!</definedName>
    <definedName name="外部資料_389" localSheetId="15">PKA!#REF!</definedName>
    <definedName name="外部資料_389" localSheetId="16">PKB!#REF!</definedName>
    <definedName name="外部資料_389" localSheetId="17">PKC!#REF!</definedName>
    <definedName name="外部資料_389" localSheetId="4">評比系統!$T$1:$T$3</definedName>
    <definedName name="外部資料_3890" localSheetId="2">紅綠燈!#REF!</definedName>
    <definedName name="外部資料_3892" localSheetId="2">紅綠燈!#REF!</definedName>
    <definedName name="外部資料_3893" localSheetId="2">紅綠燈!#REF!</definedName>
    <definedName name="外部資料_3894" localSheetId="2">紅綠燈!#REF!</definedName>
    <definedName name="外部資料_3896" localSheetId="2">紅綠燈!#REF!</definedName>
    <definedName name="外部資料_3897" localSheetId="2">紅綠燈!#REF!</definedName>
    <definedName name="外部資料_3898" localSheetId="2">紅綠燈!#REF!</definedName>
    <definedName name="外部資料_39" localSheetId="15">PKA!#REF!</definedName>
    <definedName name="外部資料_39" localSheetId="16">PKB!#REF!</definedName>
    <definedName name="外部資料_39" localSheetId="17">PKC!#REF!</definedName>
    <definedName name="外部資料_39" localSheetId="8">PSR!#REF!</definedName>
    <definedName name="外部資料_39" localSheetId="2">紅綠燈!#REF!</definedName>
    <definedName name="外部資料_39" localSheetId="4">評比系統!#REF!</definedName>
    <definedName name="外部資料_39" localSheetId="18">福邦!#REF!</definedName>
    <definedName name="外部資料_39" localSheetId="5">篩股系統!#REF!</definedName>
    <definedName name="外部資料_39" localSheetId="7">營收搶先報!#REF!</definedName>
    <definedName name="外部資料_390" localSheetId="15">PKA!#REF!</definedName>
    <definedName name="外部資料_390" localSheetId="16">PKB!#REF!</definedName>
    <definedName name="外部資料_390" localSheetId="17">PKC!#REF!</definedName>
    <definedName name="外部資料_390" localSheetId="4">評比系統!$T$1:$T$3</definedName>
    <definedName name="外部資料_3900" localSheetId="2">紅綠燈!#REF!</definedName>
    <definedName name="外部資料_3901" localSheetId="2">紅綠燈!#REF!</definedName>
    <definedName name="外部資料_3902" localSheetId="2">紅綠燈!#REF!</definedName>
    <definedName name="外部資料_3904" localSheetId="2">紅綠燈!#REF!</definedName>
    <definedName name="外部資料_3905" localSheetId="2">紅綠燈!#REF!</definedName>
    <definedName name="外部資料_3906" localSheetId="2">紅綠燈!#REF!</definedName>
    <definedName name="外部資料_3908" localSheetId="2">紅綠燈!#REF!</definedName>
    <definedName name="外部資料_3909" localSheetId="2">紅綠燈!#REF!</definedName>
    <definedName name="外部資料_391" localSheetId="15">PKA!#REF!</definedName>
    <definedName name="外部資料_391" localSheetId="16">PKB!#REF!</definedName>
    <definedName name="外部資料_391" localSheetId="17">PKC!#REF!</definedName>
    <definedName name="外部資料_391" localSheetId="4">評比系統!$T$1:$T$3</definedName>
    <definedName name="外部資料_3910" localSheetId="2">紅綠燈!#REF!</definedName>
    <definedName name="外部資料_3912" localSheetId="2">紅綠燈!#REF!</definedName>
    <definedName name="外部資料_3913" localSheetId="2">紅綠燈!#REF!</definedName>
    <definedName name="外部資料_3914" localSheetId="2">紅綠燈!#REF!</definedName>
    <definedName name="外部資料_3916" localSheetId="2">紅綠燈!#REF!</definedName>
    <definedName name="外部資料_3917" localSheetId="2">紅綠燈!#REF!</definedName>
    <definedName name="外部資料_3918" localSheetId="2">紅綠燈!#REF!</definedName>
    <definedName name="外部資料_392" localSheetId="15">PKA!#REF!</definedName>
    <definedName name="外部資料_392" localSheetId="16">PKB!#REF!</definedName>
    <definedName name="外部資料_392" localSheetId="17">PKC!#REF!</definedName>
    <definedName name="外部資料_392" localSheetId="4">評比系統!$T$1:$T$3</definedName>
    <definedName name="外部資料_3920" localSheetId="2">紅綠燈!#REF!</definedName>
    <definedName name="外部資料_3921" localSheetId="2">紅綠燈!#REF!</definedName>
    <definedName name="外部資料_3922" localSheetId="2">紅綠燈!#REF!</definedName>
    <definedName name="外部資料_3924" localSheetId="2">紅綠燈!#REF!</definedName>
    <definedName name="外部資料_3925" localSheetId="2">紅綠燈!#REF!</definedName>
    <definedName name="外部資料_3926" localSheetId="2">紅綠燈!#REF!</definedName>
    <definedName name="外部資料_3928" localSheetId="2">紅綠燈!#REF!</definedName>
    <definedName name="外部資料_3929" localSheetId="2">紅綠燈!#REF!</definedName>
    <definedName name="外部資料_393" localSheetId="15">PKA!#REF!</definedName>
    <definedName name="外部資料_393" localSheetId="16">PKB!#REF!</definedName>
    <definedName name="外部資料_393" localSheetId="17">PKC!#REF!</definedName>
    <definedName name="外部資料_393" localSheetId="4">評比系統!$T$1:$T$3</definedName>
    <definedName name="外部資料_3930" localSheetId="2">紅綠燈!#REF!</definedName>
    <definedName name="外部資料_3932" localSheetId="2">紅綠燈!#REF!</definedName>
    <definedName name="外部資料_3933" localSheetId="2">紅綠燈!#REF!</definedName>
    <definedName name="外部資料_3934" localSheetId="2">紅綠燈!#REF!</definedName>
    <definedName name="外部資料_3936" localSheetId="2">紅綠燈!#REF!</definedName>
    <definedName name="外部資料_3937" localSheetId="2">紅綠燈!#REF!</definedName>
    <definedName name="外部資料_3938" localSheetId="2">紅綠燈!#REF!</definedName>
    <definedName name="外部資料_394" localSheetId="15">PKA!#REF!</definedName>
    <definedName name="外部資料_394" localSheetId="16">PKB!#REF!</definedName>
    <definedName name="外部資料_394" localSheetId="17">PKC!#REF!</definedName>
    <definedName name="外部資料_394" localSheetId="4">評比系統!$T$1:$T$3</definedName>
    <definedName name="外部資料_3940" localSheetId="2">紅綠燈!#REF!</definedName>
    <definedName name="外部資料_3941" localSheetId="2">紅綠燈!#REF!</definedName>
    <definedName name="外部資料_3942" localSheetId="2">紅綠燈!#REF!</definedName>
    <definedName name="外部資料_3944" localSheetId="2">紅綠燈!#REF!</definedName>
    <definedName name="外部資料_3945" localSheetId="2">紅綠燈!#REF!</definedName>
    <definedName name="外部資料_3946" localSheetId="2">紅綠燈!#REF!</definedName>
    <definedName name="外部資料_3948" localSheetId="2">紅綠燈!#REF!</definedName>
    <definedName name="外部資料_3949" localSheetId="2">紅綠燈!#REF!</definedName>
    <definedName name="外部資料_395" localSheetId="15">PKA!#REF!</definedName>
    <definedName name="外部資料_395" localSheetId="16">PKB!#REF!</definedName>
    <definedName name="外部資料_395" localSheetId="17">PKC!#REF!</definedName>
    <definedName name="外部資料_395" localSheetId="4">評比系統!$T$1:$T$3</definedName>
    <definedName name="外部資料_3950" localSheetId="2">紅綠燈!#REF!</definedName>
    <definedName name="外部資料_3952" localSheetId="2">紅綠燈!#REF!</definedName>
    <definedName name="外部資料_3953" localSheetId="2">紅綠燈!#REF!</definedName>
    <definedName name="外部資料_3954" localSheetId="2">紅綠燈!#REF!</definedName>
    <definedName name="外部資料_3956" localSheetId="2">紅綠燈!#REF!</definedName>
    <definedName name="外部資料_3957" localSheetId="2">紅綠燈!#REF!</definedName>
    <definedName name="外部資料_3958" localSheetId="2">紅綠燈!#REF!</definedName>
    <definedName name="外部資料_396" localSheetId="15">PKA!#REF!</definedName>
    <definedName name="外部資料_396" localSheetId="16">PKB!#REF!</definedName>
    <definedName name="外部資料_396" localSheetId="17">PKC!#REF!</definedName>
    <definedName name="外部資料_396" localSheetId="4">評比系統!$T$1:$T$3</definedName>
    <definedName name="外部資料_3960" localSheetId="2">紅綠燈!#REF!</definedName>
    <definedName name="外部資料_3961" localSheetId="2">紅綠燈!#REF!</definedName>
    <definedName name="外部資料_3962" localSheetId="2">紅綠燈!#REF!</definedName>
    <definedName name="外部資料_3964" localSheetId="2">紅綠燈!#REF!</definedName>
    <definedName name="外部資料_3965" localSheetId="2">紅綠燈!#REF!</definedName>
    <definedName name="外部資料_3966" localSheetId="2">紅綠燈!#REF!</definedName>
    <definedName name="外部資料_3968" localSheetId="2">紅綠燈!#REF!</definedName>
    <definedName name="外部資料_3969" localSheetId="2">紅綠燈!#REF!</definedName>
    <definedName name="外部資料_397" localSheetId="15">PKA!#REF!</definedName>
    <definedName name="外部資料_397" localSheetId="16">PKB!#REF!</definedName>
    <definedName name="外部資料_397" localSheetId="17">PKC!#REF!</definedName>
    <definedName name="外部資料_397" localSheetId="4">評比系統!$T$1:$T$3</definedName>
    <definedName name="外部資料_3970" localSheetId="2">紅綠燈!#REF!</definedName>
    <definedName name="外部資料_3972" localSheetId="2">紅綠燈!#REF!</definedName>
    <definedName name="外部資料_3973" localSheetId="2">紅綠燈!#REF!</definedName>
    <definedName name="外部資料_3974" localSheetId="2">紅綠燈!#REF!</definedName>
    <definedName name="外部資料_3976" localSheetId="2">紅綠燈!#REF!</definedName>
    <definedName name="外部資料_3977" localSheetId="2">紅綠燈!#REF!</definedName>
    <definedName name="外部資料_3978" localSheetId="2">紅綠燈!#REF!</definedName>
    <definedName name="外部資料_398" localSheetId="15">PKA!#REF!</definedName>
    <definedName name="外部資料_398" localSheetId="16">PKB!#REF!</definedName>
    <definedName name="外部資料_398" localSheetId="17">PKC!#REF!</definedName>
    <definedName name="外部資料_398" localSheetId="4">評比系統!$T$1:$T$3</definedName>
    <definedName name="外部資料_3980" localSheetId="2">紅綠燈!#REF!</definedName>
    <definedName name="外部資料_3981" localSheetId="2">紅綠燈!#REF!</definedName>
    <definedName name="外部資料_3982" localSheetId="2">紅綠燈!#REF!</definedName>
    <definedName name="外部資料_3984" localSheetId="2">紅綠燈!#REF!</definedName>
    <definedName name="外部資料_3985" localSheetId="2">紅綠燈!#REF!</definedName>
    <definedName name="外部資料_3986" localSheetId="2">紅綠燈!#REF!</definedName>
    <definedName name="外部資料_3988" localSheetId="2">紅綠燈!#REF!</definedName>
    <definedName name="外部資料_3989" localSheetId="2">紅綠燈!#REF!</definedName>
    <definedName name="外部資料_399" localSheetId="15">PKA!#REF!</definedName>
    <definedName name="外部資料_399" localSheetId="16">PKB!#REF!</definedName>
    <definedName name="外部資料_399" localSheetId="17">PKC!#REF!</definedName>
    <definedName name="外部資料_399" localSheetId="4">評比系統!$T$1:$T$3</definedName>
    <definedName name="外部資料_3990" localSheetId="2">紅綠燈!#REF!</definedName>
    <definedName name="外部資料_3992" localSheetId="2">紅綠燈!#REF!</definedName>
    <definedName name="外部資料_3993" localSheetId="2">紅綠燈!#REF!</definedName>
    <definedName name="外部資料_3994" localSheetId="2">紅綠燈!#REF!</definedName>
    <definedName name="外部資料_3996" localSheetId="2">紅綠燈!#REF!</definedName>
    <definedName name="外部資料_3997" localSheetId="2">紅綠燈!#REF!</definedName>
    <definedName name="外部資料_3998" localSheetId="2">紅綠燈!#REF!</definedName>
    <definedName name="外部資料_4" localSheetId="15">PKA!#REF!</definedName>
    <definedName name="外部資料_4" localSheetId="16">PKB!#REF!</definedName>
    <definedName name="外部資料_4" localSheetId="17">PKC!#REF!</definedName>
    <definedName name="外部資料_4" localSheetId="8">PSR!#REF!</definedName>
    <definedName name="外部資料_4" localSheetId="2">紅綠燈!#REF!</definedName>
    <definedName name="外部資料_4" localSheetId="4">評比系統!#REF!</definedName>
    <definedName name="外部資料_4" localSheetId="18">福邦!#REF!</definedName>
    <definedName name="外部資料_4" localSheetId="5">篩股系統!#REF!</definedName>
    <definedName name="外部資料_4" localSheetId="7">營收搶先報!#REF!</definedName>
    <definedName name="外部資料_40" localSheetId="15">PKA!#REF!</definedName>
    <definedName name="外部資料_40" localSheetId="16">PKB!#REF!</definedName>
    <definedName name="外部資料_40" localSheetId="17">PKC!#REF!</definedName>
    <definedName name="外部資料_40" localSheetId="8">PSR!#REF!</definedName>
    <definedName name="外部資料_40" localSheetId="2">紅綠燈!#REF!</definedName>
    <definedName name="外部資料_40" localSheetId="4">評比系統!#REF!</definedName>
    <definedName name="外部資料_40" localSheetId="18">福邦!#REF!</definedName>
    <definedName name="外部資料_40" localSheetId="7">營收搶先報!#REF!</definedName>
    <definedName name="外部資料_400" localSheetId="15">PKA!#REF!</definedName>
    <definedName name="外部資料_400" localSheetId="16">PKB!#REF!</definedName>
    <definedName name="外部資料_400" localSheetId="17">PKC!#REF!</definedName>
    <definedName name="外部資料_400" localSheetId="4">評比系統!$T$1:$T$3</definedName>
    <definedName name="外部資料_4000" localSheetId="2">紅綠燈!#REF!</definedName>
    <definedName name="外部資料_4001" localSheetId="2">紅綠燈!#REF!</definedName>
    <definedName name="外部資料_4003" localSheetId="2">紅綠燈!#REF!</definedName>
    <definedName name="外部資料_4004" localSheetId="2">紅綠燈!#REF!</definedName>
    <definedName name="外部資料_4005" localSheetId="2">紅綠燈!#REF!</definedName>
    <definedName name="外部資料_4007" localSheetId="2">紅綠燈!#REF!</definedName>
    <definedName name="外部資料_4008" localSheetId="2">紅綠燈!#REF!</definedName>
    <definedName name="外部資料_4009" localSheetId="2">紅綠燈!#REF!</definedName>
    <definedName name="外部資料_401" localSheetId="15">PKA!#REF!</definedName>
    <definedName name="外部資料_401" localSheetId="16">PKB!#REF!</definedName>
    <definedName name="外部資料_401" localSheetId="17">PKC!#REF!</definedName>
    <definedName name="外部資料_401" localSheetId="4">評比系統!$T$1:$T$3</definedName>
    <definedName name="外部資料_4011" localSheetId="2">紅綠燈!#REF!</definedName>
    <definedName name="外部資料_4012" localSheetId="2">紅綠燈!#REF!</definedName>
    <definedName name="外部資料_4013" localSheetId="2">紅綠燈!#REF!</definedName>
    <definedName name="外部資料_4015" localSheetId="2">紅綠燈!#REF!</definedName>
    <definedName name="外部資料_4016" localSheetId="2">紅綠燈!#REF!</definedName>
    <definedName name="外部資料_4017" localSheetId="2">紅綠燈!#REF!</definedName>
    <definedName name="外部資料_4019" localSheetId="2">紅綠燈!#REF!</definedName>
    <definedName name="外部資料_402" localSheetId="15">PKA!#REF!</definedName>
    <definedName name="外部資料_402" localSheetId="16">PKB!#REF!</definedName>
    <definedName name="外部資料_402" localSheetId="17">PKC!#REF!</definedName>
    <definedName name="外部資料_402" localSheetId="4">評比系統!$T$1:$T$3</definedName>
    <definedName name="外部資料_4020" localSheetId="2">紅綠燈!#REF!</definedName>
    <definedName name="外部資料_4021" localSheetId="2">紅綠燈!#REF!</definedName>
    <definedName name="外部資料_4023" localSheetId="2">紅綠燈!#REF!</definedName>
    <definedName name="外部資料_4024" localSheetId="2">紅綠燈!#REF!</definedName>
    <definedName name="外部資料_4025" localSheetId="2">紅綠燈!#REF!</definedName>
    <definedName name="外部資料_4027" localSheetId="2">紅綠燈!#REF!</definedName>
    <definedName name="外部資料_4028" localSheetId="2">紅綠燈!#REF!</definedName>
    <definedName name="外部資料_4029" localSheetId="2">紅綠燈!#REF!</definedName>
    <definedName name="外部資料_403" localSheetId="15">PKA!#REF!</definedName>
    <definedName name="外部資料_403" localSheetId="16">PKB!#REF!</definedName>
    <definedName name="外部資料_403" localSheetId="17">PKC!#REF!</definedName>
    <definedName name="外部資料_403" localSheetId="4">評比系統!$T$1:$T$3</definedName>
    <definedName name="外部資料_4031" localSheetId="2">紅綠燈!#REF!</definedName>
    <definedName name="外部資料_4032" localSheetId="2">紅綠燈!#REF!</definedName>
    <definedName name="外部資料_4033" localSheetId="2">紅綠燈!#REF!</definedName>
    <definedName name="外部資料_4035" localSheetId="2">紅綠燈!#REF!</definedName>
    <definedName name="外部資料_4036" localSheetId="2">紅綠燈!#REF!</definedName>
    <definedName name="外部資料_4037" localSheetId="2">紅綠燈!#REF!</definedName>
    <definedName name="外部資料_4039" localSheetId="2">紅綠燈!#REF!</definedName>
    <definedName name="外部資料_404" localSheetId="15">PKA!#REF!</definedName>
    <definedName name="外部資料_404" localSheetId="16">PKB!#REF!</definedName>
    <definedName name="外部資料_404" localSheetId="17">PKC!#REF!</definedName>
    <definedName name="外部資料_404" localSheetId="4">評比系統!$T$1:$T$3</definedName>
    <definedName name="外部資料_4040" localSheetId="2">紅綠燈!#REF!</definedName>
    <definedName name="外部資料_4041" localSheetId="2">紅綠燈!#REF!</definedName>
    <definedName name="外部資料_4043" localSheetId="2">紅綠燈!#REF!</definedName>
    <definedName name="外部資料_4044" localSheetId="2">紅綠燈!#REF!</definedName>
    <definedName name="外部資料_4045" localSheetId="2">紅綠燈!#REF!</definedName>
    <definedName name="外部資料_4047" localSheetId="2">紅綠燈!#REF!</definedName>
    <definedName name="外部資料_4048" localSheetId="2">紅綠燈!#REF!</definedName>
    <definedName name="外部資料_4049" localSheetId="2">紅綠燈!#REF!</definedName>
    <definedName name="外部資料_405" localSheetId="15">PKA!#REF!</definedName>
    <definedName name="外部資料_405" localSheetId="16">PKB!#REF!</definedName>
    <definedName name="外部資料_405" localSheetId="17">PKC!#REF!</definedName>
    <definedName name="外部資料_405" localSheetId="4">評比系統!$T$1:$T$3</definedName>
    <definedName name="外部資料_4051" localSheetId="2">紅綠燈!#REF!</definedName>
    <definedName name="外部資料_4052" localSheetId="2">紅綠燈!#REF!</definedName>
    <definedName name="外部資料_4053" localSheetId="2">紅綠燈!#REF!</definedName>
    <definedName name="外部資料_4055" localSheetId="2">紅綠燈!#REF!</definedName>
    <definedName name="外部資料_4056" localSheetId="2">紅綠燈!#REF!</definedName>
    <definedName name="外部資料_4057" localSheetId="2">紅綠燈!#REF!</definedName>
    <definedName name="外部資料_4059" localSheetId="2">紅綠燈!#REF!</definedName>
    <definedName name="外部資料_406" localSheetId="15">PKA!#REF!</definedName>
    <definedName name="外部資料_406" localSheetId="16">PKB!#REF!</definedName>
    <definedName name="外部資料_406" localSheetId="17">PKC!#REF!</definedName>
    <definedName name="外部資料_406" localSheetId="4">評比系統!$T$1:$T$3</definedName>
    <definedName name="外部資料_4060" localSheetId="2">紅綠燈!#REF!</definedName>
    <definedName name="外部資料_4061" localSheetId="2">紅綠燈!#REF!</definedName>
    <definedName name="外部資料_4063" localSheetId="2">紅綠燈!#REF!</definedName>
    <definedName name="外部資料_4064" localSheetId="2">紅綠燈!#REF!</definedName>
    <definedName name="外部資料_4065" localSheetId="2">紅綠燈!#REF!</definedName>
    <definedName name="外部資料_4067" localSheetId="2">紅綠燈!#REF!</definedName>
    <definedName name="外部資料_4068" localSheetId="2">紅綠燈!#REF!</definedName>
    <definedName name="外部資料_4069" localSheetId="2">紅綠燈!#REF!</definedName>
    <definedName name="外部資料_407" localSheetId="15">PKA!#REF!</definedName>
    <definedName name="外部資料_407" localSheetId="16">PKB!#REF!</definedName>
    <definedName name="外部資料_407" localSheetId="17">PKC!#REF!</definedName>
    <definedName name="外部資料_407" localSheetId="4">評比系統!$T$1:$T$3</definedName>
    <definedName name="外部資料_4071" localSheetId="2">紅綠燈!#REF!</definedName>
    <definedName name="外部資料_4072" localSheetId="2">紅綠燈!#REF!</definedName>
    <definedName name="外部資料_4073" localSheetId="2">紅綠燈!#REF!</definedName>
    <definedName name="外部資料_4075" localSheetId="2">紅綠燈!#REF!</definedName>
    <definedName name="外部資料_4076" localSheetId="2">紅綠燈!#REF!</definedName>
    <definedName name="外部資料_4077" localSheetId="2">紅綠燈!#REF!</definedName>
    <definedName name="外部資料_4079" localSheetId="2">紅綠燈!#REF!</definedName>
    <definedName name="外部資料_408" localSheetId="15">PKA!#REF!</definedName>
    <definedName name="外部資料_408" localSheetId="16">PKB!#REF!</definedName>
    <definedName name="外部資料_408" localSheetId="17">PKC!#REF!</definedName>
    <definedName name="外部資料_408" localSheetId="4">評比系統!$T$1:$T$3</definedName>
    <definedName name="外部資料_4080" localSheetId="2">紅綠燈!#REF!</definedName>
    <definedName name="外部資料_4081" localSheetId="2">紅綠燈!#REF!</definedName>
    <definedName name="外部資料_4083" localSheetId="2">紅綠燈!#REF!</definedName>
    <definedName name="外部資料_4084" localSheetId="2">紅綠燈!#REF!</definedName>
    <definedName name="外部資料_4085" localSheetId="2">紅綠燈!#REF!</definedName>
    <definedName name="外部資料_4087" localSheetId="2">紅綠燈!#REF!</definedName>
    <definedName name="外部資料_4088" localSheetId="2">紅綠燈!#REF!</definedName>
    <definedName name="外部資料_4089" localSheetId="2">紅綠燈!#REF!</definedName>
    <definedName name="外部資料_409" localSheetId="15">PKA!#REF!</definedName>
    <definedName name="外部資料_409" localSheetId="16">PKB!#REF!</definedName>
    <definedName name="外部資料_409" localSheetId="17">PKC!#REF!</definedName>
    <definedName name="外部資料_409" localSheetId="4">評比系統!$T$1:$T$3</definedName>
    <definedName name="外部資料_4091" localSheetId="2">紅綠燈!#REF!</definedName>
    <definedName name="外部資料_4092" localSheetId="2">紅綠燈!#REF!</definedName>
    <definedName name="外部資料_4093" localSheetId="2">紅綠燈!#REF!</definedName>
    <definedName name="外部資料_4095" localSheetId="2">紅綠燈!#REF!</definedName>
    <definedName name="外部資料_4096" localSheetId="2">紅綠燈!#REF!</definedName>
    <definedName name="外部資料_4097" localSheetId="2">紅綠燈!#REF!</definedName>
    <definedName name="外部資料_4099" localSheetId="2">紅綠燈!#REF!</definedName>
    <definedName name="外部資料_41" localSheetId="15">PKA!#REF!</definedName>
    <definedName name="外部資料_41" localSheetId="16">PKB!#REF!</definedName>
    <definedName name="外部資料_41" localSheetId="17">PKC!#REF!</definedName>
    <definedName name="外部資料_41" localSheetId="8">PSR!#REF!</definedName>
    <definedName name="外部資料_41" localSheetId="2">紅綠燈!#REF!</definedName>
    <definedName name="外部資料_41" localSheetId="4">評比系統!#REF!</definedName>
    <definedName name="外部資料_41" localSheetId="18">福邦!#REF!</definedName>
    <definedName name="外部資料_41" localSheetId="5">篩股系統!#REF!</definedName>
    <definedName name="外部資料_41" localSheetId="7">營收搶先報!#REF!</definedName>
    <definedName name="外部資料_410" localSheetId="15">PKA!#REF!</definedName>
    <definedName name="外部資料_410" localSheetId="16">PKB!#REF!</definedName>
    <definedName name="外部資料_410" localSheetId="17">PKC!#REF!</definedName>
    <definedName name="外部資料_410" localSheetId="4">評比系統!$T$1:$T$3</definedName>
    <definedName name="外部資料_4100" localSheetId="2">紅綠燈!#REF!</definedName>
    <definedName name="外部資料_4101" localSheetId="2">紅綠燈!#REF!</definedName>
    <definedName name="外部資料_4103" localSheetId="2">紅綠燈!#REF!</definedName>
    <definedName name="外部資料_4104" localSheetId="2">紅綠燈!#REF!</definedName>
    <definedName name="外部資料_4105" localSheetId="2">紅綠燈!#REF!</definedName>
    <definedName name="外部資料_4107" localSheetId="2">紅綠燈!#REF!</definedName>
    <definedName name="外部資料_4108" localSheetId="2">紅綠燈!#REF!</definedName>
    <definedName name="外部資料_4109" localSheetId="2">紅綠燈!#REF!</definedName>
    <definedName name="外部資料_411" localSheetId="15">PKA!#REF!</definedName>
    <definedName name="外部資料_411" localSheetId="16">PKB!#REF!</definedName>
    <definedName name="外部資料_411" localSheetId="17">PKC!#REF!</definedName>
    <definedName name="外部資料_411" localSheetId="4">評比系統!$T$1:$T$3</definedName>
    <definedName name="外部資料_4111" localSheetId="2">紅綠燈!#REF!</definedName>
    <definedName name="外部資料_4112" localSheetId="2">紅綠燈!#REF!</definedName>
    <definedName name="外部資料_4114" localSheetId="2">紅綠燈!#REF!</definedName>
    <definedName name="外部資料_4115" localSheetId="2">紅綠燈!#REF!</definedName>
    <definedName name="外部資料_4117" localSheetId="2">紅綠燈!#REF!</definedName>
    <definedName name="外部資料_4118" localSheetId="2">紅綠燈!#REF!</definedName>
    <definedName name="外部資料_4119" localSheetId="2">紅綠燈!#REF!</definedName>
    <definedName name="外部資料_412" localSheetId="15">PKA!#REF!</definedName>
    <definedName name="外部資料_412" localSheetId="16">PKB!#REF!</definedName>
    <definedName name="外部資料_412" localSheetId="17">PKC!#REF!</definedName>
    <definedName name="外部資料_412" localSheetId="4">評比系統!$T$1:$T$3</definedName>
    <definedName name="外部資料_4121" localSheetId="2">紅綠燈!#REF!</definedName>
    <definedName name="外部資料_4122" localSheetId="2">紅綠燈!#REF!</definedName>
    <definedName name="外部資料_4123" localSheetId="2">紅綠燈!#REF!</definedName>
    <definedName name="外部資料_4125" localSheetId="2">紅綠燈!#REF!</definedName>
    <definedName name="外部資料_4126" localSheetId="2">紅綠燈!#REF!</definedName>
    <definedName name="外部資料_4127" localSheetId="2">紅綠燈!#REF!</definedName>
    <definedName name="外部資料_4129" localSheetId="2">紅綠燈!#REF!</definedName>
    <definedName name="外部資料_413" localSheetId="15">PKA!#REF!</definedName>
    <definedName name="外部資料_413" localSheetId="16">PKB!#REF!</definedName>
    <definedName name="外部資料_413" localSheetId="17">PKC!#REF!</definedName>
    <definedName name="外部資料_413" localSheetId="4">評比系統!$T$1:$T$3</definedName>
    <definedName name="外部資料_4130" localSheetId="2">紅綠燈!#REF!</definedName>
    <definedName name="外部資料_4131" localSheetId="2">紅綠燈!#REF!</definedName>
    <definedName name="外部資料_4133" localSheetId="2">紅綠燈!#REF!</definedName>
    <definedName name="外部資料_4134" localSheetId="2">紅綠燈!#REF!</definedName>
    <definedName name="外部資料_4135" localSheetId="2">紅綠燈!#REF!</definedName>
    <definedName name="外部資料_4137" localSheetId="2">紅綠燈!#REF!</definedName>
    <definedName name="外部資料_4138" localSheetId="2">紅綠燈!#REF!</definedName>
    <definedName name="外部資料_4139" localSheetId="2">紅綠燈!#REF!</definedName>
    <definedName name="外部資料_414" localSheetId="15">PKA!#REF!</definedName>
    <definedName name="外部資料_414" localSheetId="16">PKB!#REF!</definedName>
    <definedName name="外部資料_414" localSheetId="17">PKC!#REF!</definedName>
    <definedName name="外部資料_414" localSheetId="4">評比系統!$T$1:$T$3</definedName>
    <definedName name="外部資料_4141" localSheetId="2">紅綠燈!#REF!</definedName>
    <definedName name="外部資料_4142" localSheetId="2">紅綠燈!#REF!</definedName>
    <definedName name="外部資料_4143" localSheetId="2">紅綠燈!#REF!</definedName>
    <definedName name="外部資料_4145" localSheetId="2">紅綠燈!#REF!</definedName>
    <definedName name="外部資料_4146" localSheetId="2">紅綠燈!#REF!</definedName>
    <definedName name="外部資料_4147" localSheetId="2">紅綠燈!#REF!</definedName>
    <definedName name="外部資料_4149" localSheetId="2">紅綠燈!#REF!</definedName>
    <definedName name="外部資料_415" localSheetId="15">PKA!#REF!</definedName>
    <definedName name="外部資料_415" localSheetId="16">PKB!#REF!</definedName>
    <definedName name="外部資料_415" localSheetId="17">PKC!#REF!</definedName>
    <definedName name="外部資料_415" localSheetId="4">評比系統!$T$1:$T$3</definedName>
    <definedName name="外部資料_4150" localSheetId="2">紅綠燈!#REF!</definedName>
    <definedName name="外部資料_4151" localSheetId="2">紅綠燈!#REF!</definedName>
    <definedName name="外部資料_4153" localSheetId="2">紅綠燈!#REF!</definedName>
    <definedName name="外部資料_4154" localSheetId="2">紅綠燈!#REF!</definedName>
    <definedName name="外部資料_4155" localSheetId="2">紅綠燈!#REF!</definedName>
    <definedName name="外部資料_4157" localSheetId="2">紅綠燈!#REF!</definedName>
    <definedName name="外部資料_4158" localSheetId="2">紅綠燈!#REF!</definedName>
    <definedName name="外部資料_4159" localSheetId="2">紅綠燈!#REF!</definedName>
    <definedName name="外部資料_416" localSheetId="15">PKA!#REF!</definedName>
    <definedName name="外部資料_416" localSheetId="16">PKB!#REF!</definedName>
    <definedName name="外部資料_416" localSheetId="17">PKC!#REF!</definedName>
    <definedName name="外部資料_416" localSheetId="4">評比系統!$T$1:$T$3</definedName>
    <definedName name="外部資料_4161" localSheetId="2">紅綠燈!#REF!</definedName>
    <definedName name="外部資料_4162" localSheetId="2">紅綠燈!#REF!</definedName>
    <definedName name="外部資料_4163" localSheetId="2">紅綠燈!#REF!</definedName>
    <definedName name="外部資料_4165" localSheetId="2">紅綠燈!#REF!</definedName>
    <definedName name="外部資料_4166" localSheetId="2">紅綠燈!#REF!</definedName>
    <definedName name="外部資料_4167" localSheetId="2">紅綠燈!#REF!</definedName>
    <definedName name="外部資料_4169" localSheetId="2">紅綠燈!#REF!</definedName>
    <definedName name="外部資料_417" localSheetId="15">PKA!#REF!</definedName>
    <definedName name="外部資料_417" localSheetId="16">PKB!#REF!</definedName>
    <definedName name="外部資料_417" localSheetId="17">PKC!#REF!</definedName>
    <definedName name="外部資料_417" localSheetId="4">評比系統!$T$1:$T$3</definedName>
    <definedName name="外部資料_4170" localSheetId="2">紅綠燈!#REF!</definedName>
    <definedName name="外部資料_4171" localSheetId="2">紅綠燈!#REF!</definedName>
    <definedName name="外部資料_4173" localSheetId="2">紅綠燈!#REF!</definedName>
    <definedName name="外部資料_4174" localSheetId="2">紅綠燈!#REF!</definedName>
    <definedName name="外部資料_4175" localSheetId="2">紅綠燈!#REF!</definedName>
    <definedName name="外部資料_4177" localSheetId="2">紅綠燈!#REF!</definedName>
    <definedName name="外部資料_4178" localSheetId="2">紅綠燈!#REF!</definedName>
    <definedName name="外部資料_4179" localSheetId="2">紅綠燈!#REF!</definedName>
    <definedName name="外部資料_418" localSheetId="15">PKA!#REF!</definedName>
    <definedName name="外部資料_418" localSheetId="16">PKB!#REF!</definedName>
    <definedName name="外部資料_418" localSheetId="17">PKC!#REF!</definedName>
    <definedName name="外部資料_418" localSheetId="4">評比系統!$T$1:$T$3</definedName>
    <definedName name="外部資料_4181" localSheetId="2">紅綠燈!#REF!</definedName>
    <definedName name="外部資料_4182" localSheetId="2">紅綠燈!#REF!</definedName>
    <definedName name="外部資料_4183" localSheetId="2">紅綠燈!#REF!</definedName>
    <definedName name="外部資料_4185" localSheetId="2">紅綠燈!#REF!</definedName>
    <definedName name="外部資料_4186" localSheetId="2">紅綠燈!#REF!</definedName>
    <definedName name="外部資料_4187" localSheetId="2">紅綠燈!#REF!</definedName>
    <definedName name="外部資料_4189" localSheetId="2">紅綠燈!#REF!</definedName>
    <definedName name="外部資料_419" localSheetId="15">PKA!#REF!</definedName>
    <definedName name="外部資料_419" localSheetId="16">PKB!#REF!</definedName>
    <definedName name="外部資料_419" localSheetId="17">PKC!#REF!</definedName>
    <definedName name="外部資料_419" localSheetId="4">評比系統!$T$1:$T$3</definedName>
    <definedName name="外部資料_4190" localSheetId="2">紅綠燈!#REF!</definedName>
    <definedName name="外部資料_4191" localSheetId="2">紅綠燈!#REF!</definedName>
    <definedName name="外部資料_4193" localSheetId="2">紅綠燈!#REF!</definedName>
    <definedName name="外部資料_4194" localSheetId="2">紅綠燈!#REF!</definedName>
    <definedName name="外部資料_4195" localSheetId="2">紅綠燈!#REF!</definedName>
    <definedName name="外部資料_4197" localSheetId="2">紅綠燈!#REF!</definedName>
    <definedName name="外部資料_4198" localSheetId="2">紅綠燈!#REF!</definedName>
    <definedName name="外部資料_4199" localSheetId="2">紅綠燈!#REF!</definedName>
    <definedName name="外部資料_42" localSheetId="15">PKA!#REF!</definedName>
    <definedName name="外部資料_42" localSheetId="16">PKB!#REF!</definedName>
    <definedName name="外部資料_42" localSheetId="17">PKC!#REF!</definedName>
    <definedName name="外部資料_42" localSheetId="8">PSR!#REF!</definedName>
    <definedName name="外部資料_42" localSheetId="2">紅綠燈!#REF!</definedName>
    <definedName name="外部資料_42" localSheetId="4">評比系統!#REF!</definedName>
    <definedName name="外部資料_42" localSheetId="18">福邦!#REF!</definedName>
    <definedName name="外部資料_42" localSheetId="5">篩股系統!#REF!</definedName>
    <definedName name="外部資料_42" localSheetId="7">營收搶先報!#REF!</definedName>
    <definedName name="外部資料_420" localSheetId="15">PKA!#REF!</definedName>
    <definedName name="外部資料_420" localSheetId="16">PKB!#REF!</definedName>
    <definedName name="外部資料_420" localSheetId="17">PKC!#REF!</definedName>
    <definedName name="外部資料_420" localSheetId="4">評比系統!$T$1:$T$3</definedName>
    <definedName name="外部資料_4201" localSheetId="2">紅綠燈!#REF!</definedName>
    <definedName name="外部資料_4202" localSheetId="2">紅綠燈!#REF!</definedName>
    <definedName name="外部資料_4203" localSheetId="2">紅綠燈!#REF!</definedName>
    <definedName name="外部資料_4205" localSheetId="2">紅綠燈!#REF!</definedName>
    <definedName name="外部資料_4206" localSheetId="2">紅綠燈!#REF!</definedName>
    <definedName name="外部資料_4207" localSheetId="2">紅綠燈!#REF!</definedName>
    <definedName name="外部資料_4209" localSheetId="2">紅綠燈!#REF!</definedName>
    <definedName name="外部資料_421" localSheetId="15">PKA!#REF!</definedName>
    <definedName name="外部資料_421" localSheetId="16">PKB!#REF!</definedName>
    <definedName name="外部資料_421" localSheetId="17">PKC!#REF!</definedName>
    <definedName name="外部資料_421" localSheetId="4">評比系統!$T$1:$T$3</definedName>
    <definedName name="外部資料_4210" localSheetId="2">紅綠燈!#REF!</definedName>
    <definedName name="外部資料_4211" localSheetId="2">紅綠燈!#REF!</definedName>
    <definedName name="外部資料_4213" localSheetId="2">紅綠燈!#REF!</definedName>
    <definedName name="外部資料_4214" localSheetId="2">紅綠燈!#REF!</definedName>
    <definedName name="外部資料_4215" localSheetId="2">紅綠燈!#REF!</definedName>
    <definedName name="外部資料_4217" localSheetId="2">紅綠燈!#REF!</definedName>
    <definedName name="外部資料_4218" localSheetId="2">紅綠燈!#REF!</definedName>
    <definedName name="外部資料_4219" localSheetId="2">紅綠燈!#REF!</definedName>
    <definedName name="外部資料_422" localSheetId="15">PKA!#REF!</definedName>
    <definedName name="外部資料_422" localSheetId="16">PKB!#REF!</definedName>
    <definedName name="外部資料_422" localSheetId="17">PKC!#REF!</definedName>
    <definedName name="外部資料_422" localSheetId="4">評比系統!$T$1:$T$3</definedName>
    <definedName name="外部資料_4221" localSheetId="2">紅綠燈!#REF!</definedName>
    <definedName name="外部資料_4222" localSheetId="2">紅綠燈!#REF!</definedName>
    <definedName name="外部資料_4223" localSheetId="2">紅綠燈!#REF!</definedName>
    <definedName name="外部資料_4225" localSheetId="2">紅綠燈!#REF!</definedName>
    <definedName name="外部資料_4226" localSheetId="2">紅綠燈!#REF!</definedName>
    <definedName name="外部資料_4227" localSheetId="2">紅綠燈!#REF!</definedName>
    <definedName name="外部資料_4229" localSheetId="2">紅綠燈!#REF!</definedName>
    <definedName name="外部資料_423" localSheetId="15">PKA!#REF!</definedName>
    <definedName name="外部資料_423" localSheetId="16">PKB!#REF!</definedName>
    <definedName name="外部資料_423" localSheetId="17">PKC!#REF!</definedName>
    <definedName name="外部資料_423" localSheetId="4">評比系統!$T$1:$T$3</definedName>
    <definedName name="外部資料_4230" localSheetId="2">紅綠燈!#REF!</definedName>
    <definedName name="外部資料_4231" localSheetId="2">紅綠燈!#REF!</definedName>
    <definedName name="外部資料_4233" localSheetId="2">紅綠燈!#REF!</definedName>
    <definedName name="外部資料_4234" localSheetId="2">紅綠燈!#REF!</definedName>
    <definedName name="外部資料_4235" localSheetId="2">紅綠燈!#REF!</definedName>
    <definedName name="外部資料_4237" localSheetId="2">紅綠燈!#REF!</definedName>
    <definedName name="外部資料_4238" localSheetId="2">紅綠燈!#REF!</definedName>
    <definedName name="外部資料_4239" localSheetId="2">紅綠燈!#REF!</definedName>
    <definedName name="外部資料_424" localSheetId="15">PKA!#REF!</definedName>
    <definedName name="外部資料_424" localSheetId="16">PKB!#REF!</definedName>
    <definedName name="外部資料_424" localSheetId="17">PKC!#REF!</definedName>
    <definedName name="外部資料_424" localSheetId="4">評比系統!$T$1:$T$3</definedName>
    <definedName name="外部資料_4241" localSheetId="2">紅綠燈!#REF!</definedName>
    <definedName name="外部資料_4242" localSheetId="2">紅綠燈!#REF!</definedName>
    <definedName name="外部資料_4243" localSheetId="2">紅綠燈!#REF!</definedName>
    <definedName name="外部資料_4245" localSheetId="2">紅綠燈!#REF!</definedName>
    <definedName name="外部資料_4246" localSheetId="2">紅綠燈!#REF!</definedName>
    <definedName name="外部資料_4247" localSheetId="2">紅綠燈!#REF!</definedName>
    <definedName name="外部資料_4249" localSheetId="2">紅綠燈!#REF!</definedName>
    <definedName name="外部資料_425" localSheetId="15">PKA!#REF!</definedName>
    <definedName name="外部資料_425" localSheetId="16">PKB!#REF!</definedName>
    <definedName name="外部資料_425" localSheetId="17">PKC!#REF!</definedName>
    <definedName name="外部資料_425" localSheetId="4">評比系統!$T$1:$T$3</definedName>
    <definedName name="外部資料_4250" localSheetId="2">紅綠燈!#REF!</definedName>
    <definedName name="外部資料_4251" localSheetId="2">紅綠燈!#REF!</definedName>
    <definedName name="外部資料_4253" localSheetId="2">紅綠燈!#REF!</definedName>
    <definedName name="外部資料_4254" localSheetId="2">紅綠燈!#REF!</definedName>
    <definedName name="外部資料_4255" localSheetId="2">紅綠燈!#REF!</definedName>
    <definedName name="外部資料_4257" localSheetId="2">紅綠燈!#REF!</definedName>
    <definedName name="外部資料_4258" localSheetId="2">紅綠燈!#REF!</definedName>
    <definedName name="外部資料_4259" localSheetId="2">紅綠燈!#REF!</definedName>
    <definedName name="外部資料_426" localSheetId="15">PKA!#REF!</definedName>
    <definedName name="外部資料_426" localSheetId="16">PKB!#REF!</definedName>
    <definedName name="外部資料_426" localSheetId="17">PKC!#REF!</definedName>
    <definedName name="外部資料_426" localSheetId="4">評比系統!$T$1:$T$3</definedName>
    <definedName name="外部資料_4261" localSheetId="2">紅綠燈!#REF!</definedName>
    <definedName name="外部資料_4262" localSheetId="2">紅綠燈!#REF!</definedName>
    <definedName name="外部資料_4263" localSheetId="2">紅綠燈!#REF!</definedName>
    <definedName name="外部資料_4265" localSheetId="2">紅綠燈!#REF!</definedName>
    <definedName name="外部資料_4266" localSheetId="2">紅綠燈!#REF!</definedName>
    <definedName name="外部資料_4267" localSheetId="2">紅綠燈!#REF!</definedName>
    <definedName name="外部資料_4269" localSheetId="2">紅綠燈!#REF!</definedName>
    <definedName name="外部資料_427" localSheetId="15">PKA!#REF!</definedName>
    <definedName name="外部資料_427" localSheetId="16">PKB!#REF!</definedName>
    <definedName name="外部資料_427" localSheetId="17">PKC!#REF!</definedName>
    <definedName name="外部資料_427" localSheetId="4">評比系統!$T$1:$T$3</definedName>
    <definedName name="外部資料_4270" localSheetId="2">紅綠燈!#REF!</definedName>
    <definedName name="外部資料_4271" localSheetId="2">紅綠燈!#REF!</definedName>
    <definedName name="外部資料_4273" localSheetId="2">紅綠燈!#REF!</definedName>
    <definedName name="外部資料_4274" localSheetId="2">紅綠燈!#REF!</definedName>
    <definedName name="外部資料_4275" localSheetId="2">紅綠燈!#REF!</definedName>
    <definedName name="外部資料_4277" localSheetId="2">紅綠燈!#REF!</definedName>
    <definedName name="外部資料_4278" localSheetId="2">紅綠燈!#REF!</definedName>
    <definedName name="外部資料_4279" localSheetId="2">紅綠燈!#REF!</definedName>
    <definedName name="外部資料_428" localSheetId="15">PKA!#REF!</definedName>
    <definedName name="外部資料_428" localSheetId="16">PKB!#REF!</definedName>
    <definedName name="外部資料_428" localSheetId="17">PKC!#REF!</definedName>
    <definedName name="外部資料_428" localSheetId="4">評比系統!$T$1:$T$3</definedName>
    <definedName name="外部資料_4281" localSheetId="2">紅綠燈!#REF!</definedName>
    <definedName name="外部資料_4282" localSheetId="2">紅綠燈!#REF!</definedName>
    <definedName name="外部資料_4283" localSheetId="2">紅綠燈!#REF!</definedName>
    <definedName name="外部資料_4285" localSheetId="2">紅綠燈!#REF!</definedName>
    <definedName name="外部資料_4286" localSheetId="2">紅綠燈!#REF!</definedName>
    <definedName name="外部資料_4287" localSheetId="2">紅綠燈!#REF!</definedName>
    <definedName name="外部資料_4289" localSheetId="2">紅綠燈!#REF!</definedName>
    <definedName name="外部資料_429" localSheetId="15">PKA!#REF!</definedName>
    <definedName name="外部資料_429" localSheetId="16">PKB!#REF!</definedName>
    <definedName name="外部資料_429" localSheetId="17">PKC!#REF!</definedName>
    <definedName name="外部資料_429" localSheetId="4">評比系統!$T$1:$T$3</definedName>
    <definedName name="外部資料_4290" localSheetId="2">紅綠燈!#REF!</definedName>
    <definedName name="外部資料_4291" localSheetId="2">紅綠燈!#REF!</definedName>
    <definedName name="外部資料_4293" localSheetId="2">紅綠燈!#REF!</definedName>
    <definedName name="外部資料_4294" localSheetId="2">紅綠燈!#REF!</definedName>
    <definedName name="外部資料_4296" localSheetId="2">紅綠燈!#REF!</definedName>
    <definedName name="外部資料_4297" localSheetId="2">紅綠燈!#REF!</definedName>
    <definedName name="外部資料_4298" localSheetId="2">紅綠燈!#REF!</definedName>
    <definedName name="外部資料_43" localSheetId="15">PKA!#REF!</definedName>
    <definedName name="外部資料_43" localSheetId="16">PKB!#REF!</definedName>
    <definedName name="外部資料_43" localSheetId="17">PKC!#REF!</definedName>
    <definedName name="外部資料_43" localSheetId="8">PSR!#REF!</definedName>
    <definedName name="外部資料_43" localSheetId="4">評比系統!#REF!</definedName>
    <definedName name="外部資料_43" localSheetId="18">福邦!#REF!</definedName>
    <definedName name="外部資料_43" localSheetId="7">營收搶先報!#REF!</definedName>
    <definedName name="外部資料_430" localSheetId="15">PKA!#REF!</definedName>
    <definedName name="外部資料_430" localSheetId="16">PKB!#REF!</definedName>
    <definedName name="外部資料_430" localSheetId="17">PKC!#REF!</definedName>
    <definedName name="外部資料_430" localSheetId="4">評比系統!$T$1:$T$3</definedName>
    <definedName name="外部資料_4300" localSheetId="2">紅綠燈!#REF!</definedName>
    <definedName name="外部資料_4301" localSheetId="2">紅綠燈!#REF!</definedName>
    <definedName name="外部資料_4302" localSheetId="2">紅綠燈!#REF!</definedName>
    <definedName name="外部資料_4304" localSheetId="2">紅綠燈!#REF!</definedName>
    <definedName name="外部資料_4305" localSheetId="2">紅綠燈!#REF!</definedName>
    <definedName name="外部資料_4306" localSheetId="2">紅綠燈!#REF!</definedName>
    <definedName name="外部資料_4308" localSheetId="2">紅綠燈!#REF!</definedName>
    <definedName name="外部資料_4309" localSheetId="2">紅綠燈!#REF!</definedName>
    <definedName name="外部資料_431" localSheetId="15">PKA!#REF!</definedName>
    <definedName name="外部資料_431" localSheetId="16">PKB!#REF!</definedName>
    <definedName name="外部資料_431" localSheetId="17">PKC!#REF!</definedName>
    <definedName name="外部資料_431" localSheetId="4">評比系統!$T$1:$T$3</definedName>
    <definedName name="外部資料_4310" localSheetId="2">紅綠燈!#REF!</definedName>
    <definedName name="外部資料_4312" localSheetId="2">紅綠燈!#REF!</definedName>
    <definedName name="外部資料_4313" localSheetId="2">紅綠燈!#REF!</definedName>
    <definedName name="外部資料_4314" localSheetId="2">紅綠燈!#REF!</definedName>
    <definedName name="外部資料_4316" localSheetId="2">紅綠燈!#REF!</definedName>
    <definedName name="外部資料_4317" localSheetId="2">紅綠燈!#REF!</definedName>
    <definedName name="外部資料_4318" localSheetId="2">紅綠燈!#REF!</definedName>
    <definedName name="外部資料_432" localSheetId="15">PKA!#REF!</definedName>
    <definedName name="外部資料_432" localSheetId="16">PKB!#REF!</definedName>
    <definedName name="外部資料_432" localSheetId="17">PKC!#REF!</definedName>
    <definedName name="外部資料_432" localSheetId="4">評比系統!$T$1:$T$3</definedName>
    <definedName name="外部資料_4320" localSheetId="2">紅綠燈!#REF!</definedName>
    <definedName name="外部資料_4321" localSheetId="2">紅綠燈!#REF!</definedName>
    <definedName name="外部資料_4322" localSheetId="2">紅綠燈!#REF!</definedName>
    <definedName name="外部資料_4324" localSheetId="2">紅綠燈!#REF!</definedName>
    <definedName name="外部資料_4325" localSheetId="2">紅綠燈!#REF!</definedName>
    <definedName name="外部資料_4326" localSheetId="2">紅綠燈!#REF!</definedName>
    <definedName name="外部資料_4328" localSheetId="2">紅綠燈!#REF!</definedName>
    <definedName name="外部資料_4329" localSheetId="2">紅綠燈!#REF!</definedName>
    <definedName name="外部資料_433" localSheetId="15">PKA!#REF!</definedName>
    <definedName name="外部資料_433" localSheetId="16">PKB!#REF!</definedName>
    <definedName name="外部資料_433" localSheetId="17">PKC!#REF!</definedName>
    <definedName name="外部資料_433" localSheetId="4">評比系統!$T$1:$T$3</definedName>
    <definedName name="外部資料_4330" localSheetId="2">紅綠燈!#REF!</definedName>
    <definedName name="外部資料_4332" localSheetId="2">紅綠燈!#REF!</definedName>
    <definedName name="外部資料_4333" localSheetId="2">紅綠燈!#REF!</definedName>
    <definedName name="外部資料_4334" localSheetId="2">紅綠燈!#REF!</definedName>
    <definedName name="外部資料_4336" localSheetId="2">紅綠燈!#REF!</definedName>
    <definedName name="外部資料_4337" localSheetId="2">紅綠燈!#REF!</definedName>
    <definedName name="外部資料_4338" localSheetId="2">紅綠燈!#REF!</definedName>
    <definedName name="外部資料_434" localSheetId="15">PKA!#REF!</definedName>
    <definedName name="外部資料_434" localSheetId="16">PKB!#REF!</definedName>
    <definedName name="外部資料_434" localSheetId="17">PKC!#REF!</definedName>
    <definedName name="外部資料_434" localSheetId="4">評比系統!$T$1:$T$3</definedName>
    <definedName name="外部資料_4340" localSheetId="2">紅綠燈!#REF!</definedName>
    <definedName name="外部資料_4341" localSheetId="2">紅綠燈!#REF!</definedName>
    <definedName name="外部資料_4342" localSheetId="2">紅綠燈!#REF!</definedName>
    <definedName name="外部資料_4344" localSheetId="2">紅綠燈!#REF!</definedName>
    <definedName name="外部資料_4345" localSheetId="2">紅綠燈!#REF!</definedName>
    <definedName name="外部資料_4346" localSheetId="2">紅綠燈!#REF!</definedName>
    <definedName name="外部資料_4348" localSheetId="2">紅綠燈!#REF!</definedName>
    <definedName name="外部資料_4349" localSheetId="2">紅綠燈!#REF!</definedName>
    <definedName name="外部資料_435" localSheetId="15">PKA!#REF!</definedName>
    <definedName name="外部資料_435" localSheetId="16">PKB!#REF!</definedName>
    <definedName name="外部資料_435" localSheetId="17">PKC!#REF!</definedName>
    <definedName name="外部資料_435" localSheetId="4">評比系統!$T$1:$T$3</definedName>
    <definedName name="外部資料_4350" localSheetId="2">紅綠燈!#REF!</definedName>
    <definedName name="外部資料_4352" localSheetId="2">紅綠燈!#REF!</definedName>
    <definedName name="外部資料_4353" localSheetId="2">紅綠燈!#REF!</definedName>
    <definedName name="外部資料_4354" localSheetId="2">紅綠燈!#REF!</definedName>
    <definedName name="外部資料_4356" localSheetId="2">紅綠燈!#REF!</definedName>
    <definedName name="外部資料_4357" localSheetId="2">紅綠燈!#REF!</definedName>
    <definedName name="外部資料_4358" localSheetId="2">紅綠燈!#REF!</definedName>
    <definedName name="外部資料_436" localSheetId="15">PKA!#REF!</definedName>
    <definedName name="外部資料_436" localSheetId="16">PKB!#REF!</definedName>
    <definedName name="外部資料_436" localSheetId="17">PKC!#REF!</definedName>
    <definedName name="外部資料_436" localSheetId="4">評比系統!$T$1:$T$3</definedName>
    <definedName name="外部資料_4360" localSheetId="2">紅綠燈!#REF!</definedName>
    <definedName name="外部資料_4361" localSheetId="2">紅綠燈!#REF!</definedName>
    <definedName name="外部資料_4362" localSheetId="2">紅綠燈!#REF!</definedName>
    <definedName name="外部資料_4364" localSheetId="2">紅綠燈!#REF!</definedName>
    <definedName name="外部資料_4365" localSheetId="2">紅綠燈!#REF!</definedName>
    <definedName name="外部資料_4366" localSheetId="2">紅綠燈!#REF!</definedName>
    <definedName name="外部資料_4368" localSheetId="2">紅綠燈!#REF!</definedName>
    <definedName name="外部資料_4369" localSheetId="2">紅綠燈!#REF!</definedName>
    <definedName name="外部資料_437" localSheetId="15">PKA!#REF!</definedName>
    <definedName name="外部資料_437" localSheetId="16">PKB!#REF!</definedName>
    <definedName name="外部資料_437" localSheetId="17">PKC!#REF!</definedName>
    <definedName name="外部資料_437" localSheetId="4">評比系統!$T$1:$T$3</definedName>
    <definedName name="外部資料_4370" localSheetId="2">紅綠燈!#REF!</definedName>
    <definedName name="外部資料_4372" localSheetId="2">紅綠燈!#REF!</definedName>
    <definedName name="外部資料_4373" localSheetId="2">紅綠燈!#REF!</definedName>
    <definedName name="外部資料_4374" localSheetId="2">紅綠燈!#REF!</definedName>
    <definedName name="外部資料_4376" localSheetId="2">紅綠燈!#REF!</definedName>
    <definedName name="外部資料_4377" localSheetId="2">紅綠燈!#REF!</definedName>
    <definedName name="外部資料_4378" localSheetId="2">紅綠燈!#REF!</definedName>
    <definedName name="外部資料_438" localSheetId="15">PKA!#REF!</definedName>
    <definedName name="外部資料_438" localSheetId="16">PKB!#REF!</definedName>
    <definedName name="外部資料_438" localSheetId="17">PKC!#REF!</definedName>
    <definedName name="外部資料_438" localSheetId="4">評比系統!$T$1:$T$3</definedName>
    <definedName name="外部資料_4380" localSheetId="2">紅綠燈!#REF!</definedName>
    <definedName name="外部資料_4381" localSheetId="2">紅綠燈!#REF!</definedName>
    <definedName name="外部資料_4382" localSheetId="2">紅綠燈!#REF!</definedName>
    <definedName name="外部資料_4384" localSheetId="2">紅綠燈!#REF!</definedName>
    <definedName name="外部資料_4385" localSheetId="2">紅綠燈!#REF!</definedName>
    <definedName name="外部資料_4386" localSheetId="2">紅綠燈!#REF!</definedName>
    <definedName name="外部資料_4388" localSheetId="2">紅綠燈!#REF!</definedName>
    <definedName name="外部資料_4389" localSheetId="2">紅綠燈!#REF!</definedName>
    <definedName name="外部資料_439" localSheetId="15">PKA!#REF!</definedName>
    <definedName name="外部資料_439" localSheetId="16">PKB!#REF!</definedName>
    <definedName name="外部資料_439" localSheetId="17">PKC!#REF!</definedName>
    <definedName name="外部資料_439" localSheetId="4">評比系統!$T$1:$T$3</definedName>
    <definedName name="外部資料_4390" localSheetId="2">紅綠燈!#REF!</definedName>
    <definedName name="外部資料_4392" localSheetId="2">紅綠燈!#REF!</definedName>
    <definedName name="外部資料_4393" localSheetId="2">紅綠燈!#REF!</definedName>
    <definedName name="外部資料_4394" localSheetId="2">紅綠燈!#REF!</definedName>
    <definedName name="外部資料_4396" localSheetId="2">紅綠燈!#REF!</definedName>
    <definedName name="外部資料_4397" localSheetId="2">紅綠燈!#REF!</definedName>
    <definedName name="外部資料_4398" localSheetId="2">紅綠燈!#REF!</definedName>
    <definedName name="外部資料_44" localSheetId="15">PKA!#REF!</definedName>
    <definedName name="外部資料_44" localSheetId="16">PKB!#REF!</definedName>
    <definedName name="外部資料_44" localSheetId="17">PKC!#REF!</definedName>
    <definedName name="外部資料_44" localSheetId="8">PSR!#REF!</definedName>
    <definedName name="外部資料_44" localSheetId="4">評比系統!#REF!</definedName>
    <definedName name="外部資料_44" localSheetId="18">福邦!#REF!</definedName>
    <definedName name="外部資料_44" localSheetId="7">營收搶先報!#REF!</definedName>
    <definedName name="外部資料_440" localSheetId="15">PKA!#REF!</definedName>
    <definedName name="外部資料_440" localSheetId="16">PKB!#REF!</definedName>
    <definedName name="外部資料_440" localSheetId="17">PKC!#REF!</definedName>
    <definedName name="外部資料_440" localSheetId="4">評比系統!$T$1:$T$3</definedName>
    <definedName name="外部資料_4400" localSheetId="2">紅綠燈!#REF!</definedName>
    <definedName name="外部資料_4401" localSheetId="2">紅綠燈!#REF!</definedName>
    <definedName name="外部資料_4402" localSheetId="2">紅綠燈!#REF!</definedName>
    <definedName name="外部資料_4404" localSheetId="2">紅綠燈!#REF!</definedName>
    <definedName name="外部資料_4405" localSheetId="2">紅綠燈!#REF!</definedName>
    <definedName name="外部資料_4406" localSheetId="2">紅綠燈!#REF!</definedName>
    <definedName name="外部資料_4408" localSheetId="2">紅綠燈!#REF!</definedName>
    <definedName name="外部資料_4409" localSheetId="2">紅綠燈!#REF!</definedName>
    <definedName name="外部資料_441" localSheetId="15">PKA!#REF!</definedName>
    <definedName name="外部資料_441" localSheetId="16">PKB!#REF!</definedName>
    <definedName name="外部資料_441" localSheetId="17">PKC!#REF!</definedName>
    <definedName name="外部資料_441" localSheetId="4">評比系統!$T$1:$T$3</definedName>
    <definedName name="外部資料_4410" localSheetId="2">紅綠燈!#REF!</definedName>
    <definedName name="外部資料_4412" localSheetId="2">紅綠燈!#REF!</definedName>
    <definedName name="外部資料_4413" localSheetId="2">紅綠燈!#REF!</definedName>
    <definedName name="外部資料_4414" localSheetId="2">紅綠燈!#REF!</definedName>
    <definedName name="外部資料_4416" localSheetId="2">紅綠燈!#REF!</definedName>
    <definedName name="外部資料_4417" localSheetId="2">紅綠燈!#REF!</definedName>
    <definedName name="外部資料_4418" localSheetId="2">紅綠燈!#REF!</definedName>
    <definedName name="外部資料_442" localSheetId="15">PKA!#REF!</definedName>
    <definedName name="外部資料_442" localSheetId="16">PKB!#REF!</definedName>
    <definedName name="外部資料_442" localSheetId="17">PKC!#REF!</definedName>
    <definedName name="外部資料_442" localSheetId="4">評比系統!$T$1:$T$3</definedName>
    <definedName name="外部資料_4420" localSheetId="2">紅綠燈!#REF!</definedName>
    <definedName name="外部資料_4421" localSheetId="2">紅綠燈!#REF!</definedName>
    <definedName name="外部資料_4422" localSheetId="2">紅綠燈!#REF!</definedName>
    <definedName name="外部資料_4424" localSheetId="2">紅綠燈!#REF!</definedName>
    <definedName name="外部資料_4425" localSheetId="2">紅綠燈!#REF!</definedName>
    <definedName name="外部資料_4426" localSheetId="2">紅綠燈!#REF!</definedName>
    <definedName name="外部資料_4428" localSheetId="2">紅綠燈!#REF!</definedName>
    <definedName name="外部資料_4429" localSheetId="2">紅綠燈!#REF!</definedName>
    <definedName name="外部資料_443" localSheetId="15">PKA!#REF!</definedName>
    <definedName name="外部資料_443" localSheetId="16">PKB!#REF!</definedName>
    <definedName name="外部資料_443" localSheetId="17">PKC!#REF!</definedName>
    <definedName name="外部資料_443" localSheetId="4">評比系統!$T$1:$T$3</definedName>
    <definedName name="外部資料_4430" localSheetId="2">紅綠燈!#REF!</definedName>
    <definedName name="外部資料_4432" localSheetId="2">紅綠燈!#REF!</definedName>
    <definedName name="外部資料_4433" localSheetId="2">紅綠燈!#REF!</definedName>
    <definedName name="外部資料_4435" localSheetId="2">紅綠燈!#REF!</definedName>
    <definedName name="外部資料_4436" localSheetId="2">紅綠燈!#REF!</definedName>
    <definedName name="外部資料_4437" localSheetId="2">紅綠燈!#REF!</definedName>
    <definedName name="外部資料_4439" localSheetId="2">紅綠燈!#REF!</definedName>
    <definedName name="外部資料_444" localSheetId="15">PKA!#REF!</definedName>
    <definedName name="外部資料_444" localSheetId="16">PKB!#REF!</definedName>
    <definedName name="外部資料_444" localSheetId="17">PKC!#REF!</definedName>
    <definedName name="外部資料_444" localSheetId="4">評比系統!$T$1:$T$3</definedName>
    <definedName name="外部資料_4440" localSheetId="2">紅綠燈!#REF!</definedName>
    <definedName name="外部資料_4441" localSheetId="2">紅綠燈!#REF!</definedName>
    <definedName name="外部資料_4443" localSheetId="2">紅綠燈!#REF!</definedName>
    <definedName name="外部資料_4444" localSheetId="2">紅綠燈!#REF!</definedName>
    <definedName name="外部資料_4445" localSheetId="2">紅綠燈!#REF!</definedName>
    <definedName name="外部資料_4447" localSheetId="2">紅綠燈!#REF!</definedName>
    <definedName name="外部資料_4448" localSheetId="2">紅綠燈!#REF!</definedName>
    <definedName name="外部資料_4449" localSheetId="2">紅綠燈!#REF!</definedName>
    <definedName name="外部資料_445" localSheetId="15">PKA!#REF!</definedName>
    <definedName name="外部資料_445" localSheetId="16">PKB!#REF!</definedName>
    <definedName name="外部資料_445" localSheetId="17">PKC!#REF!</definedName>
    <definedName name="外部資料_445" localSheetId="4">評比系統!$T$1:$T$3</definedName>
    <definedName name="外部資料_4451" localSheetId="2">紅綠燈!#REF!</definedName>
    <definedName name="外部資料_4452" localSheetId="2">紅綠燈!#REF!</definedName>
    <definedName name="外部資料_4453" localSheetId="2">紅綠燈!#REF!</definedName>
    <definedName name="外部資料_4455" localSheetId="2">紅綠燈!#REF!</definedName>
    <definedName name="外部資料_4456" localSheetId="2">紅綠燈!#REF!</definedName>
    <definedName name="外部資料_4457" localSheetId="2">紅綠燈!#REF!</definedName>
    <definedName name="外部資料_4459" localSheetId="2">紅綠燈!#REF!</definedName>
    <definedName name="外部資料_446" localSheetId="15">PKA!#REF!</definedName>
    <definedName name="外部資料_446" localSheetId="16">PKB!#REF!</definedName>
    <definedName name="外部資料_446" localSheetId="17">PKC!#REF!</definedName>
    <definedName name="外部資料_446" localSheetId="4">評比系統!$T$1:$T$3</definedName>
    <definedName name="外部資料_4460" localSheetId="2">紅綠燈!#REF!</definedName>
    <definedName name="外部資料_4461" localSheetId="2">紅綠燈!#REF!</definedName>
    <definedName name="外部資料_4463" localSheetId="2">紅綠燈!#REF!</definedName>
    <definedName name="外部資料_4464" localSheetId="2">紅綠燈!#REF!</definedName>
    <definedName name="外部資料_4465" localSheetId="2">紅綠燈!#REF!</definedName>
    <definedName name="外部資料_4467" localSheetId="2">紅綠燈!#REF!</definedName>
    <definedName name="外部資料_4468" localSheetId="2">紅綠燈!#REF!</definedName>
    <definedName name="外部資料_4469" localSheetId="2">紅綠燈!#REF!</definedName>
    <definedName name="外部資料_447" localSheetId="15">PKA!#REF!</definedName>
    <definedName name="外部資料_447" localSheetId="16">PKB!#REF!</definedName>
    <definedName name="外部資料_447" localSheetId="17">PKC!#REF!</definedName>
    <definedName name="外部資料_447" localSheetId="4">評比系統!$T$1:$T$3</definedName>
    <definedName name="外部資料_4471" localSheetId="2">紅綠燈!#REF!</definedName>
    <definedName name="外部資料_4472" localSheetId="2">紅綠燈!#REF!</definedName>
    <definedName name="外部資料_4473" localSheetId="2">紅綠燈!#REF!</definedName>
    <definedName name="外部資料_4475" localSheetId="2">紅綠燈!#REF!</definedName>
    <definedName name="外部資料_4476" localSheetId="2">紅綠燈!#REF!</definedName>
    <definedName name="外部資料_4478" localSheetId="2">紅綠燈!#REF!</definedName>
    <definedName name="外部資料_4479" localSheetId="2">紅綠燈!#REF!</definedName>
    <definedName name="外部資料_448" localSheetId="15">PKA!#REF!</definedName>
    <definedName name="外部資料_448" localSheetId="16">PKB!#REF!</definedName>
    <definedName name="外部資料_448" localSheetId="17">PKC!#REF!</definedName>
    <definedName name="外部資料_448" localSheetId="4">評比系統!$T$1:$T$3</definedName>
    <definedName name="外部資料_4480" localSheetId="2">紅綠燈!#REF!</definedName>
    <definedName name="外部資料_4482" localSheetId="2">紅綠燈!#REF!</definedName>
    <definedName name="外部資料_4483" localSheetId="2">紅綠燈!#REF!</definedName>
    <definedName name="外部資料_4484" localSheetId="2">紅綠燈!#REF!</definedName>
    <definedName name="外部資料_4486" localSheetId="2">紅綠燈!#REF!</definedName>
    <definedName name="外部資料_4487" localSheetId="2">紅綠燈!#REF!</definedName>
    <definedName name="外部資料_4488" localSheetId="2">紅綠燈!#REF!</definedName>
    <definedName name="外部資料_449" localSheetId="15">PKA!#REF!</definedName>
    <definedName name="外部資料_449" localSheetId="16">PKB!#REF!</definedName>
    <definedName name="外部資料_449" localSheetId="17">PKC!#REF!</definedName>
    <definedName name="外部資料_449" localSheetId="4">評比系統!$T$1:$T$3</definedName>
    <definedName name="外部資料_4490" localSheetId="2">紅綠燈!#REF!</definedName>
    <definedName name="外部資料_4491" localSheetId="2">紅綠燈!#REF!</definedName>
    <definedName name="外部資料_4492" localSheetId="2">紅綠燈!#REF!</definedName>
    <definedName name="外部資料_4494" localSheetId="2">紅綠燈!#REF!</definedName>
    <definedName name="外部資料_4495" localSheetId="2">紅綠燈!#REF!</definedName>
    <definedName name="外部資料_4496" localSheetId="2">紅綠燈!#REF!</definedName>
    <definedName name="外部資料_4498" localSheetId="2">紅綠燈!#REF!</definedName>
    <definedName name="外部資料_4499" localSheetId="2">紅綠燈!#REF!</definedName>
    <definedName name="外部資料_45" localSheetId="15">PKA!#REF!</definedName>
    <definedName name="外部資料_45" localSheetId="16">PKB!#REF!</definedName>
    <definedName name="外部資料_45" localSheetId="17">PKC!#REF!</definedName>
    <definedName name="外部資料_45" localSheetId="8">PSR!#REF!</definedName>
    <definedName name="外部資料_45" localSheetId="4">評比系統!#REF!</definedName>
    <definedName name="外部資料_45" localSheetId="18">福邦!#REF!</definedName>
    <definedName name="外部資料_45" localSheetId="7">營收搶先報!#REF!</definedName>
    <definedName name="外部資料_450" localSheetId="15">PKA!#REF!</definedName>
    <definedName name="外部資料_450" localSheetId="16">PKB!#REF!</definedName>
    <definedName name="外部資料_450" localSheetId="17">PKC!#REF!</definedName>
    <definedName name="外部資料_450" localSheetId="4">評比系統!$T$1:$T$3</definedName>
    <definedName name="外部資料_4500" localSheetId="2">紅綠燈!#REF!</definedName>
    <definedName name="外部資料_4502" localSheetId="2">紅綠燈!#REF!</definedName>
    <definedName name="外部資料_4503" localSheetId="2">紅綠燈!#REF!</definedName>
    <definedName name="外部資料_4504" localSheetId="2">紅綠燈!#REF!</definedName>
    <definedName name="外部資料_4506" localSheetId="2">紅綠燈!#REF!</definedName>
    <definedName name="外部資料_4507" localSheetId="2">紅綠燈!#REF!</definedName>
    <definedName name="外部資料_4508" localSheetId="2">紅綠燈!#REF!</definedName>
    <definedName name="外部資料_451" localSheetId="15">PKA!#REF!</definedName>
    <definedName name="外部資料_451" localSheetId="16">PKB!#REF!</definedName>
    <definedName name="外部資料_451" localSheetId="17">PKC!#REF!</definedName>
    <definedName name="外部資料_451" localSheetId="4">評比系統!$T$1:$T$3</definedName>
    <definedName name="外部資料_4510" localSheetId="2">紅綠燈!#REF!</definedName>
    <definedName name="外部資料_4511" localSheetId="2">紅綠燈!#REF!</definedName>
    <definedName name="外部資料_4512" localSheetId="2">紅綠燈!#REF!</definedName>
    <definedName name="外部資料_4514" localSheetId="2">紅綠燈!#REF!</definedName>
    <definedName name="外部資料_4515" localSheetId="2">紅綠燈!#REF!</definedName>
    <definedName name="外部資料_4517" localSheetId="2">紅綠燈!#REF!</definedName>
    <definedName name="外部資料_4518" localSheetId="2">紅綠燈!#REF!</definedName>
    <definedName name="外部資料_4519" localSheetId="2">紅綠燈!#REF!</definedName>
    <definedName name="外部資料_452" localSheetId="15">PKA!#REF!</definedName>
    <definedName name="外部資料_452" localSheetId="16">PKB!#REF!</definedName>
    <definedName name="外部資料_452" localSheetId="17">PKC!#REF!</definedName>
    <definedName name="外部資料_452" localSheetId="4">評比系統!$T$1:$T$3</definedName>
    <definedName name="外部資料_4521" localSheetId="2">紅綠燈!#REF!</definedName>
    <definedName name="外部資料_4522" localSheetId="2">紅綠燈!#REF!</definedName>
    <definedName name="外部資料_4523" localSheetId="2">紅綠燈!#REF!</definedName>
    <definedName name="外部資料_4525" localSheetId="2">紅綠燈!#REF!</definedName>
    <definedName name="外部資料_4526" localSheetId="2">紅綠燈!#REF!</definedName>
    <definedName name="外部資料_4527" localSheetId="2">紅綠燈!#REF!</definedName>
    <definedName name="外部資料_4529" localSheetId="2">紅綠燈!#REF!</definedName>
    <definedName name="外部資料_453" localSheetId="15">PKA!#REF!</definedName>
    <definedName name="外部資料_453" localSheetId="16">PKB!#REF!</definedName>
    <definedName name="外部資料_453" localSheetId="17">PKC!#REF!</definedName>
    <definedName name="外部資料_453" localSheetId="4">評比系統!$T$1:$T$3</definedName>
    <definedName name="外部資料_4530" localSheetId="2">紅綠燈!#REF!</definedName>
    <definedName name="外部資料_4531" localSheetId="2">紅綠燈!#REF!</definedName>
    <definedName name="外部資料_4533" localSheetId="2">紅綠燈!#REF!</definedName>
    <definedName name="外部資料_4534" localSheetId="2">紅綠燈!#REF!</definedName>
    <definedName name="外部資料_4535" localSheetId="2">紅綠燈!#REF!</definedName>
    <definedName name="外部資料_4537" localSheetId="2">紅綠燈!#REF!</definedName>
    <definedName name="外部資料_4538" localSheetId="2">紅綠燈!#REF!</definedName>
    <definedName name="外部資料_4539" localSheetId="2">紅綠燈!#REF!</definedName>
    <definedName name="外部資料_454" localSheetId="15">PKA!#REF!</definedName>
    <definedName name="外部資料_454" localSheetId="16">PKB!#REF!</definedName>
    <definedName name="外部資料_454" localSheetId="17">PKC!#REF!</definedName>
    <definedName name="外部資料_454" localSheetId="4">評比系統!$T$1:$T$3</definedName>
    <definedName name="外部資料_4541" localSheetId="2">紅綠燈!#REF!</definedName>
    <definedName name="外部資料_4542" localSheetId="2">紅綠燈!#REF!</definedName>
    <definedName name="外部資料_4543" localSheetId="2">紅綠燈!#REF!</definedName>
    <definedName name="外部資料_4545" localSheetId="2">紅綠燈!#REF!</definedName>
    <definedName name="外部資料_4546" localSheetId="2">紅綠燈!#REF!</definedName>
    <definedName name="外部資料_4547" localSheetId="2">紅綠燈!#REF!</definedName>
    <definedName name="外部資料_4549" localSheetId="2">紅綠燈!#REF!</definedName>
    <definedName name="外部資料_455" localSheetId="15">PKA!#REF!</definedName>
    <definedName name="外部資料_455" localSheetId="16">PKB!#REF!</definedName>
    <definedName name="外部資料_455" localSheetId="17">PKC!#REF!</definedName>
    <definedName name="外部資料_455" localSheetId="4">評比系統!$T$1:$T$3</definedName>
    <definedName name="外部資料_4550" localSheetId="2">紅綠燈!#REF!</definedName>
    <definedName name="外部資料_4551" localSheetId="2">紅綠燈!#REF!</definedName>
    <definedName name="外部資料_4553" localSheetId="2">紅綠燈!#REF!</definedName>
    <definedName name="外部資料_4554" localSheetId="2">紅綠燈!#REF!</definedName>
    <definedName name="外部資料_4555" localSheetId="2">紅綠燈!#REF!</definedName>
    <definedName name="外部資料_4557" localSheetId="2">紅綠燈!#REF!</definedName>
    <definedName name="外部資料_4558" localSheetId="2">紅綠燈!#REF!</definedName>
    <definedName name="外部資料_4559" localSheetId="2">紅綠燈!#REF!</definedName>
    <definedName name="外部資料_456" localSheetId="15">PKA!#REF!</definedName>
    <definedName name="外部資料_456" localSheetId="16">PKB!#REF!</definedName>
    <definedName name="外部資料_456" localSheetId="17">PKC!#REF!</definedName>
    <definedName name="外部資料_456" localSheetId="4">評比系統!$T$1:$T$3</definedName>
    <definedName name="外部資料_4561" localSheetId="2">紅綠燈!#REF!</definedName>
    <definedName name="外部資料_4562" localSheetId="2">紅綠燈!#REF!</definedName>
    <definedName name="外部資料_4564" localSheetId="2">紅綠燈!#REF!</definedName>
    <definedName name="外部資料_4565" localSheetId="2">紅綠燈!#REF!</definedName>
    <definedName name="外部資料_4566" localSheetId="2">紅綠燈!#REF!</definedName>
    <definedName name="外部資料_4568" localSheetId="2">紅綠燈!#REF!</definedName>
    <definedName name="外部資料_4569" localSheetId="2">紅綠燈!#REF!</definedName>
    <definedName name="外部資料_457" localSheetId="15">PKA!#REF!</definedName>
    <definedName name="外部資料_457" localSheetId="16">PKB!#REF!</definedName>
    <definedName name="外部資料_457" localSheetId="17">PKC!#REF!</definedName>
    <definedName name="外部資料_457" localSheetId="4">評比系統!$T$1:$T$3</definedName>
    <definedName name="外部資料_4570" localSheetId="2">紅綠燈!#REF!</definedName>
    <definedName name="外部資料_4572" localSheetId="2">紅綠燈!#REF!</definedName>
    <definedName name="外部資料_4573" localSheetId="2">紅綠燈!#REF!</definedName>
    <definedName name="外部資料_4574" localSheetId="2">紅綠燈!#REF!</definedName>
    <definedName name="外部資料_4576" localSheetId="2">紅綠燈!#REF!</definedName>
    <definedName name="外部資料_4577" localSheetId="2">紅綠燈!#REF!</definedName>
    <definedName name="外部資料_4578" localSheetId="2">紅綠燈!#REF!</definedName>
    <definedName name="外部資料_458" localSheetId="15">PKA!#REF!</definedName>
    <definedName name="外部資料_458" localSheetId="16">PKB!#REF!</definedName>
    <definedName name="外部資料_458" localSheetId="17">PKC!#REF!</definedName>
    <definedName name="外部資料_458" localSheetId="4">評比系統!$T$1:$T$3</definedName>
    <definedName name="外部資料_4580" localSheetId="2">紅綠燈!#REF!</definedName>
    <definedName name="外部資料_4581" localSheetId="2">紅綠燈!#REF!</definedName>
    <definedName name="外部資料_4582" localSheetId="2">紅綠燈!#REF!</definedName>
    <definedName name="外部資料_4584" localSheetId="2">紅綠燈!#REF!</definedName>
    <definedName name="外部資料_4585" localSheetId="2">紅綠燈!#REF!</definedName>
    <definedName name="外部資料_4586" localSheetId="2">紅綠燈!#REF!</definedName>
    <definedName name="外部資料_4588" localSheetId="2">紅綠燈!#REF!</definedName>
    <definedName name="外部資料_4589" localSheetId="2">紅綠燈!#REF!</definedName>
    <definedName name="外部資料_459" localSheetId="15">PKA!#REF!</definedName>
    <definedName name="外部資料_459" localSheetId="16">PKB!#REF!</definedName>
    <definedName name="外部資料_459" localSheetId="17">PKC!#REF!</definedName>
    <definedName name="外部資料_459" localSheetId="4">評比系統!$T$1:$T$3</definedName>
    <definedName name="外部資料_4590" localSheetId="2">紅綠燈!#REF!</definedName>
    <definedName name="外部資料_4592" localSheetId="2">紅綠燈!#REF!</definedName>
    <definedName name="外部資料_4593" localSheetId="2">紅綠燈!#REF!</definedName>
    <definedName name="外部資料_4594" localSheetId="2">紅綠燈!#REF!</definedName>
    <definedName name="外部資料_4596" localSheetId="2">紅綠燈!#REF!</definedName>
    <definedName name="外部資料_4597" localSheetId="2">紅綠燈!#REF!</definedName>
    <definedName name="外部資料_4598" localSheetId="2">紅綠燈!#REF!</definedName>
    <definedName name="外部資料_46" localSheetId="15">PKA!#REF!</definedName>
    <definedName name="外部資料_46" localSheetId="16">PKB!#REF!</definedName>
    <definedName name="外部資料_46" localSheetId="17">PKC!#REF!</definedName>
    <definedName name="外部資料_46" localSheetId="8">PSR!#REF!</definedName>
    <definedName name="外部資料_46" localSheetId="4">評比系統!#REF!</definedName>
    <definedName name="外部資料_46" localSheetId="18">福邦!#REF!</definedName>
    <definedName name="外部資料_46" localSheetId="7">營收搶先報!#REF!</definedName>
    <definedName name="外部資料_460" localSheetId="15">PKA!#REF!</definedName>
    <definedName name="外部資料_460" localSheetId="16">PKB!#REF!</definedName>
    <definedName name="外部資料_460" localSheetId="17">PKC!#REF!</definedName>
    <definedName name="外部資料_460" localSheetId="4">評比系統!$T$1:$T$3</definedName>
    <definedName name="外部資料_4600" localSheetId="2">紅綠燈!#REF!</definedName>
    <definedName name="外部資料_4601" localSheetId="2">紅綠燈!#REF!</definedName>
    <definedName name="外部資料_4602" localSheetId="2">紅綠燈!#REF!</definedName>
    <definedName name="外部資料_4604" localSheetId="2">紅綠燈!#REF!</definedName>
    <definedName name="外部資料_4605" localSheetId="2">紅綠燈!#REF!</definedName>
    <definedName name="外部資料_4606" localSheetId="2">紅綠燈!#REF!</definedName>
    <definedName name="外部資料_4608" localSheetId="2">紅綠燈!#REF!</definedName>
    <definedName name="外部資料_4609" localSheetId="2">紅綠燈!#REF!</definedName>
    <definedName name="外部資料_461" localSheetId="15">PKA!#REF!</definedName>
    <definedName name="外部資料_461" localSheetId="16">PKB!#REF!</definedName>
    <definedName name="外部資料_461" localSheetId="17">PKC!#REF!</definedName>
    <definedName name="外部資料_461" localSheetId="4">評比系統!$T$1:$T$3</definedName>
    <definedName name="外部資料_4610" localSheetId="2">紅綠燈!#REF!</definedName>
    <definedName name="外部資料_4612" localSheetId="2">紅綠燈!#REF!</definedName>
    <definedName name="外部資料_4613" localSheetId="2">紅綠燈!#REF!</definedName>
    <definedName name="外部資料_4614" localSheetId="2">紅綠燈!#REF!</definedName>
    <definedName name="外部資料_4616" localSheetId="2">紅綠燈!#REF!</definedName>
    <definedName name="外部資料_4617" localSheetId="2">紅綠燈!#REF!</definedName>
    <definedName name="外部資料_4618" localSheetId="2">紅綠燈!#REF!</definedName>
    <definedName name="外部資料_462" localSheetId="15">PKA!#REF!</definedName>
    <definedName name="外部資料_462" localSheetId="16">PKB!#REF!</definedName>
    <definedName name="外部資料_462" localSheetId="17">PKC!#REF!</definedName>
    <definedName name="外部資料_462" localSheetId="4">評比系統!$T$1:$T$3</definedName>
    <definedName name="外部資料_4620" localSheetId="2">紅綠燈!#REF!</definedName>
    <definedName name="外部資料_4621" localSheetId="2">紅綠燈!#REF!</definedName>
    <definedName name="外部資料_4622" localSheetId="2">紅綠燈!#REF!</definedName>
    <definedName name="外部資料_4624" localSheetId="2">紅綠燈!#REF!</definedName>
    <definedName name="外部資料_4625" localSheetId="2">紅綠燈!#REF!</definedName>
    <definedName name="外部資料_4626" localSheetId="2">紅綠燈!#REF!</definedName>
    <definedName name="外部資料_4628" localSheetId="2">紅綠燈!#REF!</definedName>
    <definedName name="外部資料_4629" localSheetId="2">紅綠燈!#REF!</definedName>
    <definedName name="外部資料_463" localSheetId="15">PKA!#REF!</definedName>
    <definedName name="外部資料_463" localSheetId="16">PKB!#REF!</definedName>
    <definedName name="外部資料_463" localSheetId="17">PKC!#REF!</definedName>
    <definedName name="外部資料_463" localSheetId="4">評比系統!$T$1:$T$3</definedName>
    <definedName name="外部資料_4630" localSheetId="2">紅綠燈!#REF!</definedName>
    <definedName name="外部資料_4632" localSheetId="2">紅綠燈!#REF!</definedName>
    <definedName name="外部資料_4633" localSheetId="2">紅綠燈!#REF!</definedName>
    <definedName name="外部資料_4634" localSheetId="2">紅綠燈!#REF!</definedName>
    <definedName name="外部資料_4636" localSheetId="2">紅綠燈!#REF!</definedName>
    <definedName name="外部資料_4637" localSheetId="2">紅綠燈!#REF!</definedName>
    <definedName name="外部資料_4638" localSheetId="2">紅綠燈!#REF!</definedName>
    <definedName name="外部資料_464" localSheetId="15">PKA!#REF!</definedName>
    <definedName name="外部資料_464" localSheetId="16">PKB!#REF!</definedName>
    <definedName name="外部資料_464" localSheetId="17">PKC!#REF!</definedName>
    <definedName name="外部資料_464" localSheetId="4">評比系統!$T$1:$T$3</definedName>
    <definedName name="外部資料_4642" localSheetId="2">紅綠燈!#REF!</definedName>
    <definedName name="外部資料_4643" localSheetId="2">紅綠燈!#REF!</definedName>
    <definedName name="外部資料_4644" localSheetId="2">紅綠燈!#REF!</definedName>
    <definedName name="外部資料_4646" localSheetId="2">紅綠燈!#REF!</definedName>
    <definedName name="外部資料_4647" localSheetId="2">紅綠燈!#REF!</definedName>
    <definedName name="外部資料_4648" localSheetId="2">紅綠燈!#REF!</definedName>
    <definedName name="外部資料_465" localSheetId="15">PKA!#REF!</definedName>
    <definedName name="外部資料_465" localSheetId="16">PKB!#REF!</definedName>
    <definedName name="外部資料_465" localSheetId="17">PKC!#REF!</definedName>
    <definedName name="外部資料_465" localSheetId="4">評比系統!$T$1:$T$3</definedName>
    <definedName name="外部資料_4650" localSheetId="2">紅綠燈!#REF!</definedName>
    <definedName name="外部資料_4651" localSheetId="2">紅綠燈!#REF!</definedName>
    <definedName name="外部資料_4652" localSheetId="2">紅綠燈!#REF!</definedName>
    <definedName name="外部資料_4654" localSheetId="2">紅綠燈!#REF!</definedName>
    <definedName name="外部資料_4655" localSheetId="2">紅綠燈!#REF!</definedName>
    <definedName name="外部資料_4657" localSheetId="2">紅綠燈!#REF!</definedName>
    <definedName name="外部資料_4658" localSheetId="2">紅綠燈!#REF!</definedName>
    <definedName name="外部資料_466" localSheetId="15">PKA!#REF!</definedName>
    <definedName name="外部資料_466" localSheetId="16">PKB!#REF!</definedName>
    <definedName name="外部資料_466" localSheetId="17">PKC!#REF!</definedName>
    <definedName name="外部資料_466" localSheetId="4">評比系統!$T$1:$T$3</definedName>
    <definedName name="外部資料_4660" localSheetId="2">紅綠燈!#REF!</definedName>
    <definedName name="外部資料_4661" localSheetId="2">紅綠燈!#REF!</definedName>
    <definedName name="外部資料_4662" localSheetId="2">紅綠燈!#REF!</definedName>
    <definedName name="外部資料_4664" localSheetId="2">紅綠燈!#REF!</definedName>
    <definedName name="外部資料_4665" localSheetId="2">紅綠燈!#REF!</definedName>
    <definedName name="外部資料_4666" localSheetId="2">紅綠燈!#REF!</definedName>
    <definedName name="外部資料_4668" localSheetId="2">紅綠燈!#REF!</definedName>
    <definedName name="外部資料_4669" localSheetId="2">紅綠燈!#REF!</definedName>
    <definedName name="外部資料_467" localSheetId="15">PKA!#REF!</definedName>
    <definedName name="外部資料_467" localSheetId="16">PKB!#REF!</definedName>
    <definedName name="外部資料_467" localSheetId="17">PKC!#REF!</definedName>
    <definedName name="外部資料_467" localSheetId="4">評比系統!$T$1:$T$3</definedName>
    <definedName name="外部資料_4670" localSheetId="2">紅綠燈!#REF!</definedName>
    <definedName name="外部資料_4672" localSheetId="2">紅綠燈!#REF!</definedName>
    <definedName name="外部資料_4673" localSheetId="2">紅綠燈!#REF!</definedName>
    <definedName name="外部資料_4674" localSheetId="2">紅綠燈!#REF!</definedName>
    <definedName name="外部資料_4676" localSheetId="2">紅綠燈!#REF!</definedName>
    <definedName name="外部資料_4677" localSheetId="2">紅綠燈!#REF!</definedName>
    <definedName name="外部資料_4678" localSheetId="2">紅綠燈!#REF!</definedName>
    <definedName name="外部資料_468" localSheetId="15">PKA!#REF!</definedName>
    <definedName name="外部資料_468" localSheetId="16">PKB!#REF!</definedName>
    <definedName name="外部資料_468" localSheetId="17">PKC!#REF!</definedName>
    <definedName name="外部資料_468" localSheetId="4">評比系統!$T$1:$T$3</definedName>
    <definedName name="外部資料_4680" localSheetId="2">紅綠燈!#REF!</definedName>
    <definedName name="外部資料_4681" localSheetId="2">紅綠燈!#REF!</definedName>
    <definedName name="外部資料_4682" localSheetId="2">紅綠燈!#REF!</definedName>
    <definedName name="外部資料_4684" localSheetId="2">紅綠燈!#REF!</definedName>
    <definedName name="外部資料_4685" localSheetId="2">紅綠燈!#REF!</definedName>
    <definedName name="外部資料_4686" localSheetId="2">紅綠燈!#REF!</definedName>
    <definedName name="外部資料_4688" localSheetId="2">紅綠燈!#REF!</definedName>
    <definedName name="外部資料_4689" localSheetId="2">紅綠燈!#REF!</definedName>
    <definedName name="外部資料_469" localSheetId="15">PKA!#REF!</definedName>
    <definedName name="外部資料_469" localSheetId="16">PKB!#REF!</definedName>
    <definedName name="外部資料_469" localSheetId="17">PKC!#REF!</definedName>
    <definedName name="外部資料_469" localSheetId="4">評比系統!$T$1:$T$3</definedName>
    <definedName name="外部資料_4690" localSheetId="2">紅綠燈!#REF!</definedName>
    <definedName name="外部資料_4692" localSheetId="2">紅綠燈!#REF!</definedName>
    <definedName name="外部資料_4693" localSheetId="2">紅綠燈!#REF!</definedName>
    <definedName name="外部資料_4694" localSheetId="2">紅綠燈!#REF!</definedName>
    <definedName name="外部資料_4696" localSheetId="2">紅綠燈!#REF!</definedName>
    <definedName name="外部資料_4697" localSheetId="2">紅綠燈!#REF!</definedName>
    <definedName name="外部資料_4698" localSheetId="2">紅綠燈!#REF!</definedName>
    <definedName name="外部資料_47" localSheetId="15">PKA!#REF!</definedName>
    <definedName name="外部資料_47" localSheetId="16">PKB!#REF!</definedName>
    <definedName name="外部資料_47" localSheetId="17">PKC!#REF!</definedName>
    <definedName name="外部資料_47" localSheetId="8">PSR!#REF!</definedName>
    <definedName name="外部資料_47" localSheetId="4">評比系統!#REF!</definedName>
    <definedName name="外部資料_47" localSheetId="18">福邦!#REF!</definedName>
    <definedName name="外部資料_47" localSheetId="7">營收搶先報!#REF!</definedName>
    <definedName name="外部資料_470" localSheetId="15">PKA!#REF!</definedName>
    <definedName name="外部資料_470" localSheetId="16">PKB!#REF!</definedName>
    <definedName name="外部資料_470" localSheetId="17">PKC!#REF!</definedName>
    <definedName name="外部資料_470" localSheetId="4">評比系統!$T$1:$T$3</definedName>
    <definedName name="外部資料_4700" localSheetId="2">紅綠燈!#REF!</definedName>
    <definedName name="外部資料_4701" localSheetId="2">紅綠燈!#REF!</definedName>
    <definedName name="外部資料_4702" localSheetId="2">紅綠燈!#REF!</definedName>
    <definedName name="外部資料_4704" localSheetId="2">紅綠燈!#REF!</definedName>
    <definedName name="外部資料_4705" localSheetId="2">紅綠燈!#REF!</definedName>
    <definedName name="外部資料_4706" localSheetId="2">紅綠燈!#REF!</definedName>
    <definedName name="外部資料_4708" localSheetId="2">紅綠燈!#REF!</definedName>
    <definedName name="外部資料_4709" localSheetId="2">紅綠燈!#REF!</definedName>
    <definedName name="外部資料_471" localSheetId="15">PKA!#REF!</definedName>
    <definedName name="外部資料_471" localSheetId="16">PKB!#REF!</definedName>
    <definedName name="外部資料_471" localSheetId="17">PKC!#REF!</definedName>
    <definedName name="外部資料_471" localSheetId="4">評比系統!$T$1:$T$3</definedName>
    <definedName name="外部資料_4710" localSheetId="2">紅綠燈!#REF!</definedName>
    <definedName name="外部資料_4712" localSheetId="2">紅綠燈!#REF!</definedName>
    <definedName name="外部資料_4713" localSheetId="2">紅綠燈!#REF!</definedName>
    <definedName name="外部資料_4714" localSheetId="2">紅綠燈!#REF!</definedName>
    <definedName name="外部資料_4716" localSheetId="2">紅綠燈!#REF!</definedName>
    <definedName name="外部資料_4717" localSheetId="2">紅綠燈!#REF!</definedName>
    <definedName name="外部資料_4718" localSheetId="2">紅綠燈!#REF!</definedName>
    <definedName name="外部資料_472" localSheetId="15">PKA!#REF!</definedName>
    <definedName name="外部資料_472" localSheetId="16">PKB!#REF!</definedName>
    <definedName name="外部資料_472" localSheetId="17">PKC!#REF!</definedName>
    <definedName name="外部資料_472" localSheetId="4">評比系統!$T$1:$T$3</definedName>
    <definedName name="外部資料_4720" localSheetId="2">紅綠燈!#REF!</definedName>
    <definedName name="外部資料_4721" localSheetId="2">紅綠燈!#REF!</definedName>
    <definedName name="外部資料_4722" localSheetId="2">紅綠燈!#REF!</definedName>
    <definedName name="外部資料_4724" localSheetId="2">紅綠燈!#REF!</definedName>
    <definedName name="外部資料_4725" localSheetId="2">紅綠燈!#REF!</definedName>
    <definedName name="外部資料_4726" localSheetId="2">紅綠燈!#REF!</definedName>
    <definedName name="外部資料_4728" localSheetId="2">紅綠燈!#REF!</definedName>
    <definedName name="外部資料_4729" localSheetId="2">紅綠燈!#REF!</definedName>
    <definedName name="外部資料_473" localSheetId="15">PKA!#REF!</definedName>
    <definedName name="外部資料_473" localSheetId="16">PKB!#REF!</definedName>
    <definedName name="外部資料_473" localSheetId="17">PKC!#REF!</definedName>
    <definedName name="外部資料_473" localSheetId="4">評比系統!$T$1:$T$3</definedName>
    <definedName name="外部資料_4730" localSheetId="2">紅綠燈!#REF!</definedName>
    <definedName name="外部資料_4732" localSheetId="2">紅綠燈!#REF!</definedName>
    <definedName name="外部資料_4733" localSheetId="2">紅綠燈!#REF!</definedName>
    <definedName name="外部資料_4734" localSheetId="2">紅綠燈!#REF!</definedName>
    <definedName name="外部資料_4736" localSheetId="2">紅綠燈!#REF!</definedName>
    <definedName name="外部資料_4737" localSheetId="2">紅綠燈!#REF!</definedName>
    <definedName name="外部資料_4738" localSheetId="2">紅綠燈!#REF!</definedName>
    <definedName name="外部資料_474" localSheetId="15">PKA!#REF!</definedName>
    <definedName name="外部資料_474" localSheetId="16">PKB!#REF!</definedName>
    <definedName name="外部資料_474" localSheetId="17">PKC!#REF!</definedName>
    <definedName name="外部資料_474" localSheetId="4">評比系統!$T$1:$T$3</definedName>
    <definedName name="外部資料_4740" localSheetId="2">紅綠燈!#REF!</definedName>
    <definedName name="外部資料_4741" localSheetId="2">紅綠燈!#REF!</definedName>
    <definedName name="外部資料_4743" localSheetId="2">紅綠燈!#REF!</definedName>
    <definedName name="外部資料_4744" localSheetId="2">紅綠燈!#REF!</definedName>
    <definedName name="外部資料_4745" localSheetId="2">紅綠燈!#REF!</definedName>
    <definedName name="外部資料_4747" localSheetId="2">紅綠燈!#REF!</definedName>
    <definedName name="外部資料_4748" localSheetId="2">紅綠燈!#REF!</definedName>
    <definedName name="外部資料_4749" localSheetId="2">紅綠燈!#REF!</definedName>
    <definedName name="外部資料_475" localSheetId="15">PKA!#REF!</definedName>
    <definedName name="外部資料_475" localSheetId="16">PKB!#REF!</definedName>
    <definedName name="外部資料_475" localSheetId="17">PKC!#REF!</definedName>
    <definedName name="外部資料_475" localSheetId="4">評比系統!$T$1:$T$3</definedName>
    <definedName name="外部資料_4751" localSheetId="2">紅綠燈!#REF!</definedName>
    <definedName name="外部資料_4752" localSheetId="2">紅綠燈!#REF!</definedName>
    <definedName name="外部資料_4753" localSheetId="2">紅綠燈!#REF!</definedName>
    <definedName name="外部資料_4755" localSheetId="2">紅綠燈!#REF!</definedName>
    <definedName name="外部資料_4756" localSheetId="2">紅綠燈!#REF!</definedName>
    <definedName name="外部資料_4757" localSheetId="2">紅綠燈!#REF!</definedName>
    <definedName name="外部資料_4759" localSheetId="2">紅綠燈!#REF!</definedName>
    <definedName name="外部資料_476" localSheetId="15">PKA!#REF!</definedName>
    <definedName name="外部資料_476" localSheetId="16">PKB!#REF!</definedName>
    <definedName name="外部資料_476" localSheetId="17">PKC!#REF!</definedName>
    <definedName name="外部資料_476" localSheetId="4">評比系統!$T$1:$T$3</definedName>
    <definedName name="外部資料_4760" localSheetId="2">紅綠燈!#REF!</definedName>
    <definedName name="外部資料_4761" localSheetId="2">紅綠燈!#REF!</definedName>
    <definedName name="外部資料_4763" localSheetId="2">紅綠燈!#REF!</definedName>
    <definedName name="外部資料_4764" localSheetId="2">紅綠燈!#REF!</definedName>
    <definedName name="外部資料_4765" localSheetId="2">紅綠燈!#REF!</definedName>
    <definedName name="外部資料_4767" localSheetId="2">紅綠燈!#REF!</definedName>
    <definedName name="外部資料_4768" localSheetId="2">紅綠燈!#REF!</definedName>
    <definedName name="外部資料_4769" localSheetId="2">紅綠燈!#REF!</definedName>
    <definedName name="外部資料_477" localSheetId="15">PKA!#REF!</definedName>
    <definedName name="外部資料_477" localSheetId="16">PKB!#REF!</definedName>
    <definedName name="外部資料_477" localSheetId="17">PKC!#REF!</definedName>
    <definedName name="外部資料_477" localSheetId="4">評比系統!$T$1:$T$3</definedName>
    <definedName name="外部資料_4771" localSheetId="2">紅綠燈!#REF!</definedName>
    <definedName name="外部資料_4772" localSheetId="2">紅綠燈!#REF!</definedName>
    <definedName name="外部資料_4773" localSheetId="2">紅綠燈!#REF!</definedName>
    <definedName name="外部資料_4775" localSheetId="2">紅綠燈!#REF!</definedName>
    <definedName name="外部資料_4776" localSheetId="2">紅綠燈!#REF!</definedName>
    <definedName name="外部資料_4777" localSheetId="2">紅綠燈!#REF!</definedName>
    <definedName name="外部資料_4779" localSheetId="2">紅綠燈!#REF!</definedName>
    <definedName name="外部資料_478" localSheetId="15">PKA!#REF!</definedName>
    <definedName name="外部資料_478" localSheetId="16">PKB!#REF!</definedName>
    <definedName name="外部資料_478" localSheetId="17">PKC!#REF!</definedName>
    <definedName name="外部資料_478" localSheetId="4">評比系統!$T$1:$T$3</definedName>
    <definedName name="外部資料_4780" localSheetId="2">紅綠燈!#REF!</definedName>
    <definedName name="外部資料_4781" localSheetId="2">紅綠燈!#REF!</definedName>
    <definedName name="外部資料_4783" localSheetId="2">紅綠燈!#REF!</definedName>
    <definedName name="外部資料_4784" localSheetId="2">紅綠燈!#REF!</definedName>
    <definedName name="外部資料_4785" localSheetId="2">紅綠燈!#REF!</definedName>
    <definedName name="外部資料_4787" localSheetId="2">紅綠燈!#REF!</definedName>
    <definedName name="外部資料_4788" localSheetId="2">紅綠燈!#REF!</definedName>
    <definedName name="外部資料_4789" localSheetId="2">紅綠燈!#REF!</definedName>
    <definedName name="外部資料_479" localSheetId="15">PKA!#REF!</definedName>
    <definedName name="外部資料_479" localSheetId="16">PKB!#REF!</definedName>
    <definedName name="外部資料_479" localSheetId="17">PKC!#REF!</definedName>
    <definedName name="外部資料_479" localSheetId="4">評比系統!$T$1:$T$3</definedName>
    <definedName name="外部資料_4791" localSheetId="2">紅綠燈!#REF!</definedName>
    <definedName name="外部資料_4792" localSheetId="2">紅綠燈!#REF!</definedName>
    <definedName name="外部資料_4793" localSheetId="2">紅綠燈!#REF!</definedName>
    <definedName name="外部資料_4795" localSheetId="2">紅綠燈!#REF!</definedName>
    <definedName name="外部資料_4796" localSheetId="2">紅綠燈!#REF!</definedName>
    <definedName name="外部資料_4797" localSheetId="2">紅綠燈!#REF!</definedName>
    <definedName name="外部資料_4799" localSheetId="2">紅綠燈!#REF!</definedName>
    <definedName name="外部資料_48" localSheetId="15">PKA!#REF!</definedName>
    <definedName name="外部資料_48" localSheetId="16">PKB!#REF!</definedName>
    <definedName name="外部資料_48" localSheetId="17">PKC!#REF!</definedName>
    <definedName name="外部資料_48" localSheetId="8">PSR!#REF!</definedName>
    <definedName name="外部資料_48" localSheetId="4">評比系統!#REF!</definedName>
    <definedName name="外部資料_48" localSheetId="18">福邦!#REF!</definedName>
    <definedName name="外部資料_48" localSheetId="7">營收搶先報!#REF!</definedName>
    <definedName name="外部資料_480" localSheetId="15">PKA!#REF!</definedName>
    <definedName name="外部資料_480" localSheetId="16">PKB!#REF!</definedName>
    <definedName name="外部資料_480" localSheetId="17">PKC!#REF!</definedName>
    <definedName name="外部資料_480" localSheetId="4">評比系統!$T$1:$T$3</definedName>
    <definedName name="外部資料_4800" localSheetId="2">紅綠燈!#REF!</definedName>
    <definedName name="外部資料_4801" localSheetId="2">紅綠燈!#REF!</definedName>
    <definedName name="外部資料_4803" localSheetId="2">紅綠燈!#REF!</definedName>
    <definedName name="外部資料_4804" localSheetId="2">紅綠燈!#REF!</definedName>
    <definedName name="外部資料_4805" localSheetId="2">紅綠燈!#REF!</definedName>
    <definedName name="外部資料_4807" localSheetId="2">紅綠燈!#REF!</definedName>
    <definedName name="外部資料_4808" localSheetId="2">紅綠燈!#REF!</definedName>
    <definedName name="外部資料_4809" localSheetId="2">紅綠燈!#REF!</definedName>
    <definedName name="外部資料_481" localSheetId="15">PKA!#REF!</definedName>
    <definedName name="外部資料_481" localSheetId="16">PKB!#REF!</definedName>
    <definedName name="外部資料_481" localSheetId="17">PKC!#REF!</definedName>
    <definedName name="外部資料_481" localSheetId="4">評比系統!$T$1:$T$3</definedName>
    <definedName name="外部資料_4811" localSheetId="2">紅綠燈!#REF!</definedName>
    <definedName name="外部資料_4812" localSheetId="2">紅綠燈!#REF!</definedName>
    <definedName name="外部資料_4813" localSheetId="2">紅綠燈!#REF!</definedName>
    <definedName name="外部資料_4815" localSheetId="2">紅綠燈!#REF!</definedName>
    <definedName name="外部資料_4816" localSheetId="2">紅綠燈!#REF!</definedName>
    <definedName name="外部資料_4817" localSheetId="2">紅綠燈!#REF!</definedName>
    <definedName name="外部資料_4819" localSheetId="2">紅綠燈!#REF!</definedName>
    <definedName name="外部資料_482" localSheetId="15">PKA!#REF!</definedName>
    <definedName name="外部資料_482" localSheetId="16">PKB!#REF!</definedName>
    <definedName name="外部資料_482" localSheetId="17">PKC!#REF!</definedName>
    <definedName name="外部資料_482" localSheetId="4">評比系統!$T$1:$T$3</definedName>
    <definedName name="外部資料_4820" localSheetId="2">紅綠燈!#REF!</definedName>
    <definedName name="外部資料_4821" localSheetId="2">紅綠燈!#REF!</definedName>
    <definedName name="外部資料_4823" localSheetId="2">紅綠燈!#REF!</definedName>
    <definedName name="外部資料_4824" localSheetId="2">紅綠燈!#REF!</definedName>
    <definedName name="外部資料_4825" localSheetId="2">紅綠燈!#REF!</definedName>
    <definedName name="外部資料_4827" localSheetId="2">紅綠燈!#REF!</definedName>
    <definedName name="外部資料_4828" localSheetId="2">紅綠燈!#REF!</definedName>
    <definedName name="外部資料_4829" localSheetId="2">紅綠燈!#REF!</definedName>
    <definedName name="外部資料_483" localSheetId="15">PKA!#REF!</definedName>
    <definedName name="外部資料_483" localSheetId="16">PKB!#REF!</definedName>
    <definedName name="外部資料_483" localSheetId="17">PKC!#REF!</definedName>
    <definedName name="外部資料_483" localSheetId="4">評比系統!$T$1:$T$3</definedName>
    <definedName name="外部資料_4831" localSheetId="2">紅綠燈!#REF!</definedName>
    <definedName name="外部資料_4832" localSheetId="2">紅綠燈!#REF!</definedName>
    <definedName name="外部資料_4833" localSheetId="2">紅綠燈!#REF!</definedName>
    <definedName name="外部資料_4835" localSheetId="2">紅綠燈!#REF!</definedName>
    <definedName name="外部資料_4836" localSheetId="2">紅綠燈!#REF!</definedName>
    <definedName name="外部資料_4837" localSheetId="2">紅綠燈!#REF!</definedName>
    <definedName name="外部資料_4839" localSheetId="2">紅綠燈!#REF!</definedName>
    <definedName name="外部資料_484" localSheetId="15">PKA!#REF!</definedName>
    <definedName name="外部資料_484" localSheetId="16">PKB!#REF!</definedName>
    <definedName name="外部資料_484" localSheetId="17">PKC!#REF!</definedName>
    <definedName name="外部資料_484" localSheetId="4">評比系統!$T$1:$T$3</definedName>
    <definedName name="外部資料_4840" localSheetId="2">紅綠燈!#REF!</definedName>
    <definedName name="外部資料_4841" localSheetId="2">紅綠燈!#REF!</definedName>
    <definedName name="外部資料_4843" localSheetId="2">紅綠燈!#REF!</definedName>
    <definedName name="外部資料_4844" localSheetId="2">紅綠燈!#REF!</definedName>
    <definedName name="外部資料_4845" localSheetId="2">紅綠燈!#REF!</definedName>
    <definedName name="外部資料_4847" localSheetId="2">紅綠燈!#REF!</definedName>
    <definedName name="外部資料_4848" localSheetId="2">紅綠燈!#REF!</definedName>
    <definedName name="外部資料_4849" localSheetId="2">紅綠燈!#REF!</definedName>
    <definedName name="外部資料_485" localSheetId="15">PKA!#REF!</definedName>
    <definedName name="外部資料_485" localSheetId="16">PKB!#REF!</definedName>
    <definedName name="外部資料_485" localSheetId="17">PKC!#REF!</definedName>
    <definedName name="外部資料_485" localSheetId="4">評比系統!$T$1:$T$3</definedName>
    <definedName name="外部資料_4851" localSheetId="2">紅綠燈!#REF!</definedName>
    <definedName name="外部資料_4852" localSheetId="2">紅綠燈!#REF!</definedName>
    <definedName name="外部資料_4853" localSheetId="2">紅綠燈!#REF!</definedName>
    <definedName name="外部資料_4855" localSheetId="2">紅綠燈!#REF!</definedName>
    <definedName name="外部資料_4856" localSheetId="2">紅綠燈!#REF!</definedName>
    <definedName name="外部資料_4857" localSheetId="2">紅綠燈!#REF!</definedName>
    <definedName name="外部資料_4859" localSheetId="2">紅綠燈!#REF!</definedName>
    <definedName name="外部資料_486" localSheetId="15">PKA!#REF!</definedName>
    <definedName name="外部資料_486" localSheetId="16">PKB!#REF!</definedName>
    <definedName name="外部資料_486" localSheetId="17">PKC!#REF!</definedName>
    <definedName name="外部資料_486" localSheetId="4">評比系統!$T$1:$T$3</definedName>
    <definedName name="外部資料_4860" localSheetId="2">紅綠燈!#REF!</definedName>
    <definedName name="外部資料_4861" localSheetId="2">紅綠燈!#REF!</definedName>
    <definedName name="外部資料_4863" localSheetId="2">紅綠燈!#REF!</definedName>
    <definedName name="外部資料_4864" localSheetId="2">紅綠燈!#REF!</definedName>
    <definedName name="外部資料_4865" localSheetId="2">紅綠燈!#REF!</definedName>
    <definedName name="外部資料_4867" localSheetId="2">紅綠燈!#REF!</definedName>
    <definedName name="外部資料_4868" localSheetId="2">紅綠燈!#REF!</definedName>
    <definedName name="外部資料_4869" localSheetId="2">紅綠燈!#REF!</definedName>
    <definedName name="外部資料_487" localSheetId="15">PKA!#REF!</definedName>
    <definedName name="外部資料_487" localSheetId="16">PKB!#REF!</definedName>
    <definedName name="外部資料_487" localSheetId="17">PKC!#REF!</definedName>
    <definedName name="外部資料_487" localSheetId="4">評比系統!$T$1:$T$3</definedName>
    <definedName name="外部資料_4871" localSheetId="2">紅綠燈!#REF!</definedName>
    <definedName name="外部資料_4872" localSheetId="2">紅綠燈!#REF!</definedName>
    <definedName name="外部資料_4873" localSheetId="2">紅綠燈!#REF!</definedName>
    <definedName name="外部資料_4875" localSheetId="2">紅綠燈!#REF!</definedName>
    <definedName name="外部資料_4876" localSheetId="2">紅綠燈!#REF!</definedName>
    <definedName name="外部資料_4877" localSheetId="2">紅綠燈!#REF!</definedName>
    <definedName name="外部資料_4879" localSheetId="2">紅綠燈!#REF!</definedName>
    <definedName name="外部資料_488" localSheetId="15">PKA!#REF!</definedName>
    <definedName name="外部資料_488" localSheetId="16">PKB!#REF!</definedName>
    <definedName name="外部資料_488" localSheetId="17">PKC!#REF!</definedName>
    <definedName name="外部資料_488" localSheetId="4">評比系統!$T$1:$T$3</definedName>
    <definedName name="外部資料_4880" localSheetId="2">紅綠燈!#REF!</definedName>
    <definedName name="外部資料_4881" localSheetId="2">紅綠燈!#REF!</definedName>
    <definedName name="外部資料_4883" localSheetId="2">紅綠燈!#REF!</definedName>
    <definedName name="外部資料_4884" localSheetId="2">紅綠燈!#REF!</definedName>
    <definedName name="外部資料_4885" localSheetId="2">紅綠燈!#REF!</definedName>
    <definedName name="外部資料_4887" localSheetId="2">紅綠燈!#REF!</definedName>
    <definedName name="外部資料_4888" localSheetId="2">紅綠燈!#REF!</definedName>
    <definedName name="外部資料_4889" localSheetId="2">紅綠燈!#REF!</definedName>
    <definedName name="外部資料_489" localSheetId="15">PKA!#REF!</definedName>
    <definedName name="外部資料_489" localSheetId="16">PKB!#REF!</definedName>
    <definedName name="外部資料_489" localSheetId="17">PKC!#REF!</definedName>
    <definedName name="外部資料_489" localSheetId="4">評比系統!$T$1:$T$3</definedName>
    <definedName name="外部資料_4891" localSheetId="2">紅綠燈!#REF!</definedName>
    <definedName name="外部資料_4892" localSheetId="2">紅綠燈!#REF!</definedName>
    <definedName name="外部資料_4893" localSheetId="2">紅綠燈!#REF!</definedName>
    <definedName name="外部資料_4895" localSheetId="2">紅綠燈!#REF!</definedName>
    <definedName name="外部資料_4896" localSheetId="2">紅綠燈!#REF!</definedName>
    <definedName name="外部資料_4897" localSheetId="2">紅綠燈!#REF!</definedName>
    <definedName name="外部資料_4899" localSheetId="2">紅綠燈!#REF!</definedName>
    <definedName name="外部資料_49" localSheetId="15">PKA!#REF!</definedName>
    <definedName name="外部資料_49" localSheetId="16">PKB!#REF!</definedName>
    <definedName name="外部資料_49" localSheetId="17">PKC!#REF!</definedName>
    <definedName name="外部資料_49" localSheetId="8">PSR!#REF!</definedName>
    <definedName name="外部資料_49" localSheetId="4">評比系統!#REF!</definedName>
    <definedName name="外部資料_49" localSheetId="18">福邦!#REF!</definedName>
    <definedName name="外部資料_49" localSheetId="7">營收搶先報!#REF!</definedName>
    <definedName name="外部資料_490" localSheetId="15">PKA!#REF!</definedName>
    <definedName name="外部資料_490" localSheetId="16">PKB!#REF!</definedName>
    <definedName name="外部資料_490" localSheetId="17">PKC!#REF!</definedName>
    <definedName name="外部資料_490" localSheetId="4">評比系統!$T$1:$T$3</definedName>
    <definedName name="外部資料_4900" localSheetId="2">紅綠燈!#REF!</definedName>
    <definedName name="外部資料_4901" localSheetId="2">紅綠燈!#REF!</definedName>
    <definedName name="外部資料_4903" localSheetId="2">紅綠燈!#REF!</definedName>
    <definedName name="外部資料_4904" localSheetId="2">紅綠燈!#REF!</definedName>
    <definedName name="外部資料_4905" localSheetId="2">紅綠燈!#REF!</definedName>
    <definedName name="外部資料_4907" localSheetId="2">紅綠燈!#REF!</definedName>
    <definedName name="外部資料_4908" localSheetId="2">紅綠燈!#REF!</definedName>
    <definedName name="外部資料_4909" localSheetId="2">紅綠燈!#REF!</definedName>
    <definedName name="外部資料_491" localSheetId="15">PKA!#REF!</definedName>
    <definedName name="外部資料_491" localSheetId="16">PKB!#REF!</definedName>
    <definedName name="外部資料_491" localSheetId="17">PKC!#REF!</definedName>
    <definedName name="外部資料_491" localSheetId="4">評比系統!$T$1:$T$3</definedName>
    <definedName name="外部資料_4911" localSheetId="2">紅綠燈!#REF!</definedName>
    <definedName name="外部資料_4912" localSheetId="2">紅綠燈!#REF!</definedName>
    <definedName name="外部資料_4913" localSheetId="2">紅綠燈!#REF!</definedName>
    <definedName name="外部資料_4915" localSheetId="2">紅綠燈!#REF!</definedName>
    <definedName name="外部資料_4916" localSheetId="2">紅綠燈!#REF!</definedName>
    <definedName name="外部資料_4917" localSheetId="2">紅綠燈!#REF!</definedName>
    <definedName name="外部資料_4919" localSheetId="2">紅綠燈!#REF!</definedName>
    <definedName name="外部資料_492" localSheetId="15">PKA!#REF!</definedName>
    <definedName name="外部資料_492" localSheetId="16">PKB!#REF!</definedName>
    <definedName name="外部資料_492" localSheetId="17">PKC!#REF!</definedName>
    <definedName name="外部資料_492" localSheetId="4">評比系統!$T$1:$T$3</definedName>
    <definedName name="外部資料_4920" localSheetId="2">紅綠燈!#REF!</definedName>
    <definedName name="外部資料_4921" localSheetId="2">紅綠燈!#REF!</definedName>
    <definedName name="外部資料_4923" localSheetId="2">紅綠燈!#REF!</definedName>
    <definedName name="外部資料_4924" localSheetId="2">紅綠燈!#REF!</definedName>
    <definedName name="外部資料_4925" localSheetId="2">紅綠燈!#REF!</definedName>
    <definedName name="外部資料_4927" localSheetId="2">紅綠燈!#REF!</definedName>
    <definedName name="外部資料_4928" localSheetId="2">紅綠燈!#REF!</definedName>
    <definedName name="外部資料_4929" localSheetId="2">紅綠燈!#REF!</definedName>
    <definedName name="外部資料_493" localSheetId="15">PKA!#REF!</definedName>
    <definedName name="外部資料_493" localSheetId="16">PKB!#REF!</definedName>
    <definedName name="外部資料_493" localSheetId="17">PKC!#REF!</definedName>
    <definedName name="外部資料_493" localSheetId="4">評比系統!$T$1:$T$3</definedName>
    <definedName name="外部資料_4931" localSheetId="2">紅綠燈!#REF!</definedName>
    <definedName name="外部資料_4932" localSheetId="2">紅綠燈!#REF!</definedName>
    <definedName name="外部資料_4933" localSheetId="2">紅綠燈!#REF!</definedName>
    <definedName name="外部資料_4935" localSheetId="2">紅綠燈!#REF!</definedName>
    <definedName name="外部資料_4936" localSheetId="2">紅綠燈!#REF!</definedName>
    <definedName name="外部資料_4937" localSheetId="2">紅綠燈!#REF!</definedName>
    <definedName name="外部資料_4939" localSheetId="2">紅綠燈!#REF!</definedName>
    <definedName name="外部資料_494" localSheetId="15">PKA!#REF!</definedName>
    <definedName name="外部資料_494" localSheetId="16">PKB!#REF!</definedName>
    <definedName name="外部資料_494" localSheetId="17">PKC!#REF!</definedName>
    <definedName name="外部資料_494" localSheetId="4">評比系統!$T$1:$T$3</definedName>
    <definedName name="外部資料_4940" localSheetId="2">紅綠燈!#REF!</definedName>
    <definedName name="外部資料_4941" localSheetId="2">紅綠燈!#REF!</definedName>
    <definedName name="外部資料_4943" localSheetId="2">紅綠燈!#REF!</definedName>
    <definedName name="外部資料_4944" localSheetId="2">紅綠燈!#REF!</definedName>
    <definedName name="外部資料_4945" localSheetId="2">紅綠燈!#REF!</definedName>
    <definedName name="外部資料_4947" localSheetId="2">紅綠燈!#REF!</definedName>
    <definedName name="外部資料_4948" localSheetId="2">紅綠燈!#REF!</definedName>
    <definedName name="外部資料_4949" localSheetId="2">紅綠燈!#REF!</definedName>
    <definedName name="外部資料_495" localSheetId="15">PKA!#REF!</definedName>
    <definedName name="外部資料_495" localSheetId="16">PKB!#REF!</definedName>
    <definedName name="外部資料_495" localSheetId="17">PKC!#REF!</definedName>
    <definedName name="外部資料_495" localSheetId="4">評比系統!$T$1:$T$3</definedName>
    <definedName name="外部資料_4951" localSheetId="2">紅綠燈!#REF!</definedName>
    <definedName name="外部資料_4952" localSheetId="2">紅綠燈!#REF!</definedName>
    <definedName name="外部資料_4953" localSheetId="2">紅綠燈!#REF!</definedName>
    <definedName name="外部資料_4955" localSheetId="2">紅綠燈!#REF!</definedName>
    <definedName name="外部資料_4956" localSheetId="2">紅綠燈!#REF!</definedName>
    <definedName name="外部資料_4957" localSheetId="2">紅綠燈!#REF!</definedName>
    <definedName name="外部資料_4959" localSheetId="2">紅綠燈!#REF!</definedName>
    <definedName name="外部資料_496" localSheetId="15">PKA!#REF!</definedName>
    <definedName name="外部資料_496" localSheetId="16">PKB!#REF!</definedName>
    <definedName name="外部資料_496" localSheetId="17">PKC!#REF!</definedName>
    <definedName name="外部資料_496" localSheetId="4">評比系統!$T$1:$T$3</definedName>
    <definedName name="外部資料_4960" localSheetId="2">紅綠燈!#REF!</definedName>
    <definedName name="外部資料_4961" localSheetId="2">紅綠燈!#REF!</definedName>
    <definedName name="外部資料_4963" localSheetId="2">紅綠燈!#REF!</definedName>
    <definedName name="外部資料_4964" localSheetId="2">紅綠燈!#REF!</definedName>
    <definedName name="外部資料_4965" localSheetId="2">紅綠燈!#REF!</definedName>
    <definedName name="外部資料_4967" localSheetId="2">紅綠燈!#REF!</definedName>
    <definedName name="外部資料_4968" localSheetId="2">紅綠燈!#REF!</definedName>
    <definedName name="外部資料_4969" localSheetId="2">紅綠燈!#REF!</definedName>
    <definedName name="外部資料_497" localSheetId="15">PKA!#REF!</definedName>
    <definedName name="外部資料_497" localSheetId="16">PKB!#REF!</definedName>
    <definedName name="外部資料_497" localSheetId="17">PKC!#REF!</definedName>
    <definedName name="外部資料_497" localSheetId="4">評比系統!$T$1:$T$3</definedName>
    <definedName name="外部資料_4971" localSheetId="2">紅綠燈!#REF!</definedName>
    <definedName name="外部資料_4972" localSheetId="2">紅綠燈!#REF!</definedName>
    <definedName name="外部資料_4973" localSheetId="2">紅綠燈!#REF!</definedName>
    <definedName name="外部資料_4975" localSheetId="2">紅綠燈!#REF!</definedName>
    <definedName name="外部資料_4976" localSheetId="2">紅綠燈!#REF!</definedName>
    <definedName name="外部資料_4977" localSheetId="2">紅綠燈!#REF!</definedName>
    <definedName name="外部資料_4979" localSheetId="2">紅綠燈!#REF!</definedName>
    <definedName name="外部資料_498" localSheetId="15">PKA!#REF!</definedName>
    <definedName name="外部資料_498" localSheetId="16">PKB!#REF!</definedName>
    <definedName name="外部資料_498" localSheetId="17">PKC!#REF!</definedName>
    <definedName name="外部資料_498" localSheetId="4">評比系統!$T$1:$T$3</definedName>
    <definedName name="外部資料_4980" localSheetId="2">紅綠燈!#REF!</definedName>
    <definedName name="外部資料_4981" localSheetId="2">紅綠燈!#REF!</definedName>
    <definedName name="外部資料_4983" localSheetId="2">紅綠燈!#REF!</definedName>
    <definedName name="外部資料_4984" localSheetId="2">紅綠燈!#REF!</definedName>
    <definedName name="外部資料_4985" localSheetId="2">紅綠燈!#REF!</definedName>
    <definedName name="外部資料_4987" localSheetId="2">紅綠燈!#REF!</definedName>
    <definedName name="外部資料_4988" localSheetId="2">紅綠燈!#REF!</definedName>
    <definedName name="外部資料_4989" localSheetId="2">紅綠燈!#REF!</definedName>
    <definedName name="外部資料_499" localSheetId="15">PKA!#REF!</definedName>
    <definedName name="外部資料_499" localSheetId="16">PKB!#REF!</definedName>
    <definedName name="外部資料_499" localSheetId="17">PKC!#REF!</definedName>
    <definedName name="外部資料_499" localSheetId="4">評比系統!$T$1:$T$3</definedName>
    <definedName name="外部資料_4991" localSheetId="2">紅綠燈!#REF!</definedName>
    <definedName name="外部資料_4992" localSheetId="2">紅綠燈!#REF!</definedName>
    <definedName name="外部資料_4993" localSheetId="2">紅綠燈!#REF!</definedName>
    <definedName name="外部資料_4995" localSheetId="2">紅綠燈!#REF!</definedName>
    <definedName name="外部資料_4996" localSheetId="2">紅綠燈!#REF!</definedName>
    <definedName name="外部資料_4997" localSheetId="2">紅綠燈!#REF!</definedName>
    <definedName name="外部資料_4999" localSheetId="2">紅綠燈!#REF!</definedName>
    <definedName name="外部資料_5" localSheetId="15">PKA!#REF!</definedName>
    <definedName name="外部資料_5" localSheetId="16">PKB!#REF!</definedName>
    <definedName name="外部資料_5" localSheetId="17">PKC!#REF!</definedName>
    <definedName name="外部資料_5" localSheetId="8">PSR!#REF!</definedName>
    <definedName name="外部資料_5" localSheetId="2">紅綠燈!#REF!</definedName>
    <definedName name="外部資料_5" localSheetId="4">評比系統!#REF!</definedName>
    <definedName name="外部資料_5" localSheetId="18">福邦!#REF!</definedName>
    <definedName name="外部資料_5" localSheetId="5">篩股系統!#REF!</definedName>
    <definedName name="外部資料_5" localSheetId="7">營收搶先報!#REF!</definedName>
    <definedName name="外部資料_50" localSheetId="15">PKA!#REF!</definedName>
    <definedName name="外部資料_50" localSheetId="16">PKB!#REF!</definedName>
    <definedName name="外部資料_50" localSheetId="17">PKC!#REF!</definedName>
    <definedName name="外部資料_50" localSheetId="8">PSR!#REF!</definedName>
    <definedName name="外部資料_50" localSheetId="4">評比系統!#REF!</definedName>
    <definedName name="外部資料_50" localSheetId="18">福邦!#REF!</definedName>
    <definedName name="外部資料_50" localSheetId="5">篩股系統!$C$8:$S$65</definedName>
    <definedName name="外部資料_50" localSheetId="7">營收搶先報!#REF!</definedName>
    <definedName name="外部資料_500" localSheetId="15">PKA!#REF!</definedName>
    <definedName name="外部資料_500" localSheetId="16">PKB!#REF!</definedName>
    <definedName name="外部資料_500" localSheetId="17">PKC!#REF!</definedName>
    <definedName name="外部資料_500" localSheetId="4">評比系統!$T$1:$T$3</definedName>
    <definedName name="外部資料_5000" localSheetId="2">紅綠燈!#REF!</definedName>
    <definedName name="外部資料_5001" localSheetId="2">紅綠燈!#REF!</definedName>
    <definedName name="外部資料_5003" localSheetId="2">紅綠燈!#REF!</definedName>
    <definedName name="外部資料_5004" localSheetId="2">紅綠燈!#REF!</definedName>
    <definedName name="外部資料_5005" localSheetId="2">紅綠燈!#REF!</definedName>
    <definedName name="外部資料_5007" localSheetId="2">紅綠燈!#REF!</definedName>
    <definedName name="外部資料_5008" localSheetId="2">紅綠燈!#REF!</definedName>
    <definedName name="外部資料_5009" localSheetId="2">紅綠燈!#REF!</definedName>
    <definedName name="外部資料_501" localSheetId="15">PKA!#REF!</definedName>
    <definedName name="外部資料_501" localSheetId="16">PKB!#REF!</definedName>
    <definedName name="外部資料_501" localSheetId="17">PKC!#REF!</definedName>
    <definedName name="外部資料_501" localSheetId="4">評比系統!$T$1:$T$3</definedName>
    <definedName name="外部資料_5011" localSheetId="2">紅綠燈!#REF!</definedName>
    <definedName name="外部資料_5012" localSheetId="2">紅綠燈!#REF!</definedName>
    <definedName name="外部資料_5013" localSheetId="2">紅綠燈!#REF!</definedName>
    <definedName name="外部資料_5015" localSheetId="2">紅綠燈!#REF!</definedName>
    <definedName name="外部資料_5016" localSheetId="2">紅綠燈!#REF!</definedName>
    <definedName name="外部資料_5017" localSheetId="2">紅綠燈!#REF!</definedName>
    <definedName name="外部資料_5019" localSheetId="2">紅綠燈!#REF!</definedName>
    <definedName name="外部資料_502" localSheetId="15">PKA!#REF!</definedName>
    <definedName name="外部資料_502" localSheetId="16">PKB!#REF!</definedName>
    <definedName name="外部資料_502" localSheetId="17">PKC!#REF!</definedName>
    <definedName name="外部資料_502" localSheetId="4">評比系統!$T$1:$T$3</definedName>
    <definedName name="外部資料_5020" localSheetId="2">紅綠燈!#REF!</definedName>
    <definedName name="外部資料_5021" localSheetId="2">紅綠燈!#REF!</definedName>
    <definedName name="外部資料_5023" localSheetId="2">紅綠燈!#REF!</definedName>
    <definedName name="外部資料_5024" localSheetId="2">紅綠燈!#REF!</definedName>
    <definedName name="外部資料_5025" localSheetId="2">紅綠燈!#REF!</definedName>
    <definedName name="外部資料_5027" localSheetId="2">紅綠燈!#REF!</definedName>
    <definedName name="外部資料_5028" localSheetId="2">紅綠燈!#REF!</definedName>
    <definedName name="外部資料_5029" localSheetId="2">紅綠燈!#REF!</definedName>
    <definedName name="外部資料_503" localSheetId="15">PKA!#REF!</definedName>
    <definedName name="外部資料_503" localSheetId="16">PKB!#REF!</definedName>
    <definedName name="外部資料_503" localSheetId="17">PKC!#REF!</definedName>
    <definedName name="外部資料_503" localSheetId="4">評比系統!$T$1:$T$3</definedName>
    <definedName name="外部資料_5031" localSheetId="2">紅綠燈!#REF!</definedName>
    <definedName name="外部資料_5032" localSheetId="2">紅綠燈!#REF!</definedName>
    <definedName name="外部資料_5033" localSheetId="2">紅綠燈!#REF!</definedName>
    <definedName name="外部資料_5035" localSheetId="2">紅綠燈!#REF!</definedName>
    <definedName name="外部資料_5036" localSheetId="2">紅綠燈!#REF!</definedName>
    <definedName name="外部資料_5037" localSheetId="2">紅綠燈!#REF!</definedName>
    <definedName name="外部資料_5039" localSheetId="2">紅綠燈!#REF!</definedName>
    <definedName name="外部資料_504" localSheetId="15">PKA!#REF!</definedName>
    <definedName name="外部資料_504" localSheetId="16">PKB!#REF!</definedName>
    <definedName name="外部資料_504" localSheetId="17">PKC!#REF!</definedName>
    <definedName name="外部資料_504" localSheetId="4">評比系統!$T$1:$T$3</definedName>
    <definedName name="外部資料_5040" localSheetId="2">紅綠燈!#REF!</definedName>
    <definedName name="外部資料_5041" localSheetId="2">紅綠燈!#REF!</definedName>
    <definedName name="外部資料_5043" localSheetId="2">紅綠燈!#REF!</definedName>
    <definedName name="外部資料_5044" localSheetId="2">紅綠燈!#REF!</definedName>
    <definedName name="外部資料_5045" localSheetId="2">紅綠燈!#REF!</definedName>
    <definedName name="外部資料_5047" localSheetId="2">紅綠燈!#REF!</definedName>
    <definedName name="外部資料_5048" localSheetId="2">紅綠燈!#REF!</definedName>
    <definedName name="外部資料_5049" localSheetId="2">紅綠燈!#REF!</definedName>
    <definedName name="外部資料_505" localSheetId="15">PKA!#REF!</definedName>
    <definedName name="外部資料_505" localSheetId="16">PKB!#REF!</definedName>
    <definedName name="外部資料_505" localSheetId="17">PKC!#REF!</definedName>
    <definedName name="外部資料_505" localSheetId="4">評比系統!$T$1:$T$3</definedName>
    <definedName name="外部資料_5051" localSheetId="2">紅綠燈!#REF!</definedName>
    <definedName name="外部資料_5052" localSheetId="2">紅綠燈!#REF!</definedName>
    <definedName name="外部資料_5053" localSheetId="2">紅綠燈!#REF!</definedName>
    <definedName name="外部資料_5055" localSheetId="2">紅綠燈!#REF!</definedName>
    <definedName name="外部資料_5056" localSheetId="2">紅綠燈!#REF!</definedName>
    <definedName name="外部資料_5057" localSheetId="2">紅綠燈!#REF!</definedName>
    <definedName name="外部資料_5059" localSheetId="2">紅綠燈!#REF!</definedName>
    <definedName name="外部資料_506" localSheetId="15">PKA!#REF!</definedName>
    <definedName name="外部資料_506" localSheetId="16">PKB!#REF!</definedName>
    <definedName name="外部資料_506" localSheetId="17">PKC!#REF!</definedName>
    <definedName name="外部資料_506" localSheetId="4">評比系統!$T$1:$T$3</definedName>
    <definedName name="外部資料_5060" localSheetId="2">紅綠燈!#REF!</definedName>
    <definedName name="外部資料_5061" localSheetId="2">紅綠燈!#REF!</definedName>
    <definedName name="外部資料_5063" localSheetId="2">紅綠燈!#REF!</definedName>
    <definedName name="外部資料_5064" localSheetId="2">紅綠燈!#REF!</definedName>
    <definedName name="外部資料_5065" localSheetId="2">紅綠燈!#REF!</definedName>
    <definedName name="外部資料_5067" localSheetId="2">紅綠燈!#REF!</definedName>
    <definedName name="外部資料_5068" localSheetId="2">紅綠燈!#REF!</definedName>
    <definedName name="外部資料_5069" localSheetId="2">紅綠燈!#REF!</definedName>
    <definedName name="外部資料_507" localSheetId="15">PKA!#REF!</definedName>
    <definedName name="外部資料_507" localSheetId="16">PKB!#REF!</definedName>
    <definedName name="外部資料_507" localSheetId="17">PKC!#REF!</definedName>
    <definedName name="外部資料_507" localSheetId="4">評比系統!$T$1:$T$3</definedName>
    <definedName name="外部資料_5071" localSheetId="2">紅綠燈!#REF!</definedName>
    <definedName name="外部資料_5072" localSheetId="2">紅綠燈!#REF!</definedName>
    <definedName name="外部資料_5073" localSheetId="2">紅綠燈!#REF!</definedName>
    <definedName name="外部資料_5075" localSheetId="2">紅綠燈!#REF!</definedName>
    <definedName name="外部資料_5076" localSheetId="2">紅綠燈!#REF!</definedName>
    <definedName name="外部資料_5077" localSheetId="2">紅綠燈!#REF!</definedName>
    <definedName name="外部資料_5079" localSheetId="2">紅綠燈!#REF!</definedName>
    <definedName name="外部資料_508" localSheetId="15">PKA!#REF!</definedName>
    <definedName name="外部資料_508" localSheetId="16">PKB!#REF!</definedName>
    <definedName name="外部資料_508" localSheetId="17">PKC!#REF!</definedName>
    <definedName name="外部資料_508" localSheetId="4">評比系統!$T$1:$T$3</definedName>
    <definedName name="外部資料_5080" localSheetId="2">紅綠燈!#REF!</definedName>
    <definedName name="外部資料_5081" localSheetId="2">紅綠燈!#REF!</definedName>
    <definedName name="外部資料_5083" localSheetId="2">紅綠燈!#REF!</definedName>
    <definedName name="外部資料_5084" localSheetId="2">紅綠燈!#REF!</definedName>
    <definedName name="外部資料_5085" localSheetId="2">紅綠燈!#REF!</definedName>
    <definedName name="外部資料_5087" localSheetId="2">紅綠燈!#REF!</definedName>
    <definedName name="外部資料_5088" localSheetId="2">紅綠燈!#REF!</definedName>
    <definedName name="外部資料_5089" localSheetId="2">紅綠燈!#REF!</definedName>
    <definedName name="外部資料_509" localSheetId="15">PKA!#REF!</definedName>
    <definedName name="外部資料_509" localSheetId="16">PKB!#REF!</definedName>
    <definedName name="外部資料_509" localSheetId="17">PKC!#REF!</definedName>
    <definedName name="外部資料_509" localSheetId="4">評比系統!$T$1:$T$3</definedName>
    <definedName name="外部資料_5091" localSheetId="2">紅綠燈!#REF!</definedName>
    <definedName name="外部資料_5092" localSheetId="2">紅綠燈!#REF!</definedName>
    <definedName name="外部資料_5093" localSheetId="2">紅綠燈!#REF!</definedName>
    <definedName name="外部資料_5095" localSheetId="2">紅綠燈!#REF!</definedName>
    <definedName name="外部資料_5096" localSheetId="2">紅綠燈!#REF!</definedName>
    <definedName name="外部資料_5097" localSheetId="2">紅綠燈!#REF!</definedName>
    <definedName name="外部資料_5099" localSheetId="2">紅綠燈!#REF!</definedName>
    <definedName name="外部資料_51" localSheetId="15">PKA!#REF!</definedName>
    <definedName name="外部資料_51" localSheetId="16">PKB!#REF!</definedName>
    <definedName name="外部資料_51" localSheetId="17">PKC!#REF!</definedName>
    <definedName name="外部資料_51" localSheetId="8">PSR!#REF!</definedName>
    <definedName name="外部資料_51" localSheetId="4">評比系統!$T$1:$T$3</definedName>
    <definedName name="外部資料_51" localSheetId="18">福邦!#REF!</definedName>
    <definedName name="外部資料_51" localSheetId="7">營收搶先報!#REF!</definedName>
    <definedName name="外部資料_510" localSheetId="15">PKA!#REF!</definedName>
    <definedName name="外部資料_510" localSheetId="16">PKB!#REF!</definedName>
    <definedName name="外部資料_510" localSheetId="17">PKC!#REF!</definedName>
    <definedName name="外部資料_510" localSheetId="4">評比系統!$T$1:$T$3</definedName>
    <definedName name="外部資料_5100" localSheetId="2">紅綠燈!#REF!</definedName>
    <definedName name="外部資料_5101" localSheetId="2">紅綠燈!#REF!</definedName>
    <definedName name="外部資料_5103" localSheetId="2">紅綠燈!#REF!</definedName>
    <definedName name="外部資料_5104" localSheetId="2">紅綠燈!#REF!</definedName>
    <definedName name="外部資料_5105" localSheetId="2">紅綠燈!#REF!</definedName>
    <definedName name="外部資料_5107" localSheetId="2">紅綠燈!#REF!</definedName>
    <definedName name="外部資料_5108" localSheetId="2">紅綠燈!#REF!</definedName>
    <definedName name="外部資料_5109" localSheetId="2">紅綠燈!#REF!</definedName>
    <definedName name="外部資料_511" localSheetId="15">PKA!#REF!</definedName>
    <definedName name="外部資料_511" localSheetId="16">PKB!#REF!</definedName>
    <definedName name="外部資料_511" localSheetId="17">PKC!#REF!</definedName>
    <definedName name="外部資料_511" localSheetId="4">評比系統!$T$1:$T$3</definedName>
    <definedName name="外部資料_5111" localSheetId="2">紅綠燈!#REF!</definedName>
    <definedName name="外部資料_5112" localSheetId="2">紅綠燈!#REF!</definedName>
    <definedName name="外部資料_5113" localSheetId="2">紅綠燈!#REF!</definedName>
    <definedName name="外部資料_5115" localSheetId="2">紅綠燈!#REF!</definedName>
    <definedName name="外部資料_5116" localSheetId="2">紅綠燈!#REF!</definedName>
    <definedName name="外部資料_5117" localSheetId="2">紅綠燈!#REF!</definedName>
    <definedName name="外部資料_5119" localSheetId="2">紅綠燈!#REF!</definedName>
    <definedName name="外部資料_512" localSheetId="15">PKA!#REF!</definedName>
    <definedName name="外部資料_512" localSheetId="16">PKB!#REF!</definedName>
    <definedName name="外部資料_512" localSheetId="17">PKC!#REF!</definedName>
    <definedName name="外部資料_512" localSheetId="4">評比系統!$T$1:$T$3</definedName>
    <definedName name="外部資料_5120" localSheetId="2">紅綠燈!#REF!</definedName>
    <definedName name="外部資料_5121" localSheetId="2">紅綠燈!#REF!</definedName>
    <definedName name="外部資料_5123" localSheetId="2">紅綠燈!#REF!</definedName>
    <definedName name="外部資料_5124" localSheetId="2">紅綠燈!#REF!</definedName>
    <definedName name="外部資料_5125" localSheetId="2">紅綠燈!#REF!</definedName>
    <definedName name="外部資料_5127" localSheetId="2">紅綠燈!#REF!</definedName>
    <definedName name="外部資料_5128" localSheetId="2">紅綠燈!#REF!</definedName>
    <definedName name="外部資料_5129" localSheetId="2">紅綠燈!#REF!</definedName>
    <definedName name="外部資料_513" localSheetId="15">PKA!#REF!</definedName>
    <definedName name="外部資料_513" localSheetId="16">PKB!#REF!</definedName>
    <definedName name="外部資料_513" localSheetId="17">PKC!#REF!</definedName>
    <definedName name="外部資料_513" localSheetId="4">評比系統!$T$1:$T$3</definedName>
    <definedName name="外部資料_5131" localSheetId="2">紅綠燈!#REF!</definedName>
    <definedName name="外部資料_5132" localSheetId="2">紅綠燈!#REF!</definedName>
    <definedName name="外部資料_5133" localSheetId="2">紅綠燈!#REF!</definedName>
    <definedName name="外部資料_5135" localSheetId="2">紅綠燈!#REF!</definedName>
    <definedName name="外部資料_5136" localSheetId="2">紅綠燈!#REF!</definedName>
    <definedName name="外部資料_5137" localSheetId="2">紅綠燈!#REF!</definedName>
    <definedName name="外部資料_5139" localSheetId="2">紅綠燈!#REF!</definedName>
    <definedName name="外部資料_514" localSheetId="15">PKA!#REF!</definedName>
    <definedName name="外部資料_514" localSheetId="16">PKB!#REF!</definedName>
    <definedName name="外部資料_514" localSheetId="17">PKC!#REF!</definedName>
    <definedName name="外部資料_514" localSheetId="4">評比系統!$T$1:$T$3</definedName>
    <definedName name="外部資料_5140" localSheetId="2">紅綠燈!#REF!</definedName>
    <definedName name="外部資料_5141" localSheetId="2">紅綠燈!#REF!</definedName>
    <definedName name="外部資料_5143" localSheetId="2">紅綠燈!#REF!</definedName>
    <definedName name="外部資料_5144" localSheetId="2">紅綠燈!#REF!</definedName>
    <definedName name="外部資料_5145" localSheetId="2">紅綠燈!#REF!</definedName>
    <definedName name="外部資料_5147" localSheetId="2">紅綠燈!#REF!</definedName>
    <definedName name="外部資料_5148" localSheetId="2">紅綠燈!#REF!</definedName>
    <definedName name="外部資料_5149" localSheetId="2">紅綠燈!#REF!</definedName>
    <definedName name="外部資料_515" localSheetId="15">PKA!#REF!</definedName>
    <definedName name="外部資料_515" localSheetId="16">PKB!#REF!</definedName>
    <definedName name="外部資料_515" localSheetId="17">PKC!#REF!</definedName>
    <definedName name="外部資料_515" localSheetId="4">評比系統!$T$1:$T$3</definedName>
    <definedName name="外部資料_5151" localSheetId="2">紅綠燈!#REF!</definedName>
    <definedName name="外部資料_5152" localSheetId="2">紅綠燈!#REF!</definedName>
    <definedName name="外部資料_5153" localSheetId="2">紅綠燈!#REF!</definedName>
    <definedName name="外部資料_5155" localSheetId="2">紅綠燈!#REF!</definedName>
    <definedName name="外部資料_5156" localSheetId="2">紅綠燈!#REF!</definedName>
    <definedName name="外部資料_5157" localSheetId="2">紅綠燈!#REF!</definedName>
    <definedName name="外部資料_5159" localSheetId="2">紅綠燈!#REF!</definedName>
    <definedName name="外部資料_516" localSheetId="15">PKA!#REF!</definedName>
    <definedName name="外部資料_516" localSheetId="16">PKB!#REF!</definedName>
    <definedName name="外部資料_516" localSheetId="17">PKC!#REF!</definedName>
    <definedName name="外部資料_516" localSheetId="4">評比系統!$T$1:$T$3</definedName>
    <definedName name="外部資料_5160" localSheetId="2">紅綠燈!#REF!</definedName>
    <definedName name="外部資料_5161" localSheetId="2">紅綠燈!#REF!</definedName>
    <definedName name="外部資料_5163" localSheetId="2">紅綠燈!#REF!</definedName>
    <definedName name="外部資料_5164" localSheetId="2">紅綠燈!#REF!</definedName>
    <definedName name="外部資料_5165" localSheetId="2">紅綠燈!#REF!</definedName>
    <definedName name="外部資料_5167" localSheetId="2">紅綠燈!#REF!</definedName>
    <definedName name="外部資料_5168" localSheetId="2">紅綠燈!#REF!</definedName>
    <definedName name="外部資料_5169" localSheetId="2">紅綠燈!#REF!</definedName>
    <definedName name="外部資料_517" localSheetId="15">PKA!#REF!</definedName>
    <definedName name="外部資料_517" localSheetId="16">PKB!#REF!</definedName>
    <definedName name="外部資料_517" localSheetId="17">PKC!#REF!</definedName>
    <definedName name="外部資料_517" localSheetId="4">評比系統!$T$1:$T$3</definedName>
    <definedName name="外部資料_5171" localSheetId="2">紅綠燈!#REF!</definedName>
    <definedName name="外部資料_5172" localSheetId="2">紅綠燈!#REF!</definedName>
    <definedName name="外部資料_5173" localSheetId="2">紅綠燈!#REF!</definedName>
    <definedName name="外部資料_5175" localSheetId="2">紅綠燈!#REF!</definedName>
    <definedName name="外部資料_5176" localSheetId="2">紅綠燈!#REF!</definedName>
    <definedName name="外部資料_5177" localSheetId="2">紅綠燈!#REF!</definedName>
    <definedName name="外部資料_5179" localSheetId="2">紅綠燈!#REF!</definedName>
    <definedName name="外部資料_518" localSheetId="15">PKA!#REF!</definedName>
    <definedName name="外部資料_518" localSheetId="16">PKB!#REF!</definedName>
    <definedName name="外部資料_518" localSheetId="17">PKC!#REF!</definedName>
    <definedName name="外部資料_518" localSheetId="4">評比系統!$T$1:$T$3</definedName>
    <definedName name="外部資料_5180" localSheetId="2">紅綠燈!#REF!</definedName>
    <definedName name="外部資料_5181" localSheetId="2">紅綠燈!#REF!</definedName>
    <definedName name="外部資料_5183" localSheetId="2">紅綠燈!#REF!</definedName>
    <definedName name="外部資料_5184" localSheetId="2">紅綠燈!#REF!</definedName>
    <definedName name="外部資料_5185" localSheetId="2">紅綠燈!#REF!</definedName>
    <definedName name="外部資料_5187" localSheetId="2">紅綠燈!#REF!</definedName>
    <definedName name="外部資料_5188" localSheetId="2">紅綠燈!#REF!</definedName>
    <definedName name="外部資料_5189" localSheetId="2">紅綠燈!#REF!</definedName>
    <definedName name="外部資料_519" localSheetId="15">PKA!#REF!</definedName>
    <definedName name="外部資料_519" localSheetId="16">PKB!#REF!</definedName>
    <definedName name="外部資料_519" localSheetId="17">PKC!#REF!</definedName>
    <definedName name="外部資料_519" localSheetId="4">評比系統!$T$1:$T$3</definedName>
    <definedName name="外部資料_5191" localSheetId="2">紅綠燈!#REF!</definedName>
    <definedName name="外部資料_5192" localSheetId="2">紅綠燈!#REF!</definedName>
    <definedName name="外部資料_5193" localSheetId="2">紅綠燈!#REF!</definedName>
    <definedName name="外部資料_5195" localSheetId="2">紅綠燈!#REF!</definedName>
    <definedName name="外部資料_5196" localSheetId="2">紅綠燈!#REF!</definedName>
    <definedName name="外部資料_5197" localSheetId="2">紅綠燈!#REF!</definedName>
    <definedName name="外部資料_5199" localSheetId="2">紅綠燈!#REF!</definedName>
    <definedName name="外部資料_52" localSheetId="15">PKA!#REF!</definedName>
    <definedName name="外部資料_52" localSheetId="16">PKB!#REF!</definedName>
    <definedName name="外部資料_52" localSheetId="17">PKC!#REF!</definedName>
    <definedName name="外部資料_52" localSheetId="8">PSR!#REF!</definedName>
    <definedName name="外部資料_52" localSheetId="4">評比系統!$T$1:$T$3</definedName>
    <definedName name="外部資料_52" localSheetId="18">福邦!#REF!</definedName>
    <definedName name="外部資料_52" localSheetId="7">營收搶先報!#REF!</definedName>
    <definedName name="外部資料_520" localSheetId="15">PKA!#REF!</definedName>
    <definedName name="外部資料_520" localSheetId="16">PKB!#REF!</definedName>
    <definedName name="外部資料_520" localSheetId="17">PKC!#REF!</definedName>
    <definedName name="外部資料_520" localSheetId="4">評比系統!$T$1:$T$3</definedName>
    <definedName name="外部資料_5200" localSheetId="2">紅綠燈!#REF!</definedName>
    <definedName name="外部資料_5201" localSheetId="2">紅綠燈!#REF!</definedName>
    <definedName name="外部資料_5203" localSheetId="2">紅綠燈!#REF!</definedName>
    <definedName name="外部資料_5204" localSheetId="2">紅綠燈!#REF!</definedName>
    <definedName name="外部資料_5205" localSheetId="2">紅綠燈!#REF!</definedName>
    <definedName name="外部資料_5207" localSheetId="2">紅綠燈!#REF!</definedName>
    <definedName name="外部資料_5208" localSheetId="2">紅綠燈!#REF!</definedName>
    <definedName name="外部資料_5209" localSheetId="2">紅綠燈!#REF!</definedName>
    <definedName name="外部資料_521" localSheetId="15">PKA!#REF!</definedName>
    <definedName name="外部資料_521" localSheetId="16">PKB!#REF!</definedName>
    <definedName name="外部資料_521" localSheetId="17">PKC!#REF!</definedName>
    <definedName name="外部資料_521" localSheetId="4">評比系統!$T$1:$T$3</definedName>
    <definedName name="外部資料_5211" localSheetId="2">紅綠燈!#REF!</definedName>
    <definedName name="外部資料_5212" localSheetId="2">紅綠燈!#REF!</definedName>
    <definedName name="外部資料_5213" localSheetId="2">紅綠燈!#REF!</definedName>
    <definedName name="外部資料_5215" localSheetId="2">紅綠燈!#REF!</definedName>
    <definedName name="外部資料_5216" localSheetId="2">紅綠燈!#REF!</definedName>
    <definedName name="外部資料_5217" localSheetId="2">紅綠燈!#REF!</definedName>
    <definedName name="外部資料_5219" localSheetId="2">紅綠燈!#REF!</definedName>
    <definedName name="外部資料_522" localSheetId="15">PKA!#REF!</definedName>
    <definedName name="外部資料_522" localSheetId="16">PKB!#REF!</definedName>
    <definedName name="外部資料_522" localSheetId="17">PKC!#REF!</definedName>
    <definedName name="外部資料_522" localSheetId="4">評比系統!$T$1:$T$3</definedName>
    <definedName name="外部資料_5220" localSheetId="2">紅綠燈!#REF!</definedName>
    <definedName name="外部資料_5221" localSheetId="2">紅綠燈!#REF!</definedName>
    <definedName name="外部資料_5223" localSheetId="2">紅綠燈!#REF!</definedName>
    <definedName name="外部資料_5224" localSheetId="2">紅綠燈!#REF!</definedName>
    <definedName name="外部資料_5225" localSheetId="2">紅綠燈!#REF!</definedName>
    <definedName name="外部資料_5227" localSheetId="2">紅綠燈!#REF!</definedName>
    <definedName name="外部資料_5228" localSheetId="2">紅綠燈!#REF!</definedName>
    <definedName name="外部資料_5229" localSheetId="2">紅綠燈!#REF!</definedName>
    <definedName name="外部資料_523" localSheetId="15">PKA!#REF!</definedName>
    <definedName name="外部資料_523" localSheetId="16">PKB!#REF!</definedName>
    <definedName name="外部資料_523" localSheetId="17">PKC!#REF!</definedName>
    <definedName name="外部資料_523" localSheetId="4">評比系統!$T$1:$T$3</definedName>
    <definedName name="外部資料_5231" localSheetId="2">紅綠燈!#REF!</definedName>
    <definedName name="外部資料_5232" localSheetId="2">紅綠燈!#REF!</definedName>
    <definedName name="外部資料_5233" localSheetId="2">紅綠燈!#REF!</definedName>
    <definedName name="外部資料_5235" localSheetId="2">紅綠燈!#REF!</definedName>
    <definedName name="外部資料_5236" localSheetId="2">紅綠燈!#REF!</definedName>
    <definedName name="外部資料_5237" localSheetId="2">紅綠燈!#REF!</definedName>
    <definedName name="外部資料_5239" localSheetId="2">紅綠燈!#REF!</definedName>
    <definedName name="外部資料_524" localSheetId="15">PKA!#REF!</definedName>
    <definedName name="外部資料_524" localSheetId="16">PKB!#REF!</definedName>
    <definedName name="外部資料_524" localSheetId="17">PKC!#REF!</definedName>
    <definedName name="外部資料_524" localSheetId="4">評比系統!$T$1:$T$3</definedName>
    <definedName name="外部資料_5240" localSheetId="2">紅綠燈!#REF!</definedName>
    <definedName name="外部資料_5241" localSheetId="2">紅綠燈!#REF!</definedName>
    <definedName name="外部資料_5243" localSheetId="2">紅綠燈!#REF!</definedName>
    <definedName name="外部資料_5244" localSheetId="2">紅綠燈!#REF!</definedName>
    <definedName name="外部資料_5246" localSheetId="2">紅綠燈!#REF!</definedName>
    <definedName name="外部資料_5247" localSheetId="2">紅綠燈!#REF!</definedName>
    <definedName name="外部資料_5248" localSheetId="2">紅綠燈!#REF!</definedName>
    <definedName name="外部資料_525" localSheetId="15">PKA!#REF!</definedName>
    <definedName name="外部資料_525" localSheetId="16">PKB!#REF!</definedName>
    <definedName name="外部資料_525" localSheetId="17">PKC!#REF!</definedName>
    <definedName name="外部資料_525" localSheetId="4">評比系統!$T$1:$T$3</definedName>
    <definedName name="外部資料_5250" localSheetId="2">紅綠燈!#REF!</definedName>
    <definedName name="外部資料_5251" localSheetId="2">紅綠燈!#REF!</definedName>
    <definedName name="外部資料_5252" localSheetId="2">紅綠燈!#REF!</definedName>
    <definedName name="外部資料_5254" localSheetId="2">紅綠燈!#REF!</definedName>
    <definedName name="外部資料_5255" localSheetId="2">紅綠燈!#REF!</definedName>
    <definedName name="外部資料_5256" localSheetId="2">紅綠燈!#REF!</definedName>
    <definedName name="外部資料_5258" localSheetId="2">紅綠燈!#REF!</definedName>
    <definedName name="外部資料_5259" localSheetId="2">紅綠燈!#REF!</definedName>
    <definedName name="外部資料_526" localSheetId="15">PKA!#REF!</definedName>
    <definedName name="外部資料_526" localSheetId="16">PKB!#REF!</definedName>
    <definedName name="外部資料_526" localSheetId="17">PKC!#REF!</definedName>
    <definedName name="外部資料_526" localSheetId="4">評比系統!$T$1:$T$3</definedName>
    <definedName name="外部資料_5260" localSheetId="2">紅綠燈!#REF!</definedName>
    <definedName name="外部資料_5262" localSheetId="2">紅綠燈!#REF!</definedName>
    <definedName name="外部資料_5263" localSheetId="2">紅綠燈!#REF!</definedName>
    <definedName name="外部資料_5264" localSheetId="2">紅綠燈!#REF!</definedName>
    <definedName name="外部資料_5266" localSheetId="2">紅綠燈!#REF!</definedName>
    <definedName name="外部資料_5267" localSheetId="2">紅綠燈!#REF!</definedName>
    <definedName name="外部資料_5268" localSheetId="2">紅綠燈!#REF!</definedName>
    <definedName name="外部資料_527" localSheetId="15">PKA!#REF!</definedName>
    <definedName name="外部資料_527" localSheetId="16">PKB!#REF!</definedName>
    <definedName name="外部資料_527" localSheetId="17">PKC!#REF!</definedName>
    <definedName name="外部資料_527" localSheetId="4">評比系統!$T$1:$T$3</definedName>
    <definedName name="外部資料_5270" localSheetId="2">紅綠燈!#REF!</definedName>
    <definedName name="外部資料_5271" localSheetId="2">紅綠燈!#REF!</definedName>
    <definedName name="外部資料_5272" localSheetId="2">紅綠燈!#REF!</definedName>
    <definedName name="外部資料_5274" localSheetId="2">紅綠燈!#REF!</definedName>
    <definedName name="外部資料_5275" localSheetId="2">紅綠燈!#REF!</definedName>
    <definedName name="外部資料_5276" localSheetId="2">紅綠燈!#REF!</definedName>
    <definedName name="外部資料_5278" localSheetId="2">紅綠燈!#REF!</definedName>
    <definedName name="外部資料_5279" localSheetId="2">紅綠燈!#REF!</definedName>
    <definedName name="外部資料_528" localSheetId="15">PKA!#REF!</definedName>
    <definedName name="外部資料_528" localSheetId="16">PKB!#REF!</definedName>
    <definedName name="外部資料_528" localSheetId="17">PKC!#REF!</definedName>
    <definedName name="外部資料_528" localSheetId="4">評比系統!$T$1:$T$3</definedName>
    <definedName name="外部資料_5280" localSheetId="2">紅綠燈!#REF!</definedName>
    <definedName name="外部資料_5282" localSheetId="2">紅綠燈!#REF!</definedName>
    <definedName name="外部資料_5283" localSheetId="2">紅綠燈!#REF!</definedName>
    <definedName name="外部資料_5284" localSheetId="2">紅綠燈!#REF!</definedName>
    <definedName name="外部資料_5286" localSheetId="2">紅綠燈!#REF!</definedName>
    <definedName name="外部資料_5287" localSheetId="2">紅綠燈!#REF!</definedName>
    <definedName name="外部資料_5288" localSheetId="2">紅綠燈!#REF!</definedName>
    <definedName name="外部資料_529" localSheetId="15">PKA!#REF!</definedName>
    <definedName name="外部資料_529" localSheetId="16">PKB!#REF!</definedName>
    <definedName name="外部資料_529" localSheetId="17">PKC!#REF!</definedName>
    <definedName name="外部資料_529" localSheetId="4">評比系統!$T$1:$T$3</definedName>
    <definedName name="外部資料_5290" localSheetId="2">紅綠燈!#REF!</definedName>
    <definedName name="外部資料_5291" localSheetId="2">紅綠燈!#REF!</definedName>
    <definedName name="外部資料_5292" localSheetId="2">紅綠燈!#REF!</definedName>
    <definedName name="外部資料_5294" localSheetId="2">紅綠燈!#REF!</definedName>
    <definedName name="外部資料_5295" localSheetId="2">紅綠燈!#REF!</definedName>
    <definedName name="外部資料_5296" localSheetId="2">紅綠燈!#REF!</definedName>
    <definedName name="外部資料_5298" localSheetId="2">紅綠燈!#REF!</definedName>
    <definedName name="外部資料_5299" localSheetId="2">紅綠燈!#REF!</definedName>
    <definedName name="外部資料_53" localSheetId="15">PKA!#REF!</definedName>
    <definedName name="外部資料_53" localSheetId="16">PKB!#REF!</definedName>
    <definedName name="外部資料_53" localSheetId="17">PKC!#REF!</definedName>
    <definedName name="外部資料_53" localSheetId="8">PSR!#REF!</definedName>
    <definedName name="外部資料_53" localSheetId="4">評比系統!$T$1:$T$3</definedName>
    <definedName name="外部資料_53" localSheetId="18">福邦!#REF!</definedName>
    <definedName name="外部資料_53" localSheetId="7">營收搶先報!#REF!</definedName>
    <definedName name="外部資料_530" localSheetId="15">PKA!#REF!</definedName>
    <definedName name="外部資料_530" localSheetId="16">PKB!#REF!</definedName>
    <definedName name="外部資料_530" localSheetId="17">PKC!#REF!</definedName>
    <definedName name="外部資料_530" localSheetId="4">評比系統!$T$1:$T$3</definedName>
    <definedName name="外部資料_5300" localSheetId="2">紅綠燈!#REF!</definedName>
    <definedName name="外部資料_5302" localSheetId="2">紅綠燈!#REF!</definedName>
    <definedName name="外部資料_5303" localSheetId="2">紅綠燈!#REF!</definedName>
    <definedName name="外部資料_5304" localSheetId="2">紅綠燈!#REF!</definedName>
    <definedName name="外部資料_5306" localSheetId="2">紅綠燈!#REF!</definedName>
    <definedName name="外部資料_5307" localSheetId="2">紅綠燈!#REF!</definedName>
    <definedName name="外部資料_5308" localSheetId="2">紅綠燈!#REF!</definedName>
    <definedName name="外部資料_531" localSheetId="15">PKA!#REF!</definedName>
    <definedName name="外部資料_531" localSheetId="16">PKB!#REF!</definedName>
    <definedName name="外部資料_531" localSheetId="17">PKC!#REF!</definedName>
    <definedName name="外部資料_531" localSheetId="4">評比系統!$T$1:$T$3</definedName>
    <definedName name="外部資料_5310" localSheetId="2">紅綠燈!#REF!</definedName>
    <definedName name="外部資料_5311" localSheetId="2">紅綠燈!#REF!</definedName>
    <definedName name="外部資料_5312" localSheetId="2">紅綠燈!#REF!</definedName>
    <definedName name="外部資料_5314" localSheetId="2">紅綠燈!#REF!</definedName>
    <definedName name="外部資料_5315" localSheetId="2">紅綠燈!#REF!</definedName>
    <definedName name="外部資料_5316" localSheetId="2">紅綠燈!#REF!</definedName>
    <definedName name="外部資料_5318" localSheetId="2">紅綠燈!#REF!</definedName>
    <definedName name="外部資料_5319" localSheetId="2">紅綠燈!#REF!</definedName>
    <definedName name="外部資料_532" localSheetId="15">PKA!#REF!</definedName>
    <definedName name="外部資料_532" localSheetId="16">PKB!#REF!</definedName>
    <definedName name="外部資料_532" localSheetId="17">PKC!#REF!</definedName>
    <definedName name="外部資料_532" localSheetId="4">評比系統!$T$1:$T$3</definedName>
    <definedName name="外部資料_5320" localSheetId="2">紅綠燈!#REF!</definedName>
    <definedName name="外部資料_5322" localSheetId="2">紅綠燈!#REF!</definedName>
    <definedName name="外部資料_5323" localSheetId="2">紅綠燈!#REF!</definedName>
    <definedName name="外部資料_5324" localSheetId="2">紅綠燈!#REF!</definedName>
    <definedName name="外部資料_5326" localSheetId="2">紅綠燈!#REF!</definedName>
    <definedName name="外部資料_5327" localSheetId="2">紅綠燈!#REF!</definedName>
    <definedName name="外部資料_5328" localSheetId="2">紅綠燈!#REF!</definedName>
    <definedName name="外部資料_533" localSheetId="15">PKA!#REF!</definedName>
    <definedName name="外部資料_533" localSheetId="16">PKB!#REF!</definedName>
    <definedName name="外部資料_533" localSheetId="17">PKC!#REF!</definedName>
    <definedName name="外部資料_533" localSheetId="4">評比系統!$T$1:$T$3</definedName>
    <definedName name="外部資料_5330" localSheetId="2">紅綠燈!#REF!</definedName>
    <definedName name="外部資料_5331" localSheetId="2">紅綠燈!#REF!</definedName>
    <definedName name="外部資料_5332" localSheetId="2">紅綠燈!#REF!</definedName>
    <definedName name="外部資料_5334" localSheetId="2">紅綠燈!#REF!</definedName>
    <definedName name="外部資料_5335" localSheetId="2">紅綠燈!#REF!</definedName>
    <definedName name="外部資料_5336" localSheetId="2">紅綠燈!#REF!</definedName>
    <definedName name="外部資料_5338" localSheetId="2">紅綠燈!#REF!</definedName>
    <definedName name="外部資料_5339" localSheetId="2">紅綠燈!#REF!</definedName>
    <definedName name="外部資料_534" localSheetId="15">PKA!#REF!</definedName>
    <definedName name="外部資料_534" localSheetId="16">PKB!#REF!</definedName>
    <definedName name="外部資料_534" localSheetId="17">PKC!#REF!</definedName>
    <definedName name="外部資料_534" localSheetId="4">評比系統!$T$1:$T$3</definedName>
    <definedName name="外部資料_5340" localSheetId="2">紅綠燈!#REF!</definedName>
    <definedName name="外部資料_5342" localSheetId="2">紅綠燈!#REF!</definedName>
    <definedName name="外部資料_5343" localSheetId="2">紅綠燈!#REF!</definedName>
    <definedName name="外部資料_5344" localSheetId="2">紅綠燈!#REF!</definedName>
    <definedName name="外部資料_5346" localSheetId="2">紅綠燈!#REF!</definedName>
    <definedName name="外部資料_5347" localSheetId="2">紅綠燈!#REF!</definedName>
    <definedName name="外部資料_5348" localSheetId="2">紅綠燈!#REF!</definedName>
    <definedName name="外部資料_535" localSheetId="15">PKA!#REF!</definedName>
    <definedName name="外部資料_535" localSheetId="16">PKB!#REF!</definedName>
    <definedName name="外部資料_535" localSheetId="17">PKC!#REF!</definedName>
    <definedName name="外部資料_535" localSheetId="4">評比系統!$T$1:$T$3</definedName>
    <definedName name="外部資料_5350" localSheetId="2">紅綠燈!#REF!</definedName>
    <definedName name="外部資料_5351" localSheetId="2">紅綠燈!#REF!</definedName>
    <definedName name="外部資料_5352" localSheetId="2">紅綠燈!#REF!</definedName>
    <definedName name="外部資料_5354" localSheetId="2">紅綠燈!#REF!</definedName>
    <definedName name="外部資料_5355" localSheetId="2">紅綠燈!#REF!</definedName>
    <definedName name="外部資料_5356" localSheetId="2">紅綠燈!#REF!</definedName>
    <definedName name="外部資料_5358" localSheetId="2">紅綠燈!#REF!</definedName>
    <definedName name="外部資料_5359" localSheetId="2">紅綠燈!#REF!</definedName>
    <definedName name="外部資料_536" localSheetId="15">PKA!#REF!</definedName>
    <definedName name="外部資料_536" localSheetId="16">PKB!#REF!</definedName>
    <definedName name="外部資料_536" localSheetId="17">PKC!#REF!</definedName>
    <definedName name="外部資料_536" localSheetId="4">評比系統!$T$1:$T$3</definedName>
    <definedName name="外部資料_5360" localSheetId="2">紅綠燈!#REF!</definedName>
    <definedName name="外部資料_5362" localSheetId="2">紅綠燈!#REF!</definedName>
    <definedName name="外部資料_5363" localSheetId="2">紅綠燈!#REF!</definedName>
    <definedName name="外部資料_5364" localSheetId="2">紅綠燈!#REF!</definedName>
    <definedName name="外部資料_5366" localSheetId="2">紅綠燈!#REF!</definedName>
    <definedName name="外部資料_5367" localSheetId="2">紅綠燈!#REF!</definedName>
    <definedName name="外部資料_5368" localSheetId="2">紅綠燈!#REF!</definedName>
    <definedName name="外部資料_537" localSheetId="15">PKA!#REF!</definedName>
    <definedName name="外部資料_537" localSheetId="16">PKB!#REF!</definedName>
    <definedName name="外部資料_537" localSheetId="17">PKC!#REF!</definedName>
    <definedName name="外部資料_537" localSheetId="4">評比系統!$T$1:$T$3</definedName>
    <definedName name="外部資料_5370" localSheetId="2">紅綠燈!#REF!</definedName>
    <definedName name="外部資料_5371" localSheetId="2">紅綠燈!#REF!</definedName>
    <definedName name="外部資料_5372" localSheetId="2">紅綠燈!#REF!</definedName>
    <definedName name="外部資料_5374" localSheetId="2">紅綠燈!#REF!</definedName>
    <definedName name="外部資料_5375" localSheetId="2">紅綠燈!#REF!</definedName>
    <definedName name="外部資料_5376" localSheetId="2">紅綠燈!#REF!</definedName>
    <definedName name="外部資料_5378" localSheetId="2">紅綠燈!#REF!</definedName>
    <definedName name="外部資料_5379" localSheetId="2">紅綠燈!#REF!</definedName>
    <definedName name="外部資料_538" localSheetId="15">PKA!#REF!</definedName>
    <definedName name="外部資料_538" localSheetId="16">PKB!#REF!</definedName>
    <definedName name="外部資料_538" localSheetId="17">PKC!#REF!</definedName>
    <definedName name="外部資料_538" localSheetId="4">評比系統!$T$1:$T$3</definedName>
    <definedName name="外部資料_5380" localSheetId="2">紅綠燈!#REF!</definedName>
    <definedName name="外部資料_5382" localSheetId="2">紅綠燈!#REF!</definedName>
    <definedName name="外部資料_5383" localSheetId="2">紅綠燈!#REF!</definedName>
    <definedName name="外部資料_5384" localSheetId="2">紅綠燈!#REF!</definedName>
    <definedName name="外部資料_5386" localSheetId="2">紅綠燈!#REF!</definedName>
    <definedName name="外部資料_5387" localSheetId="2">紅綠燈!#REF!</definedName>
    <definedName name="外部資料_5388" localSheetId="2">紅綠燈!#REF!</definedName>
    <definedName name="外部資料_539" localSheetId="15">PKA!#REF!</definedName>
    <definedName name="外部資料_539" localSheetId="16">PKB!#REF!</definedName>
    <definedName name="外部資料_539" localSheetId="17">PKC!#REF!</definedName>
    <definedName name="外部資料_539" localSheetId="4">評比系統!$T$1:$T$3</definedName>
    <definedName name="外部資料_5390" localSheetId="2">紅綠燈!#REF!</definedName>
    <definedName name="外部資料_5391" localSheetId="2">紅綠燈!#REF!</definedName>
    <definedName name="外部資料_5392" localSheetId="2">紅綠燈!#REF!</definedName>
    <definedName name="外部資料_5394" localSheetId="2">紅綠燈!#REF!</definedName>
    <definedName name="外部資料_5395" localSheetId="2">紅綠燈!#REF!</definedName>
    <definedName name="外部資料_5396" localSheetId="2">紅綠燈!#REF!</definedName>
    <definedName name="外部資料_5398" localSheetId="2">紅綠燈!#REF!</definedName>
    <definedName name="外部資料_5399" localSheetId="2">紅綠燈!#REF!</definedName>
    <definedName name="外部資料_54" localSheetId="15">PKA!#REF!</definedName>
    <definedName name="外部資料_54" localSheetId="16">PKB!#REF!</definedName>
    <definedName name="外部資料_54" localSheetId="17">PKC!#REF!</definedName>
    <definedName name="外部資料_54" localSheetId="8">PSR!#REF!</definedName>
    <definedName name="外部資料_54" localSheetId="4">評比系統!$T$1:$T$3</definedName>
    <definedName name="外部資料_54" localSheetId="18">福邦!#REF!</definedName>
    <definedName name="外部資料_54" localSheetId="7">營收搶先報!#REF!</definedName>
    <definedName name="外部資料_540" localSheetId="15">PKA!#REF!</definedName>
    <definedName name="外部資料_540" localSheetId="16">PKB!#REF!</definedName>
    <definedName name="外部資料_540" localSheetId="17">PKC!#REF!</definedName>
    <definedName name="外部資料_540" localSheetId="4">評比系統!$T$1:$T$3</definedName>
    <definedName name="外部資料_5400" localSheetId="2">紅綠燈!#REF!</definedName>
    <definedName name="外部資料_5402" localSheetId="2">紅綠燈!#REF!</definedName>
    <definedName name="外部資料_5403" localSheetId="2">紅綠燈!#REF!</definedName>
    <definedName name="外部資料_5404" localSheetId="2">紅綠燈!#REF!</definedName>
    <definedName name="外部資料_5406" localSheetId="2">紅綠燈!#REF!</definedName>
    <definedName name="外部資料_5407" localSheetId="2">紅綠燈!#REF!</definedName>
    <definedName name="外部資料_5408" localSheetId="2">紅綠燈!#REF!</definedName>
    <definedName name="外部資料_541" localSheetId="15">PKA!#REF!</definedName>
    <definedName name="外部資料_541" localSheetId="16">PKB!#REF!</definedName>
    <definedName name="外部資料_541" localSheetId="17">PKC!#REF!</definedName>
    <definedName name="外部資料_541" localSheetId="4">評比系統!$T$1:$T$3</definedName>
    <definedName name="外部資料_5410" localSheetId="2">紅綠燈!#REF!</definedName>
    <definedName name="外部資料_5411" localSheetId="2">紅綠燈!#REF!</definedName>
    <definedName name="外部資料_5412" localSheetId="2">紅綠燈!#REF!</definedName>
    <definedName name="外部資料_5414" localSheetId="2">紅綠燈!#REF!</definedName>
    <definedName name="外部資料_5415" localSheetId="2">紅綠燈!#REF!</definedName>
    <definedName name="外部資料_5416" localSheetId="2">紅綠燈!#REF!</definedName>
    <definedName name="外部資料_5418" localSheetId="2">紅綠燈!#REF!</definedName>
    <definedName name="外部資料_5419" localSheetId="2">紅綠燈!#REF!</definedName>
    <definedName name="外部資料_542" localSheetId="15">PKA!#REF!</definedName>
    <definedName name="外部資料_542" localSheetId="16">PKB!#REF!</definedName>
    <definedName name="外部資料_542" localSheetId="17">PKC!#REF!</definedName>
    <definedName name="外部資料_542" localSheetId="4">評比系統!$T$1:$T$3</definedName>
    <definedName name="外部資料_5420" localSheetId="2">紅綠燈!#REF!</definedName>
    <definedName name="外部資料_5422" localSheetId="2">紅綠燈!#REF!</definedName>
    <definedName name="外部資料_5423" localSheetId="2">紅綠燈!#REF!</definedName>
    <definedName name="外部資料_5425" localSheetId="2">紅綠燈!#REF!</definedName>
    <definedName name="外部資料_5426" localSheetId="2">紅綠燈!#REF!</definedName>
    <definedName name="外部資料_5428" localSheetId="2">紅綠燈!#REF!</definedName>
    <definedName name="外部資料_5429" localSheetId="2">紅綠燈!#REF!</definedName>
    <definedName name="外部資料_543" localSheetId="15">PKA!#REF!</definedName>
    <definedName name="外部資料_543" localSheetId="16">PKB!#REF!</definedName>
    <definedName name="外部資料_543" localSheetId="17">PKC!#REF!</definedName>
    <definedName name="外部資料_543" localSheetId="4">評比系統!$T$1:$T$3</definedName>
    <definedName name="外部資料_5430" localSheetId="2">紅綠燈!#REF!</definedName>
    <definedName name="外部資料_5432" localSheetId="2">紅綠燈!#REF!</definedName>
    <definedName name="外部資料_5433" localSheetId="2">紅綠燈!#REF!</definedName>
    <definedName name="外部資料_5434" localSheetId="2">紅綠燈!#REF!</definedName>
    <definedName name="外部資料_5436" localSheetId="2">紅綠燈!#REF!</definedName>
    <definedName name="外部資料_5437" localSheetId="2">紅綠燈!#REF!</definedName>
    <definedName name="外部資料_5438" localSheetId="2">紅綠燈!#REF!</definedName>
    <definedName name="外部資料_544" localSheetId="15">PKA!#REF!</definedName>
    <definedName name="外部資料_544" localSheetId="16">PKB!#REF!</definedName>
    <definedName name="外部資料_544" localSheetId="17">PKC!#REF!</definedName>
    <definedName name="外部資料_544" localSheetId="4">評比系統!$T$1:$T$3</definedName>
    <definedName name="外部資料_5440" localSheetId="2">紅綠燈!#REF!</definedName>
    <definedName name="外部資料_5441" localSheetId="2">紅綠燈!#REF!</definedName>
    <definedName name="外部資料_5442" localSheetId="2">紅綠燈!#REF!</definedName>
    <definedName name="外部資料_5444" localSheetId="2">紅綠燈!#REF!</definedName>
    <definedName name="外部資料_5445" localSheetId="2">紅綠燈!#REF!</definedName>
    <definedName name="外部資料_5446" localSheetId="2">紅綠燈!#REF!</definedName>
    <definedName name="外部資料_5448" localSheetId="2">紅綠燈!#REF!</definedName>
    <definedName name="外部資料_5449" localSheetId="2">紅綠燈!#REF!</definedName>
    <definedName name="外部資料_545" localSheetId="15">PKA!#REF!</definedName>
    <definedName name="外部資料_545" localSheetId="16">PKB!#REF!</definedName>
    <definedName name="外部資料_545" localSheetId="17">PKC!#REF!</definedName>
    <definedName name="外部資料_545" localSheetId="4">評比系統!$T$1:$T$3</definedName>
    <definedName name="外部資料_5450" localSheetId="2">紅綠燈!#REF!</definedName>
    <definedName name="外部資料_5452" localSheetId="2">紅綠燈!#REF!</definedName>
    <definedName name="外部資料_5453" localSheetId="2">紅綠燈!#REF!</definedName>
    <definedName name="外部資料_5454" localSheetId="2">紅綠燈!#REF!</definedName>
    <definedName name="外部資料_5456" localSheetId="2">紅綠燈!#REF!</definedName>
    <definedName name="外部資料_5457" localSheetId="2">紅綠燈!#REF!</definedName>
    <definedName name="外部資料_5458" localSheetId="2">紅綠燈!#REF!</definedName>
    <definedName name="外部資料_546" localSheetId="15">PKA!#REF!</definedName>
    <definedName name="外部資料_546" localSheetId="16">PKB!#REF!</definedName>
    <definedName name="外部資料_546" localSheetId="17">PKC!#REF!</definedName>
    <definedName name="外部資料_546" localSheetId="4">評比系統!$T$1:$T$3</definedName>
    <definedName name="外部資料_5460" localSheetId="2">紅綠燈!#REF!</definedName>
    <definedName name="外部資料_5461" localSheetId="2">紅綠燈!#REF!</definedName>
    <definedName name="外部資料_5462" localSheetId="2">紅綠燈!#REF!</definedName>
    <definedName name="外部資料_5464" localSheetId="2">紅綠燈!#REF!</definedName>
    <definedName name="外部資料_5465" localSheetId="2">紅綠燈!#REF!</definedName>
    <definedName name="外部資料_5466" localSheetId="2">紅綠燈!#REF!</definedName>
    <definedName name="外部資料_5468" localSheetId="2">紅綠燈!#REF!</definedName>
    <definedName name="外部資料_5469" localSheetId="2">紅綠燈!#REF!</definedName>
    <definedName name="外部資料_547" localSheetId="15">PKA!#REF!</definedName>
    <definedName name="外部資料_547" localSheetId="16">PKB!#REF!</definedName>
    <definedName name="外部資料_547" localSheetId="17">PKC!#REF!</definedName>
    <definedName name="外部資料_547" localSheetId="4">評比系統!$T$1:$T$3</definedName>
    <definedName name="外部資料_5470" localSheetId="2">紅綠燈!#REF!</definedName>
    <definedName name="外部資料_5472" localSheetId="2">紅綠燈!#REF!</definedName>
    <definedName name="外部資料_5473" localSheetId="2">紅綠燈!#REF!</definedName>
    <definedName name="外部資料_5474" localSheetId="2">紅綠燈!#REF!</definedName>
    <definedName name="外部資料_5476" localSheetId="2">紅綠燈!#REF!</definedName>
    <definedName name="外部資料_5477" localSheetId="2">紅綠燈!#REF!</definedName>
    <definedName name="外部資料_5478" localSheetId="2">紅綠燈!#REF!</definedName>
    <definedName name="外部資料_548" localSheetId="15">PKA!#REF!</definedName>
    <definedName name="外部資料_548" localSheetId="16">PKB!#REF!</definedName>
    <definedName name="外部資料_548" localSheetId="17">PKC!#REF!</definedName>
    <definedName name="外部資料_548" localSheetId="4">評比系統!$T$1:$T$3</definedName>
    <definedName name="外部資料_5480" localSheetId="2">紅綠燈!#REF!</definedName>
    <definedName name="外部資料_5481" localSheetId="2">紅綠燈!#REF!</definedName>
    <definedName name="外部資料_5482" localSheetId="2">紅綠燈!#REF!</definedName>
    <definedName name="外部資料_5484" localSheetId="2">紅綠燈!#REF!</definedName>
    <definedName name="外部資料_5485" localSheetId="2">紅綠燈!#REF!</definedName>
    <definedName name="外部資料_5486" localSheetId="2">紅綠燈!#REF!</definedName>
    <definedName name="外部資料_5488" localSheetId="2">紅綠燈!#REF!</definedName>
    <definedName name="外部資料_5489" localSheetId="2">紅綠燈!#REF!</definedName>
    <definedName name="外部資料_549" localSheetId="15">PKA!#REF!</definedName>
    <definedName name="外部資料_549" localSheetId="16">PKB!#REF!</definedName>
    <definedName name="外部資料_549" localSheetId="17">PKC!#REF!</definedName>
    <definedName name="外部資料_549" localSheetId="4">評比系統!$T$1:$T$3</definedName>
    <definedName name="外部資料_5491" localSheetId="2">紅綠燈!#REF!</definedName>
    <definedName name="外部資料_5492" localSheetId="2">紅綠燈!#REF!</definedName>
    <definedName name="外部資料_5493" localSheetId="2">紅綠燈!#REF!</definedName>
    <definedName name="外部資料_5495" localSheetId="2">紅綠燈!#REF!</definedName>
    <definedName name="外部資料_5496" localSheetId="2">紅綠燈!#REF!</definedName>
    <definedName name="外部資料_5497" localSheetId="2">紅綠燈!#REF!</definedName>
    <definedName name="外部資料_5499" localSheetId="2">紅綠燈!#REF!</definedName>
    <definedName name="外部資料_55" localSheetId="15">PKA!#REF!</definedName>
    <definedName name="外部資料_55" localSheetId="16">PKB!#REF!</definedName>
    <definedName name="外部資料_55" localSheetId="17">PKC!#REF!</definedName>
    <definedName name="外部資料_55" localSheetId="8">PSR!#REF!</definedName>
    <definedName name="外部資料_55" localSheetId="4">評比系統!$T$1:$T$3</definedName>
    <definedName name="外部資料_55" localSheetId="18">福邦!#REF!</definedName>
    <definedName name="外部資料_55" localSheetId="7">營收搶先報!#REF!</definedName>
    <definedName name="外部資料_550" localSheetId="15">PKA!#REF!</definedName>
    <definedName name="外部資料_550" localSheetId="16">PKB!#REF!</definedName>
    <definedName name="外部資料_550" localSheetId="17">PKC!#REF!</definedName>
    <definedName name="外部資料_550" localSheetId="4">評比系統!$T$1:$T$3</definedName>
    <definedName name="外部資料_5500" localSheetId="2">紅綠燈!#REF!</definedName>
    <definedName name="外部資料_5501" localSheetId="2">紅綠燈!#REF!</definedName>
    <definedName name="外部資料_5503" localSheetId="2">紅綠燈!#REF!</definedName>
    <definedName name="外部資料_5504" localSheetId="2">紅綠燈!#REF!</definedName>
    <definedName name="外部資料_5505" localSheetId="2">紅綠燈!#REF!</definedName>
    <definedName name="外部資料_5507" localSheetId="2">紅綠燈!#REF!</definedName>
    <definedName name="外部資料_5508" localSheetId="2">紅綠燈!#REF!</definedName>
    <definedName name="外部資料_5509" localSheetId="2">紅綠燈!#REF!</definedName>
    <definedName name="外部資料_551" localSheetId="15">PKA!#REF!</definedName>
    <definedName name="外部資料_551" localSheetId="16">PKB!#REF!</definedName>
    <definedName name="外部資料_551" localSheetId="17">PKC!#REF!</definedName>
    <definedName name="外部資料_551" localSheetId="4">評比系統!$T$1:$T$3</definedName>
    <definedName name="外部資料_5511" localSheetId="2">紅綠燈!#REF!</definedName>
    <definedName name="外部資料_5512" localSheetId="2">紅綠燈!#REF!</definedName>
    <definedName name="外部資料_5514" localSheetId="2">紅綠燈!#REF!</definedName>
    <definedName name="外部資料_5515" localSheetId="2">紅綠燈!#REF!</definedName>
    <definedName name="外部資料_5516" localSheetId="2">紅綠燈!#REF!</definedName>
    <definedName name="外部資料_5518" localSheetId="2">紅綠燈!#REF!</definedName>
    <definedName name="外部資料_5519" localSheetId="2">紅綠燈!#REF!</definedName>
    <definedName name="外部資料_552" localSheetId="15">PKA!#REF!</definedName>
    <definedName name="外部資料_552" localSheetId="16">PKB!#REF!</definedName>
    <definedName name="外部資料_552" localSheetId="17">PKC!#REF!</definedName>
    <definedName name="外部資料_552" localSheetId="4">評比系統!$T$1:$T$3</definedName>
    <definedName name="外部資料_5520" localSheetId="2">紅綠燈!#REF!</definedName>
    <definedName name="外部資料_5522" localSheetId="2">紅綠燈!#REF!</definedName>
    <definedName name="外部資料_5523" localSheetId="2">紅綠燈!#REF!</definedName>
    <definedName name="外部資料_5524" localSheetId="2">紅綠燈!#REF!</definedName>
    <definedName name="外部資料_5526" localSheetId="2">紅綠燈!#REF!</definedName>
    <definedName name="外部資料_5527" localSheetId="2">紅綠燈!#REF!</definedName>
    <definedName name="外部資料_5528" localSheetId="2">紅綠燈!#REF!</definedName>
    <definedName name="外部資料_553" localSheetId="15">PKA!#REF!</definedName>
    <definedName name="外部資料_553" localSheetId="16">PKB!#REF!</definedName>
    <definedName name="外部資料_553" localSheetId="17">PKC!#REF!</definedName>
    <definedName name="外部資料_553" localSheetId="4">評比系統!$T$1:$T$3</definedName>
    <definedName name="外部資料_5530" localSheetId="2">紅綠燈!#REF!</definedName>
    <definedName name="外部資料_5531" localSheetId="2">紅綠燈!#REF!</definedName>
    <definedName name="外部資料_5532" localSheetId="2">紅綠燈!#REF!</definedName>
    <definedName name="外部資料_5534" localSheetId="2">紅綠燈!#REF!</definedName>
    <definedName name="外部資料_5535" localSheetId="2">紅綠燈!#REF!</definedName>
    <definedName name="外部資料_5536" localSheetId="2">紅綠燈!#REF!</definedName>
    <definedName name="外部資料_5538" localSheetId="2">紅綠燈!#REF!</definedName>
    <definedName name="外部資料_5539" localSheetId="2">紅綠燈!#REF!</definedName>
    <definedName name="外部資料_554" localSheetId="15">PKA!#REF!</definedName>
    <definedName name="外部資料_554" localSheetId="16">PKB!#REF!</definedName>
    <definedName name="外部資料_554" localSheetId="17">PKC!#REF!</definedName>
    <definedName name="外部資料_554" localSheetId="4">評比系統!$T$1:$T$3</definedName>
    <definedName name="外部資料_5540" localSheetId="2">紅綠燈!#REF!</definedName>
    <definedName name="外部資料_5542" localSheetId="2">紅綠燈!#REF!</definedName>
    <definedName name="外部資料_5543" localSheetId="2">紅綠燈!#REF!</definedName>
    <definedName name="外部資料_5544" localSheetId="2">紅綠燈!#REF!</definedName>
    <definedName name="外部資料_5546" localSheetId="2">紅綠燈!#REF!</definedName>
    <definedName name="外部資料_5547" localSheetId="2">紅綠燈!#REF!</definedName>
    <definedName name="外部資料_5548" localSheetId="2">紅綠燈!#REF!</definedName>
    <definedName name="外部資料_555" localSheetId="15">PKA!#REF!</definedName>
    <definedName name="外部資料_555" localSheetId="16">PKB!#REF!</definedName>
    <definedName name="外部資料_555" localSheetId="17">PKC!#REF!</definedName>
    <definedName name="外部資料_555" localSheetId="4">評比系統!$T$1:$T$3</definedName>
    <definedName name="外部資料_5550" localSheetId="2">紅綠燈!#REF!</definedName>
    <definedName name="外部資料_5551" localSheetId="2">紅綠燈!#REF!</definedName>
    <definedName name="外部資料_5552" localSheetId="2">紅綠燈!#REF!</definedName>
    <definedName name="外部資料_5554" localSheetId="2">紅綠燈!#REF!</definedName>
    <definedName name="外部資料_5555" localSheetId="2">紅綠燈!#REF!</definedName>
    <definedName name="外部資料_5556" localSheetId="2">紅綠燈!#REF!</definedName>
    <definedName name="外部資料_5558" localSheetId="2">紅綠燈!#REF!</definedName>
    <definedName name="外部資料_5559" localSheetId="2">紅綠燈!#REF!</definedName>
    <definedName name="外部資料_556" localSheetId="15">PKA!#REF!</definedName>
    <definedName name="外部資料_556" localSheetId="16">PKB!#REF!</definedName>
    <definedName name="外部資料_556" localSheetId="17">PKC!#REF!</definedName>
    <definedName name="外部資料_556" localSheetId="4">評比系統!$T$1:$T$3</definedName>
    <definedName name="外部資料_5560" localSheetId="2">紅綠燈!#REF!</definedName>
    <definedName name="外部資料_5562" localSheetId="2">紅綠燈!#REF!</definedName>
    <definedName name="外部資料_5563" localSheetId="2">紅綠燈!#REF!</definedName>
    <definedName name="外部資料_5564" localSheetId="2">紅綠燈!#REF!</definedName>
    <definedName name="外部資料_5566" localSheetId="2">紅綠燈!#REF!</definedName>
    <definedName name="外部資料_5567" localSheetId="2">紅綠燈!#REF!</definedName>
    <definedName name="外部資料_5568" localSheetId="2">紅綠燈!#REF!</definedName>
    <definedName name="外部資料_557" localSheetId="15">PKA!#REF!</definedName>
    <definedName name="外部資料_557" localSheetId="16">PKB!#REF!</definedName>
    <definedName name="外部資料_557" localSheetId="17">PKC!#REF!</definedName>
    <definedName name="外部資料_557" localSheetId="4">評比系統!$T$1:$T$3</definedName>
    <definedName name="外部資料_5570" localSheetId="2">紅綠燈!#REF!</definedName>
    <definedName name="外部資料_5571" localSheetId="2">紅綠燈!#REF!</definedName>
    <definedName name="外部資料_5572" localSheetId="2">紅綠燈!#REF!</definedName>
    <definedName name="外部資料_5574" localSheetId="2">紅綠燈!#REF!</definedName>
    <definedName name="外部資料_5575" localSheetId="2">紅綠燈!#REF!</definedName>
    <definedName name="外部資料_5576" localSheetId="2">紅綠燈!#REF!</definedName>
    <definedName name="外部資料_5578" localSheetId="2">紅綠燈!#REF!</definedName>
    <definedName name="外部資料_5579" localSheetId="2">紅綠燈!#REF!</definedName>
    <definedName name="外部資料_558" localSheetId="15">PKA!#REF!</definedName>
    <definedName name="外部資料_558" localSheetId="16">PKB!#REF!</definedName>
    <definedName name="外部資料_558" localSheetId="17">PKC!#REF!</definedName>
    <definedName name="外部資料_558" localSheetId="4">評比系統!$T$1:$T$3</definedName>
    <definedName name="外部資料_5580" localSheetId="2">紅綠燈!#REF!</definedName>
    <definedName name="外部資料_5582" localSheetId="2">紅綠燈!#REF!</definedName>
    <definedName name="外部資料_5583" localSheetId="2">紅綠燈!#REF!</definedName>
    <definedName name="外部資料_5584" localSheetId="2">紅綠燈!#REF!</definedName>
    <definedName name="外部資料_5586" localSheetId="2">紅綠燈!#REF!</definedName>
    <definedName name="外部資料_5587" localSheetId="2">紅綠燈!#REF!</definedName>
    <definedName name="外部資料_5588" localSheetId="2">紅綠燈!#REF!</definedName>
    <definedName name="外部資料_559" localSheetId="15">PKA!#REF!</definedName>
    <definedName name="外部資料_559" localSheetId="16">PKB!#REF!</definedName>
    <definedName name="外部資料_559" localSheetId="17">PKC!#REF!</definedName>
    <definedName name="外部資料_559" localSheetId="4">評比系統!$T$1:$T$3</definedName>
    <definedName name="外部資料_5590" localSheetId="2">紅綠燈!#REF!</definedName>
    <definedName name="外部資料_5591" localSheetId="2">紅綠燈!#REF!</definedName>
    <definedName name="外部資料_5592" localSheetId="2">紅綠燈!#REF!</definedName>
    <definedName name="外部資料_5594" localSheetId="2">紅綠燈!#REF!</definedName>
    <definedName name="外部資料_5595" localSheetId="2">紅綠燈!#REF!</definedName>
    <definedName name="外部資料_5596" localSheetId="2">紅綠燈!#REF!</definedName>
    <definedName name="外部資料_5598" localSheetId="2">紅綠燈!#REF!</definedName>
    <definedName name="外部資料_5599" localSheetId="2">紅綠燈!#REF!</definedName>
    <definedName name="外部資料_56" localSheetId="15">PKA!#REF!</definedName>
    <definedName name="外部資料_56" localSheetId="16">PKB!#REF!</definedName>
    <definedName name="外部資料_56" localSheetId="17">PKC!#REF!</definedName>
    <definedName name="外部資料_56" localSheetId="8">PSR!#REF!</definedName>
    <definedName name="外部資料_56" localSheetId="4">評比系統!$T$1:$T$3</definedName>
    <definedName name="外部資料_56" localSheetId="18">福邦!#REF!</definedName>
    <definedName name="外部資料_56" localSheetId="7">營收搶先報!#REF!</definedName>
    <definedName name="外部資料_560" localSheetId="15">PKA!#REF!</definedName>
    <definedName name="外部資料_560" localSheetId="16">PKB!#REF!</definedName>
    <definedName name="外部資料_560" localSheetId="17">PKC!#REF!</definedName>
    <definedName name="外部資料_560" localSheetId="4">評比系統!$T$1:$T$3</definedName>
    <definedName name="外部資料_5600" localSheetId="2">紅綠燈!#REF!</definedName>
    <definedName name="外部資料_5602" localSheetId="2">紅綠燈!#REF!</definedName>
    <definedName name="外部資料_5603" localSheetId="2">紅綠燈!#REF!</definedName>
    <definedName name="外部資料_5604" localSheetId="2">紅綠燈!#REF!</definedName>
    <definedName name="外部資料_5606" localSheetId="2">紅綠燈!#REF!</definedName>
    <definedName name="外部資料_5607" localSheetId="2">紅綠燈!#REF!</definedName>
    <definedName name="外部資料_5608" localSheetId="2">紅綠燈!#REF!</definedName>
    <definedName name="外部資料_561" localSheetId="15">PKA!#REF!</definedName>
    <definedName name="外部資料_561" localSheetId="16">PKB!#REF!</definedName>
    <definedName name="外部資料_561" localSheetId="17">PKC!#REF!</definedName>
    <definedName name="外部資料_561" localSheetId="4">評比系統!$T$1:$T$3</definedName>
    <definedName name="外部資料_5610" localSheetId="2">紅綠燈!#REF!</definedName>
    <definedName name="外部資料_5611" localSheetId="2">紅綠燈!#REF!</definedName>
    <definedName name="外部資料_5612" localSheetId="2">紅綠燈!#REF!</definedName>
    <definedName name="外部資料_5614" localSheetId="2">紅綠燈!#REF!</definedName>
    <definedName name="外部資料_5615" localSheetId="2">紅綠燈!#REF!</definedName>
    <definedName name="外部資料_5616" localSheetId="2">紅綠燈!#REF!</definedName>
    <definedName name="外部資料_5618" localSheetId="2">紅綠燈!#REF!</definedName>
    <definedName name="外部資料_5619" localSheetId="2">紅綠燈!#REF!</definedName>
    <definedName name="外部資料_562" localSheetId="15">PKA!#REF!</definedName>
    <definedName name="外部資料_562" localSheetId="16">PKB!#REF!</definedName>
    <definedName name="外部資料_562" localSheetId="17">PKC!#REF!</definedName>
    <definedName name="外部資料_562" localSheetId="4">評比系統!$T$1:$T$3</definedName>
    <definedName name="外部資料_5621" localSheetId="2">紅綠燈!#REF!</definedName>
    <definedName name="外部資料_5622" localSheetId="2">紅綠燈!#REF!</definedName>
    <definedName name="外部資料_5623" localSheetId="2">紅綠燈!#REF!</definedName>
    <definedName name="外部資料_5625" localSheetId="2">紅綠燈!#REF!</definedName>
    <definedName name="外部資料_5626" localSheetId="2">紅綠燈!#REF!</definedName>
    <definedName name="外部資料_5627" localSheetId="2">紅綠燈!#REF!</definedName>
    <definedName name="外部資料_5629" localSheetId="2">紅綠燈!#REF!</definedName>
    <definedName name="外部資料_563" localSheetId="15">PKA!#REF!</definedName>
    <definedName name="外部資料_563" localSheetId="16">PKB!#REF!</definedName>
    <definedName name="外部資料_563" localSheetId="17">PKC!#REF!</definedName>
    <definedName name="外部資料_563" localSheetId="4">評比系統!$T$1:$T$3</definedName>
    <definedName name="外部資料_5630" localSheetId="2">紅綠燈!#REF!</definedName>
    <definedName name="外部資料_5631" localSheetId="2">紅綠燈!#REF!</definedName>
    <definedName name="外部資料_5633" localSheetId="2">紅綠燈!#REF!</definedName>
    <definedName name="外部資料_5634" localSheetId="2">紅綠燈!#REF!</definedName>
    <definedName name="外部資料_5635" localSheetId="2">紅綠燈!#REF!</definedName>
    <definedName name="外部資料_5637" localSheetId="2">紅綠燈!#REF!</definedName>
    <definedName name="外部資料_5638" localSheetId="2">紅綠燈!#REF!</definedName>
    <definedName name="外部資料_5639" localSheetId="2">紅綠燈!#REF!</definedName>
    <definedName name="外部資料_564" localSheetId="15">PKA!#REF!</definedName>
    <definedName name="外部資料_564" localSheetId="16">PKB!#REF!</definedName>
    <definedName name="外部資料_564" localSheetId="17">PKC!#REF!</definedName>
    <definedName name="外部資料_564" localSheetId="4">評比系統!$T$1:$T$3</definedName>
    <definedName name="外部資料_5641" localSheetId="2">紅綠燈!#REF!</definedName>
    <definedName name="外部資料_5642" localSheetId="2">紅綠燈!#REF!</definedName>
    <definedName name="外部資料_5643" localSheetId="2">紅綠燈!#REF!</definedName>
    <definedName name="外部資料_5645" localSheetId="2">紅綠燈!#REF!</definedName>
    <definedName name="外部資料_5646" localSheetId="2">紅綠燈!#REF!</definedName>
    <definedName name="外部資料_5647" localSheetId="2">紅綠燈!#REF!</definedName>
    <definedName name="外部資料_5649" localSheetId="2">紅綠燈!#REF!</definedName>
    <definedName name="外部資料_565" localSheetId="15">PKA!#REF!</definedName>
    <definedName name="外部資料_565" localSheetId="16">PKB!#REF!</definedName>
    <definedName name="外部資料_565" localSheetId="17">PKC!#REF!</definedName>
    <definedName name="外部資料_565" localSheetId="4">評比系統!$T$1:$T$3</definedName>
    <definedName name="外部資料_5650" localSheetId="2">紅綠燈!#REF!</definedName>
    <definedName name="外部資料_5651" localSheetId="2">紅綠燈!#REF!</definedName>
    <definedName name="外部資料_5653" localSheetId="2">紅綠燈!#REF!</definedName>
    <definedName name="外部資料_5654" localSheetId="2">紅綠燈!#REF!</definedName>
    <definedName name="外部資料_5655" localSheetId="2">紅綠燈!#REF!</definedName>
    <definedName name="外部資料_5657" localSheetId="2">紅綠燈!#REF!</definedName>
    <definedName name="外部資料_5658" localSheetId="2">紅綠燈!#REF!</definedName>
    <definedName name="外部資料_5659" localSheetId="2">紅綠燈!#REF!</definedName>
    <definedName name="外部資料_566" localSheetId="15">PKA!#REF!</definedName>
    <definedName name="外部資料_566" localSheetId="16">PKB!#REF!</definedName>
    <definedName name="外部資料_566" localSheetId="17">PKC!#REF!</definedName>
    <definedName name="外部資料_566" localSheetId="4">評比系統!$T$1:$T$3</definedName>
    <definedName name="外部資料_5661" localSheetId="2">紅綠燈!#REF!</definedName>
    <definedName name="外部資料_5662" localSheetId="2">紅綠燈!#REF!</definedName>
    <definedName name="外部資料_5663" localSheetId="2">紅綠燈!#REF!</definedName>
    <definedName name="外部資料_5665" localSheetId="2">紅綠燈!#REF!</definedName>
    <definedName name="外部資料_5666" localSheetId="2">紅綠燈!#REF!</definedName>
    <definedName name="外部資料_5667" localSheetId="2">紅綠燈!#REF!</definedName>
    <definedName name="外部資料_5669" localSheetId="2">紅綠燈!#REF!</definedName>
    <definedName name="外部資料_567" localSheetId="15">PKA!#REF!</definedName>
    <definedName name="外部資料_567" localSheetId="16">PKB!#REF!</definedName>
    <definedName name="外部資料_567" localSheetId="17">PKC!#REF!</definedName>
    <definedName name="外部資料_567" localSheetId="4">評比系統!$T$1:$T$3</definedName>
    <definedName name="外部資料_5670" localSheetId="2">紅綠燈!#REF!</definedName>
    <definedName name="外部資料_5671" localSheetId="2">紅綠燈!#REF!</definedName>
    <definedName name="外部資料_5673" localSheetId="2">紅綠燈!#REF!</definedName>
    <definedName name="外部資料_5674" localSheetId="2">紅綠燈!#REF!</definedName>
    <definedName name="外部資料_5675" localSheetId="2">紅綠燈!#REF!</definedName>
    <definedName name="外部資料_5677" localSheetId="2">紅綠燈!#REF!</definedName>
    <definedName name="外部資料_5678" localSheetId="2">紅綠燈!#REF!</definedName>
    <definedName name="外部資料_5679" localSheetId="2">紅綠燈!#REF!</definedName>
    <definedName name="外部資料_568" localSheetId="15">PKA!#REF!</definedName>
    <definedName name="外部資料_568" localSheetId="16">PKB!#REF!</definedName>
    <definedName name="外部資料_568" localSheetId="17">PKC!#REF!</definedName>
    <definedName name="外部資料_568" localSheetId="4">評比系統!$T$1:$T$3</definedName>
    <definedName name="外部資料_5681" localSheetId="2">紅綠燈!#REF!</definedName>
    <definedName name="外部資料_5682" localSheetId="2">紅綠燈!#REF!</definedName>
    <definedName name="外部資料_5683" localSheetId="2">紅綠燈!#REF!</definedName>
    <definedName name="外部資料_5685" localSheetId="2">紅綠燈!#REF!</definedName>
    <definedName name="外部資料_5686" localSheetId="2">紅綠燈!#REF!</definedName>
    <definedName name="外部資料_5687" localSheetId="2">紅綠燈!#REF!</definedName>
    <definedName name="外部資料_5689" localSheetId="2">紅綠燈!#REF!</definedName>
    <definedName name="外部資料_569" localSheetId="15">PKA!#REF!</definedName>
    <definedName name="外部資料_569" localSheetId="16">PKB!#REF!</definedName>
    <definedName name="外部資料_569" localSheetId="17">PKC!#REF!</definedName>
    <definedName name="外部資料_569" localSheetId="4">評比系統!$T$1:$T$3</definedName>
    <definedName name="外部資料_5690" localSheetId="2">紅綠燈!#REF!</definedName>
    <definedName name="外部資料_5691" localSheetId="2">紅綠燈!#REF!</definedName>
    <definedName name="外部資料_5693" localSheetId="2">紅綠燈!#REF!</definedName>
    <definedName name="外部資料_5694" localSheetId="2">紅綠燈!#REF!</definedName>
    <definedName name="外部資料_5695" localSheetId="2">紅綠燈!#REF!</definedName>
    <definedName name="外部資料_5697" localSheetId="2">紅綠燈!#REF!</definedName>
    <definedName name="外部資料_5698" localSheetId="2">紅綠燈!#REF!</definedName>
    <definedName name="外部資料_5699" localSheetId="2">紅綠燈!#REF!</definedName>
    <definedName name="外部資料_57" localSheetId="15">PKA!#REF!</definedName>
    <definedName name="外部資料_57" localSheetId="16">PKB!#REF!</definedName>
    <definedName name="外部資料_57" localSheetId="17">PKC!#REF!</definedName>
    <definedName name="外部資料_57" localSheetId="8">PSR!#REF!</definedName>
    <definedName name="外部資料_57" localSheetId="4">評比系統!$T$1:$T$3</definedName>
    <definedName name="外部資料_57" localSheetId="18">福邦!#REF!</definedName>
    <definedName name="外部資料_57" localSheetId="7">營收搶先報!#REF!</definedName>
    <definedName name="外部資料_570" localSheetId="15">PKA!#REF!</definedName>
    <definedName name="外部資料_570" localSheetId="16">PKB!#REF!</definedName>
    <definedName name="外部資料_570" localSheetId="17">PKC!#REF!</definedName>
    <definedName name="外部資料_570" localSheetId="4">評比系統!$T$1:$T$3</definedName>
    <definedName name="外部資料_5701" localSheetId="2">紅綠燈!#REF!</definedName>
    <definedName name="外部資料_5702" localSheetId="2">紅綠燈!#REF!</definedName>
    <definedName name="外部資料_5703" localSheetId="2">紅綠燈!#REF!</definedName>
    <definedName name="外部資料_5705" localSheetId="2">紅綠燈!#REF!</definedName>
    <definedName name="外部資料_5706" localSheetId="2">紅綠燈!#REF!</definedName>
    <definedName name="外部資料_5707" localSheetId="2">紅綠燈!#REF!</definedName>
    <definedName name="外部資料_5709" localSheetId="2">紅綠燈!#REF!</definedName>
    <definedName name="外部資料_571" localSheetId="15">PKA!#REF!</definedName>
    <definedName name="外部資料_571" localSheetId="16">PKB!#REF!</definedName>
    <definedName name="外部資料_571" localSheetId="17">PKC!#REF!</definedName>
    <definedName name="外部資料_571" localSheetId="4">評比系統!$T$1:$T$3</definedName>
    <definedName name="外部資料_5710" localSheetId="2">紅綠燈!#REF!</definedName>
    <definedName name="外部資料_5711" localSheetId="2">紅綠燈!#REF!</definedName>
    <definedName name="外部資料_5713" localSheetId="2">紅綠燈!#REF!</definedName>
    <definedName name="外部資料_5714" localSheetId="2">紅綠燈!#REF!</definedName>
    <definedName name="外部資料_5715" localSheetId="2">紅綠燈!#REF!</definedName>
    <definedName name="外部資料_5717" localSheetId="2">紅綠燈!#REF!</definedName>
    <definedName name="外部資料_5718" localSheetId="2">紅綠燈!#REF!</definedName>
    <definedName name="外部資料_5719" localSheetId="2">紅綠燈!#REF!</definedName>
    <definedName name="外部資料_572" localSheetId="15">PKA!#REF!</definedName>
    <definedName name="外部資料_572" localSheetId="16">PKB!#REF!</definedName>
    <definedName name="外部資料_572" localSheetId="17">PKC!#REF!</definedName>
    <definedName name="外部資料_572" localSheetId="4">評比系統!$T$1:$T$3</definedName>
    <definedName name="外部資料_5721" localSheetId="2">紅綠燈!#REF!</definedName>
    <definedName name="外部資料_5722" localSheetId="2">紅綠燈!#REF!</definedName>
    <definedName name="外部資料_5723" localSheetId="2">紅綠燈!#REF!</definedName>
    <definedName name="外部資料_5725" localSheetId="2">紅綠燈!#REF!</definedName>
    <definedName name="外部資料_5726" localSheetId="2">紅綠燈!#REF!</definedName>
    <definedName name="外部資料_5727" localSheetId="2">紅綠燈!#REF!</definedName>
    <definedName name="外部資料_5729" localSheetId="2">紅綠燈!#REF!</definedName>
    <definedName name="外部資料_573" localSheetId="15">PKA!#REF!</definedName>
    <definedName name="外部資料_573" localSheetId="16">PKB!#REF!</definedName>
    <definedName name="外部資料_573" localSheetId="17">PKC!#REF!</definedName>
    <definedName name="外部資料_573" localSheetId="4">評比系統!$T$1:$T$3</definedName>
    <definedName name="外部資料_5730" localSheetId="2">紅綠燈!#REF!</definedName>
    <definedName name="外部資料_5731" localSheetId="2">紅綠燈!#REF!</definedName>
    <definedName name="外部資料_5733" localSheetId="2">紅綠燈!#REF!</definedName>
    <definedName name="外部資料_5734" localSheetId="2">紅綠燈!#REF!</definedName>
    <definedName name="外部資料_5735" localSheetId="2">紅綠燈!#REF!</definedName>
    <definedName name="外部資料_5737" localSheetId="2">紅綠燈!#REF!</definedName>
    <definedName name="外部資料_5738" localSheetId="2">紅綠燈!#REF!</definedName>
    <definedName name="外部資料_5739" localSheetId="2">紅綠燈!#REF!</definedName>
    <definedName name="外部資料_574" localSheetId="15">PKA!#REF!</definedName>
    <definedName name="外部資料_574" localSheetId="16">PKB!#REF!</definedName>
    <definedName name="外部資料_574" localSheetId="17">PKC!#REF!</definedName>
    <definedName name="外部資料_574" localSheetId="4">評比系統!$T$1:$T$3</definedName>
    <definedName name="外部資料_5741" localSheetId="2">紅綠燈!#REF!</definedName>
    <definedName name="外部資料_5742" localSheetId="2">紅綠燈!#REF!</definedName>
    <definedName name="外部資料_5743" localSheetId="2">紅綠燈!#REF!</definedName>
    <definedName name="外部資料_5745" localSheetId="2">紅綠燈!#REF!</definedName>
    <definedName name="外部資料_5746" localSheetId="2">紅綠燈!#REF!</definedName>
    <definedName name="外部資料_5747" localSheetId="2">紅綠燈!#REF!</definedName>
    <definedName name="外部資料_5749" localSheetId="2">紅綠燈!#REF!</definedName>
    <definedName name="外部資料_575" localSheetId="15">PKA!#REF!</definedName>
    <definedName name="外部資料_575" localSheetId="16">PKB!#REF!</definedName>
    <definedName name="外部資料_575" localSheetId="17">PKC!#REF!</definedName>
    <definedName name="外部資料_575" localSheetId="4">評比系統!$T$1:$T$3</definedName>
    <definedName name="外部資料_5750" localSheetId="2">紅綠燈!#REF!</definedName>
    <definedName name="外部資料_5751" localSheetId="2">紅綠燈!#REF!</definedName>
    <definedName name="外部資料_5753" localSheetId="2">紅綠燈!#REF!</definedName>
    <definedName name="外部資料_5754" localSheetId="2">紅綠燈!#REF!</definedName>
    <definedName name="外部資料_5755" localSheetId="2">紅綠燈!#REF!</definedName>
    <definedName name="外部資料_5757" localSheetId="2">紅綠燈!#REF!</definedName>
    <definedName name="外部資料_5758" localSheetId="2">紅綠燈!#REF!</definedName>
    <definedName name="外部資料_5759" localSheetId="2">紅綠燈!#REF!</definedName>
    <definedName name="外部資料_576" localSheetId="15">PKA!#REF!</definedName>
    <definedName name="外部資料_576" localSheetId="16">PKB!#REF!</definedName>
    <definedName name="外部資料_576" localSheetId="17">PKC!#REF!</definedName>
    <definedName name="外部資料_576" localSheetId="4">評比系統!$T$1:$T$3</definedName>
    <definedName name="外部資料_5761" localSheetId="2">紅綠燈!#REF!</definedName>
    <definedName name="外部資料_5762" localSheetId="2">紅綠燈!#REF!</definedName>
    <definedName name="外部資料_5763" localSheetId="2">紅綠燈!#REF!</definedName>
    <definedName name="外部資料_5765" localSheetId="2">紅綠燈!#REF!</definedName>
    <definedName name="外部資料_5766" localSheetId="2">紅綠燈!#REF!</definedName>
    <definedName name="外部資料_5767" localSheetId="2">紅綠燈!#REF!</definedName>
    <definedName name="外部資料_5769" localSheetId="2">紅綠燈!#REF!</definedName>
    <definedName name="外部資料_577" localSheetId="15">PKA!#REF!</definedName>
    <definedName name="外部資料_577" localSheetId="16">PKB!#REF!</definedName>
    <definedName name="外部資料_577" localSheetId="17">PKC!#REF!</definedName>
    <definedName name="外部資料_577" localSheetId="4">評比系統!$T$1:$T$3</definedName>
    <definedName name="外部資料_5770" localSheetId="2">紅綠燈!#REF!</definedName>
    <definedName name="外部資料_5771" localSheetId="2">紅綠燈!#REF!</definedName>
    <definedName name="外部資料_5773" localSheetId="2">紅綠燈!#REF!</definedName>
    <definedName name="外部資料_5774" localSheetId="2">紅綠燈!#REF!</definedName>
    <definedName name="外部資料_5775" localSheetId="2">紅綠燈!#REF!</definedName>
    <definedName name="外部資料_5777" localSheetId="2">紅綠燈!#REF!</definedName>
    <definedName name="外部資料_5778" localSheetId="2">紅綠燈!#REF!</definedName>
    <definedName name="外部資料_5779" localSheetId="2">紅綠燈!#REF!</definedName>
    <definedName name="外部資料_578" localSheetId="15">PKA!#REF!</definedName>
    <definedName name="外部資料_578" localSheetId="16">PKB!#REF!</definedName>
    <definedName name="外部資料_578" localSheetId="17">PKC!#REF!</definedName>
    <definedName name="外部資料_578" localSheetId="4">評比系統!$T$1:$T$3</definedName>
    <definedName name="外部資料_5781" localSheetId="2">紅綠燈!#REF!</definedName>
    <definedName name="外部資料_5782" localSheetId="2">紅綠燈!#REF!</definedName>
    <definedName name="外部資料_5783" localSheetId="2">紅綠燈!#REF!</definedName>
    <definedName name="外部資料_5785" localSheetId="2">紅綠燈!#REF!</definedName>
    <definedName name="外部資料_5786" localSheetId="2">紅綠燈!#REF!</definedName>
    <definedName name="外部資料_5787" localSheetId="2">紅綠燈!#REF!</definedName>
    <definedName name="外部資料_5789" localSheetId="2">紅綠燈!#REF!</definedName>
    <definedName name="外部資料_579" localSheetId="15">PKA!#REF!</definedName>
    <definedName name="外部資料_579" localSheetId="16">PKB!#REF!</definedName>
    <definedName name="外部資料_579" localSheetId="17">PKC!#REF!</definedName>
    <definedName name="外部資料_579" localSheetId="4">評比系統!$T$1:$T$3</definedName>
    <definedName name="外部資料_5790" localSheetId="2">紅綠燈!#REF!</definedName>
    <definedName name="外部資料_5791" localSheetId="2">紅綠燈!#REF!</definedName>
    <definedName name="外部資料_5793" localSheetId="2">紅綠燈!#REF!</definedName>
    <definedName name="外部資料_5794" localSheetId="2">紅綠燈!#REF!</definedName>
    <definedName name="外部資料_5795" localSheetId="2">紅綠燈!#REF!</definedName>
    <definedName name="外部資料_5797" localSheetId="2">紅綠燈!#REF!</definedName>
    <definedName name="外部資料_5798" localSheetId="2">紅綠燈!#REF!</definedName>
    <definedName name="外部資料_5799" localSheetId="2">紅綠燈!#REF!</definedName>
    <definedName name="外部資料_58" localSheetId="15">PKA!#REF!</definedName>
    <definedName name="外部資料_58" localSheetId="16">PKB!#REF!</definedName>
    <definedName name="外部資料_58" localSheetId="17">PKC!#REF!</definedName>
    <definedName name="外部資料_58" localSheetId="8">PSR!#REF!</definedName>
    <definedName name="外部資料_58" localSheetId="4">評比系統!$T$1:$T$3</definedName>
    <definedName name="外部資料_58" localSheetId="18">福邦!#REF!</definedName>
    <definedName name="外部資料_58" localSheetId="7">營收搶先報!#REF!</definedName>
    <definedName name="外部資料_580" localSheetId="15">PKA!#REF!</definedName>
    <definedName name="外部資料_580" localSheetId="16">PKB!#REF!</definedName>
    <definedName name="外部資料_580" localSheetId="17">PKC!#REF!</definedName>
    <definedName name="外部資料_580" localSheetId="4">評比系統!$T$1:$T$3</definedName>
    <definedName name="外部資料_5801" localSheetId="2">紅綠燈!#REF!</definedName>
    <definedName name="外部資料_5802" localSheetId="2">紅綠燈!#REF!</definedName>
    <definedName name="外部資料_5803" localSheetId="2">紅綠燈!#REF!</definedName>
    <definedName name="外部資料_5805" localSheetId="2">紅綠燈!#REF!</definedName>
    <definedName name="外部資料_5806" localSheetId="2">紅綠燈!#REF!</definedName>
    <definedName name="外部資料_5807" localSheetId="2">紅綠燈!#REF!</definedName>
    <definedName name="外部資料_5809" localSheetId="2">紅綠燈!#REF!</definedName>
    <definedName name="外部資料_581" localSheetId="15">PKA!#REF!</definedName>
    <definedName name="外部資料_581" localSheetId="16">PKB!#REF!</definedName>
    <definedName name="外部資料_581" localSheetId="17">PKC!#REF!</definedName>
    <definedName name="外部資料_581" localSheetId="4">評比系統!$T$1:$T$3</definedName>
    <definedName name="外部資料_5810" localSheetId="2">紅綠燈!#REF!</definedName>
    <definedName name="外部資料_5811" localSheetId="2">紅綠燈!#REF!</definedName>
    <definedName name="外部資料_5813" localSheetId="2">紅綠燈!#REF!</definedName>
    <definedName name="外部資料_5814" localSheetId="2">紅綠燈!#REF!</definedName>
    <definedName name="外部資料_5815" localSheetId="2">紅綠燈!#REF!</definedName>
    <definedName name="外部資料_5817" localSheetId="2">紅綠燈!#REF!</definedName>
    <definedName name="外部資料_5818" localSheetId="2">紅綠燈!#REF!</definedName>
    <definedName name="外部資料_5819" localSheetId="2">紅綠燈!#REF!</definedName>
    <definedName name="外部資料_582" localSheetId="15">PKA!#REF!</definedName>
    <definedName name="外部資料_582" localSheetId="16">PKB!#REF!</definedName>
    <definedName name="外部資料_582" localSheetId="17">PKC!#REF!</definedName>
    <definedName name="外部資料_582" localSheetId="4">評比系統!$T$1:$T$3</definedName>
    <definedName name="外部資料_5821" localSheetId="2">紅綠燈!#REF!</definedName>
    <definedName name="外部資料_5822" localSheetId="2">紅綠燈!#REF!</definedName>
    <definedName name="外部資料_5823" localSheetId="2">紅綠燈!#REF!</definedName>
    <definedName name="外部資料_5825" localSheetId="2">紅綠燈!#REF!</definedName>
    <definedName name="外部資料_5826" localSheetId="2">紅綠燈!#REF!</definedName>
    <definedName name="外部資料_5827" localSheetId="2">紅綠燈!#REF!</definedName>
    <definedName name="外部資料_5829" localSheetId="2">紅綠燈!#REF!</definedName>
    <definedName name="外部資料_583" localSheetId="15">PKA!#REF!</definedName>
    <definedName name="外部資料_583" localSheetId="16">PKB!#REF!</definedName>
    <definedName name="外部資料_583" localSheetId="17">PKC!#REF!</definedName>
    <definedName name="外部資料_583" localSheetId="4">評比系統!$T$1:$T$3</definedName>
    <definedName name="外部資料_5830" localSheetId="2">紅綠燈!#REF!</definedName>
    <definedName name="外部資料_5831" localSheetId="2">紅綠燈!#REF!</definedName>
    <definedName name="外部資料_5833" localSheetId="2">紅綠燈!#REF!</definedName>
    <definedName name="外部資料_5834" localSheetId="2">紅綠燈!#REF!</definedName>
    <definedName name="外部資料_5835" localSheetId="2">紅綠燈!#REF!</definedName>
    <definedName name="外部資料_5837" localSheetId="2">紅綠燈!#REF!</definedName>
    <definedName name="外部資料_5838" localSheetId="2">紅綠燈!#REF!</definedName>
    <definedName name="外部資料_5839" localSheetId="2">紅綠燈!#REF!</definedName>
    <definedName name="外部資料_584" localSheetId="15">PKA!#REF!</definedName>
    <definedName name="外部資料_584" localSheetId="16">PKB!#REF!</definedName>
    <definedName name="外部資料_584" localSheetId="17">PKC!#REF!</definedName>
    <definedName name="外部資料_584" localSheetId="4">評比系統!$T$1:$T$3</definedName>
    <definedName name="外部資料_5841" localSheetId="2">紅綠燈!#REF!</definedName>
    <definedName name="外部資料_5842" localSheetId="2">紅綠燈!#REF!</definedName>
    <definedName name="外部資料_5843" localSheetId="2">紅綠燈!#REF!</definedName>
    <definedName name="外部資料_5845" localSheetId="2">紅綠燈!#REF!</definedName>
    <definedName name="外部資料_5846" localSheetId="2">紅綠燈!#REF!</definedName>
    <definedName name="外部資料_5847" localSheetId="2">紅綠燈!#REF!</definedName>
    <definedName name="外部資料_5849" localSheetId="2">紅綠燈!#REF!</definedName>
    <definedName name="外部資料_585" localSheetId="15">PKA!#REF!</definedName>
    <definedName name="外部資料_585" localSheetId="16">PKB!#REF!</definedName>
    <definedName name="外部資料_585" localSheetId="17">PKC!#REF!</definedName>
    <definedName name="外部資料_585" localSheetId="4">評比系統!$T$1:$T$3</definedName>
    <definedName name="外部資料_5850" localSheetId="2">紅綠燈!#REF!</definedName>
    <definedName name="外部資料_5851" localSheetId="2">紅綠燈!#REF!</definedName>
    <definedName name="外部資料_5853" localSheetId="2">紅綠燈!#REF!</definedName>
    <definedName name="外部資料_5854" localSheetId="2">紅綠燈!#REF!</definedName>
    <definedName name="外部資料_5855" localSheetId="2">紅綠燈!#REF!</definedName>
    <definedName name="外部資料_5857" localSheetId="2">紅綠燈!#REF!</definedName>
    <definedName name="外部資料_5858" localSheetId="2">紅綠燈!#REF!</definedName>
    <definedName name="外部資料_5859" localSheetId="2">紅綠燈!#REF!</definedName>
    <definedName name="外部資料_586" localSheetId="15">PKA!#REF!</definedName>
    <definedName name="外部資料_586" localSheetId="16">PKB!#REF!</definedName>
    <definedName name="外部資料_586" localSheetId="17">PKC!#REF!</definedName>
    <definedName name="外部資料_586" localSheetId="4">評比系統!$T$1:$T$3</definedName>
    <definedName name="外部資料_5861" localSheetId="2">紅綠燈!#REF!</definedName>
    <definedName name="外部資料_5862" localSheetId="2">紅綠燈!#REF!</definedName>
    <definedName name="外部資料_5863" localSheetId="2">紅綠燈!#REF!</definedName>
    <definedName name="外部資料_5865" localSheetId="2">紅綠燈!#REF!</definedName>
    <definedName name="外部資料_5866" localSheetId="2">紅綠燈!#REF!</definedName>
    <definedName name="外部資料_5867" localSheetId="2">紅綠燈!#REF!</definedName>
    <definedName name="外部資料_5869" localSheetId="2">紅綠燈!#REF!</definedName>
    <definedName name="外部資料_587" localSheetId="15">PKA!#REF!</definedName>
    <definedName name="外部資料_587" localSheetId="16">PKB!#REF!</definedName>
    <definedName name="外部資料_587" localSheetId="17">PKC!#REF!</definedName>
    <definedName name="外部資料_587" localSheetId="4">評比系統!$T$1:$T$3</definedName>
    <definedName name="外部資料_5870" localSheetId="2">紅綠燈!#REF!</definedName>
    <definedName name="外部資料_5871" localSheetId="2">紅綠燈!#REF!</definedName>
    <definedName name="外部資料_5873" localSheetId="2">紅綠燈!#REF!</definedName>
    <definedName name="外部資料_5874" localSheetId="2">紅綠燈!#REF!</definedName>
    <definedName name="外部資料_5875" localSheetId="2">紅綠燈!#REF!</definedName>
    <definedName name="外部資料_5877" localSheetId="2">紅綠燈!#REF!</definedName>
    <definedName name="外部資料_5878" localSheetId="2">紅綠燈!#REF!</definedName>
    <definedName name="外部資料_5879" localSheetId="2">紅綠燈!#REF!</definedName>
    <definedName name="外部資料_588" localSheetId="15">PKA!#REF!</definedName>
    <definedName name="外部資料_588" localSheetId="16">PKB!#REF!</definedName>
    <definedName name="外部資料_588" localSheetId="17">PKC!#REF!</definedName>
    <definedName name="外部資料_588" localSheetId="4">評比系統!$T$1:$T$3</definedName>
    <definedName name="外部資料_5881" localSheetId="2">紅綠燈!#REF!</definedName>
    <definedName name="外部資料_5882" localSheetId="2">紅綠燈!#REF!</definedName>
    <definedName name="外部資料_5884" localSheetId="2">紅綠燈!#REF!</definedName>
    <definedName name="外部資料_5885" localSheetId="2">紅綠燈!#REF!</definedName>
    <definedName name="外部資料_5886" localSheetId="2">紅綠燈!#REF!</definedName>
    <definedName name="外部資料_5888" localSheetId="2">紅綠燈!#REF!</definedName>
    <definedName name="外部資料_5889" localSheetId="2">紅綠燈!#REF!</definedName>
    <definedName name="外部資料_589" localSheetId="15">PKA!#REF!</definedName>
    <definedName name="外部資料_589" localSheetId="16">PKB!#REF!</definedName>
    <definedName name="外部資料_589" localSheetId="17">PKC!#REF!</definedName>
    <definedName name="外部資料_589" localSheetId="4">評比系統!$T$1:$T$3</definedName>
    <definedName name="外部資料_5890" localSheetId="2">紅綠燈!#REF!</definedName>
    <definedName name="外部資料_5892" localSheetId="2">紅綠燈!#REF!</definedName>
    <definedName name="外部資料_5893" localSheetId="2">紅綠燈!#REF!</definedName>
    <definedName name="外部資料_5894" localSheetId="2">紅綠燈!#REF!</definedName>
    <definedName name="外部資料_5896" localSheetId="2">紅綠燈!#REF!</definedName>
    <definedName name="外部資料_5897" localSheetId="2">紅綠燈!#REF!</definedName>
    <definedName name="外部資料_5898" localSheetId="2">紅綠燈!#REF!</definedName>
    <definedName name="外部資料_59" localSheetId="15">PKA!#REF!</definedName>
    <definedName name="外部資料_59" localSheetId="16">PKB!#REF!</definedName>
    <definedName name="外部資料_59" localSheetId="17">PKC!#REF!</definedName>
    <definedName name="外部資料_59" localSheetId="8">PSR!#REF!</definedName>
    <definedName name="外部資料_59" localSheetId="4">評比系統!$T$1:$T$3</definedName>
    <definedName name="外部資料_59" localSheetId="18">福邦!#REF!</definedName>
    <definedName name="外部資料_59" localSheetId="7">營收搶先報!#REF!</definedName>
    <definedName name="外部資料_590" localSheetId="15">PKA!#REF!</definedName>
    <definedName name="外部資料_590" localSheetId="16">PKB!#REF!</definedName>
    <definedName name="外部資料_590" localSheetId="17">PKC!#REF!</definedName>
    <definedName name="外部資料_590" localSheetId="4">評比系統!$T$1:$T$3</definedName>
    <definedName name="外部資料_5900" localSheetId="2">紅綠燈!#REF!</definedName>
    <definedName name="外部資料_5901" localSheetId="2">紅綠燈!#REF!</definedName>
    <definedName name="外部資料_5902" localSheetId="2">紅綠燈!#REF!</definedName>
    <definedName name="外部資料_5904" localSheetId="2">紅綠燈!#REF!</definedName>
    <definedName name="外部資料_5905" localSheetId="2">紅綠燈!#REF!</definedName>
    <definedName name="外部資料_5906" localSheetId="2">紅綠燈!#REF!</definedName>
    <definedName name="外部資料_5908" localSheetId="2">紅綠燈!#REF!</definedName>
    <definedName name="外部資料_5909" localSheetId="2">紅綠燈!#REF!</definedName>
    <definedName name="外部資料_591" localSheetId="15">PKA!#REF!</definedName>
    <definedName name="外部資料_591" localSheetId="16">PKB!#REF!</definedName>
    <definedName name="外部資料_591" localSheetId="17">PKC!#REF!</definedName>
    <definedName name="外部資料_591" localSheetId="4">評比系統!$T$1:$T$3</definedName>
    <definedName name="外部資料_5910" localSheetId="2">紅綠燈!#REF!</definedName>
    <definedName name="外部資料_5912" localSheetId="2">紅綠燈!#REF!</definedName>
    <definedName name="外部資料_5913" localSheetId="2">紅綠燈!#REF!</definedName>
    <definedName name="外部資料_5914" localSheetId="2">紅綠燈!#REF!</definedName>
    <definedName name="外部資料_5916" localSheetId="2">紅綠燈!#REF!</definedName>
    <definedName name="外部資料_5917" localSheetId="2">紅綠燈!#REF!</definedName>
    <definedName name="外部資料_5918" localSheetId="2">紅綠燈!#REF!</definedName>
    <definedName name="外部資料_592" localSheetId="15">PKA!#REF!</definedName>
    <definedName name="外部資料_592" localSheetId="16">PKB!#REF!</definedName>
    <definedName name="外部資料_592" localSheetId="17">PKC!#REF!</definedName>
    <definedName name="外部資料_592" localSheetId="4">評比系統!$T$1:$T$3</definedName>
    <definedName name="外部資料_5920" localSheetId="2">紅綠燈!#REF!</definedName>
    <definedName name="外部資料_5921" localSheetId="2">紅綠燈!#REF!</definedName>
    <definedName name="外部資料_5922" localSheetId="2">紅綠燈!#REF!</definedName>
    <definedName name="外部資料_5924" localSheetId="2">紅綠燈!#REF!</definedName>
    <definedName name="外部資料_5925" localSheetId="2">紅綠燈!#REF!</definedName>
    <definedName name="外部資料_5926" localSheetId="2">紅綠燈!#REF!</definedName>
    <definedName name="外部資料_5928" localSheetId="2">紅綠燈!#REF!</definedName>
    <definedName name="外部資料_5929" localSheetId="2">紅綠燈!#REF!</definedName>
    <definedName name="外部資料_593" localSheetId="15">PKA!#REF!</definedName>
    <definedName name="外部資料_593" localSheetId="16">PKB!#REF!</definedName>
    <definedName name="外部資料_593" localSheetId="17">PKC!#REF!</definedName>
    <definedName name="外部資料_593" localSheetId="4">評比系統!$T$1:$T$3</definedName>
    <definedName name="外部資料_5930" localSheetId="2">紅綠燈!#REF!</definedName>
    <definedName name="外部資料_5932" localSheetId="2">紅綠燈!#REF!</definedName>
    <definedName name="外部資料_5933" localSheetId="2">紅綠燈!#REF!</definedName>
    <definedName name="外部資料_5934" localSheetId="2">紅綠燈!#REF!</definedName>
    <definedName name="外部資料_5936" localSheetId="2">紅綠燈!#REF!</definedName>
    <definedName name="外部資料_5937" localSheetId="2">紅綠燈!#REF!</definedName>
    <definedName name="外部資料_5939" localSheetId="2">紅綠燈!#REF!</definedName>
    <definedName name="外部資料_594" localSheetId="15">PKA!#REF!</definedName>
    <definedName name="外部資料_594" localSheetId="16">PKB!#REF!</definedName>
    <definedName name="外部資料_594" localSheetId="17">PKC!#REF!</definedName>
    <definedName name="外部資料_594" localSheetId="4">評比系統!$T$1:$T$3</definedName>
    <definedName name="外部資料_5940" localSheetId="2">紅綠燈!#REF!</definedName>
    <definedName name="外部資料_5941" localSheetId="2">紅綠燈!#REF!</definedName>
    <definedName name="外部資料_5943" localSheetId="2">紅綠燈!#REF!</definedName>
    <definedName name="外部資料_5944" localSheetId="2">紅綠燈!#REF!</definedName>
    <definedName name="外部資料_5945" localSheetId="2">紅綠燈!#REF!</definedName>
    <definedName name="外部資料_5947" localSheetId="2">紅綠燈!#REF!</definedName>
    <definedName name="外部資料_5948" localSheetId="2">紅綠燈!#REF!</definedName>
    <definedName name="外部資料_5949" localSheetId="2">紅綠燈!#REF!</definedName>
    <definedName name="外部資料_595" localSheetId="15">PKA!#REF!</definedName>
    <definedName name="外部資料_595" localSheetId="16">PKB!#REF!</definedName>
    <definedName name="外部資料_595" localSheetId="17">PKC!#REF!</definedName>
    <definedName name="外部資料_595" localSheetId="4">評比系統!$T$1:$T$3</definedName>
    <definedName name="外部資料_5951" localSheetId="2">紅綠燈!#REF!</definedName>
    <definedName name="外部資料_5952" localSheetId="2">紅綠燈!#REF!</definedName>
    <definedName name="外部資料_5953" localSheetId="2">紅綠燈!#REF!</definedName>
    <definedName name="外部資料_5955" localSheetId="2">紅綠燈!#REF!</definedName>
    <definedName name="外部資料_5956" localSheetId="2">紅綠燈!#REF!</definedName>
    <definedName name="外部資料_5957" localSheetId="2">紅綠燈!#REF!</definedName>
    <definedName name="外部資料_5959" localSheetId="2">紅綠燈!#REF!</definedName>
    <definedName name="外部資料_596" localSheetId="15">PKA!#REF!</definedName>
    <definedName name="外部資料_596" localSheetId="16">PKB!#REF!</definedName>
    <definedName name="外部資料_596" localSheetId="17">PKC!#REF!</definedName>
    <definedName name="外部資料_596" localSheetId="4">評比系統!$T$1:$T$3</definedName>
    <definedName name="外部資料_5960" localSheetId="2">紅綠燈!#REF!</definedName>
    <definedName name="外部資料_5961" localSheetId="2">紅綠燈!#REF!</definedName>
    <definedName name="外部資料_5963" localSheetId="2">紅綠燈!#REF!</definedName>
    <definedName name="外部資料_5964" localSheetId="2">紅綠燈!#REF!</definedName>
    <definedName name="外部資料_5965" localSheetId="2">紅綠燈!#REF!</definedName>
    <definedName name="外部資料_5967" localSheetId="2">紅綠燈!#REF!</definedName>
    <definedName name="外部資料_5968" localSheetId="2">紅綠燈!#REF!</definedName>
    <definedName name="外部資料_5969" localSheetId="2">紅綠燈!#REF!</definedName>
    <definedName name="外部資料_597" localSheetId="15">PKA!#REF!</definedName>
    <definedName name="外部資料_597" localSheetId="16">PKB!#REF!</definedName>
    <definedName name="外部資料_597" localSheetId="17">PKC!#REF!</definedName>
    <definedName name="外部資料_597" localSheetId="4">評比系統!$T$1:$T$3</definedName>
    <definedName name="外部資料_5971" localSheetId="2">紅綠燈!#REF!</definedName>
    <definedName name="外部資料_5972" localSheetId="2">紅綠燈!#REF!</definedName>
    <definedName name="外部資料_5973" localSheetId="2">紅綠燈!#REF!</definedName>
    <definedName name="外部資料_5975" localSheetId="2">紅綠燈!#REF!</definedName>
    <definedName name="外部資料_5976" localSheetId="2">紅綠燈!#REF!</definedName>
    <definedName name="外部資料_5977" localSheetId="2">紅綠燈!#REF!</definedName>
    <definedName name="外部資料_5979" localSheetId="2">紅綠燈!#REF!</definedName>
    <definedName name="外部資料_598" localSheetId="15">PKA!#REF!</definedName>
    <definedName name="外部資料_598" localSheetId="16">PKB!#REF!</definedName>
    <definedName name="外部資料_598" localSheetId="17">PKC!$A$1:$K$65</definedName>
    <definedName name="外部資料_598" localSheetId="4">評比系統!$T$1:$T$3</definedName>
    <definedName name="外部資料_5980" localSheetId="2">紅綠燈!#REF!</definedName>
    <definedName name="外部資料_5981" localSheetId="2">紅綠燈!#REF!</definedName>
    <definedName name="外部資料_5983" localSheetId="2">紅綠燈!#REF!</definedName>
    <definedName name="外部資料_5984" localSheetId="2">紅綠燈!#REF!</definedName>
    <definedName name="外部資料_5985" localSheetId="2">紅綠燈!#REF!</definedName>
    <definedName name="外部資料_5987" localSheetId="2">紅綠燈!#REF!</definedName>
    <definedName name="外部資料_5988" localSheetId="2">紅綠燈!#REF!</definedName>
    <definedName name="外部資料_5989" localSheetId="2">紅綠燈!#REF!</definedName>
    <definedName name="外部資料_599" localSheetId="15">PKA!#REF!</definedName>
    <definedName name="外部資料_599" localSheetId="16">PKB!#REF!</definedName>
    <definedName name="外部資料_599" localSheetId="17">PKC!$A$100:$K$160</definedName>
    <definedName name="外部資料_599" localSheetId="4">評比系統!$T$1:$T$3</definedName>
    <definedName name="外部資料_5991" localSheetId="2">紅綠燈!#REF!</definedName>
    <definedName name="外部資料_5992" localSheetId="2">紅綠燈!#REF!</definedName>
    <definedName name="外部資料_5993" localSheetId="2">紅綠燈!#REF!</definedName>
    <definedName name="外部資料_6" localSheetId="15">PKA!#REF!</definedName>
    <definedName name="外部資料_6" localSheetId="16">PKB!#REF!</definedName>
    <definedName name="外部資料_6" localSheetId="17">PKC!#REF!</definedName>
    <definedName name="外部資料_6" localSheetId="8">PSR!#REF!</definedName>
    <definedName name="外部資料_6" localSheetId="2">紅綠燈!#REF!</definedName>
    <definedName name="外部資料_6" localSheetId="4">評比系統!#REF!</definedName>
    <definedName name="外部資料_6" localSheetId="18">福邦!#REF!</definedName>
    <definedName name="外部資料_6" localSheetId="5">篩股系統!#REF!</definedName>
    <definedName name="外部資料_6" localSheetId="7">營收搶先報!#REF!</definedName>
    <definedName name="外部資料_60" localSheetId="15">PKA!#REF!</definedName>
    <definedName name="外部資料_60" localSheetId="16">PKB!#REF!</definedName>
    <definedName name="外部資料_60" localSheetId="17">PKC!#REF!</definedName>
    <definedName name="外部資料_60" localSheetId="8">PSR!#REF!</definedName>
    <definedName name="外部資料_60" localSheetId="4">評比系統!$T$1:$T$3</definedName>
    <definedName name="外部資料_60" localSheetId="18">福邦!#REF!</definedName>
    <definedName name="外部資料_60" localSheetId="7">營收搶先報!#REF!</definedName>
    <definedName name="外部資料_600" localSheetId="15">PKA!#REF!</definedName>
    <definedName name="外部資料_600" localSheetId="16">PKB!#REF!</definedName>
    <definedName name="外部資料_600" localSheetId="17">PKC!$A$200:$K$247</definedName>
    <definedName name="外部資料_600" localSheetId="4">評比系統!$T$1:$T$3</definedName>
    <definedName name="外部資料_601" localSheetId="15">PKA!#REF!</definedName>
    <definedName name="外部資料_601" localSheetId="16">PKB!#REF!</definedName>
    <definedName name="外部資料_601" localSheetId="4">評比系統!$T$1:$T$3</definedName>
    <definedName name="外部資料_602" localSheetId="15">PKA!#REF!</definedName>
    <definedName name="外部資料_602" localSheetId="16">PKB!#REF!</definedName>
    <definedName name="外部資料_602" localSheetId="4">評比系統!$T$1:$T$3</definedName>
    <definedName name="外部資料_603" localSheetId="15">PKA!#REF!</definedName>
    <definedName name="外部資料_603" localSheetId="16">PKB!#REF!</definedName>
    <definedName name="外部資料_603" localSheetId="4">評比系統!$T$1:$T$3</definedName>
    <definedName name="外部資料_604" localSheetId="15">PKA!#REF!</definedName>
    <definedName name="外部資料_604" localSheetId="16">PKB!#REF!</definedName>
    <definedName name="外部資料_604" localSheetId="4">評比系統!$T$1:$T$3</definedName>
    <definedName name="外部資料_605" localSheetId="15">PKA!#REF!</definedName>
    <definedName name="外部資料_605" localSheetId="16">PKB!#REF!</definedName>
    <definedName name="外部資料_605" localSheetId="4">評比系統!$T$1:$T$3</definedName>
    <definedName name="外部資料_606" localSheetId="15">PKA!#REF!</definedName>
    <definedName name="外部資料_606" localSheetId="16">PKB!#REF!</definedName>
    <definedName name="外部資料_606" localSheetId="4">評比系統!$T$1:$T$3</definedName>
    <definedName name="外部資料_607" localSheetId="15">PKA!#REF!</definedName>
    <definedName name="外部資料_607" localSheetId="16">PKB!#REF!</definedName>
    <definedName name="外部資料_607" localSheetId="4">評比系統!$T$1:$T$3</definedName>
    <definedName name="外部資料_608" localSheetId="15">PKA!#REF!</definedName>
    <definedName name="外部資料_608" localSheetId="16">PKB!#REF!</definedName>
    <definedName name="外部資料_608" localSheetId="4">評比系統!$T$1:$T$3</definedName>
    <definedName name="外部資料_609" localSheetId="15">PKA!#REF!</definedName>
    <definedName name="外部資料_609" localSheetId="16">PKB!#REF!</definedName>
    <definedName name="外部資料_609" localSheetId="4">評比系統!$T$1:$T$3</definedName>
    <definedName name="外部資料_61" localSheetId="15">PKA!#REF!</definedName>
    <definedName name="外部資料_61" localSheetId="16">PKB!#REF!</definedName>
    <definedName name="外部資料_61" localSheetId="17">PKC!#REF!</definedName>
    <definedName name="外部資料_61" localSheetId="8">PSR!#REF!</definedName>
    <definedName name="外部資料_61" localSheetId="4">評比系統!$T$1:$T$3</definedName>
    <definedName name="外部資料_61" localSheetId="18">福邦!#REF!</definedName>
    <definedName name="外部資料_61" localSheetId="7">營收搶先報!#REF!</definedName>
    <definedName name="外部資料_610" localSheetId="15">PKA!#REF!</definedName>
    <definedName name="外部資料_610" localSheetId="16">PKB!#REF!</definedName>
    <definedName name="外部資料_610" localSheetId="4">評比系統!$T$1:$T$3</definedName>
    <definedName name="外部資料_611" localSheetId="15">PKA!#REF!</definedName>
    <definedName name="外部資料_611" localSheetId="16">PKB!#REF!</definedName>
    <definedName name="外部資料_611" localSheetId="4">評比系統!$T$1:$T$3</definedName>
    <definedName name="外部資料_612" localSheetId="15">PKA!#REF!</definedName>
    <definedName name="外部資料_612" localSheetId="16">PKB!#REF!</definedName>
    <definedName name="外部資料_612" localSheetId="4">評比系統!$T$1:$T$3</definedName>
    <definedName name="外部資料_613" localSheetId="15">PKA!#REF!</definedName>
    <definedName name="外部資料_613" localSheetId="16">PKB!#REF!</definedName>
    <definedName name="外部資料_613" localSheetId="4">評比系統!$T$1:$T$3</definedName>
    <definedName name="外部資料_614" localSheetId="15">PKA!#REF!</definedName>
    <definedName name="外部資料_614" localSheetId="16">PKB!#REF!</definedName>
    <definedName name="外部資料_614" localSheetId="4">評比系統!$T$1:$T$3</definedName>
    <definedName name="外部資料_615" localSheetId="15">PKA!#REF!</definedName>
    <definedName name="外部資料_615" localSheetId="16">PKB!#REF!</definedName>
    <definedName name="外部資料_615" localSheetId="4">評比系統!$T$1:$T$3</definedName>
    <definedName name="外部資料_616" localSheetId="15">PKA!#REF!</definedName>
    <definedName name="外部資料_616" localSheetId="16">PKB!#REF!</definedName>
    <definedName name="外部資料_616" localSheetId="4">評比系統!$T$1:$T$3</definedName>
    <definedName name="外部資料_617" localSheetId="15">PKA!#REF!</definedName>
    <definedName name="外部資料_617" localSheetId="16">PKB!#REF!</definedName>
    <definedName name="外部資料_617" localSheetId="4">評比系統!$T$1:$T$3</definedName>
    <definedName name="外部資料_618" localSheetId="15">PKA!#REF!</definedName>
    <definedName name="外部資料_618" localSheetId="16">PKB!#REF!</definedName>
    <definedName name="外部資料_618" localSheetId="4">評比系統!$T$1:$T$3</definedName>
    <definedName name="外部資料_619" localSheetId="15">PKA!#REF!</definedName>
    <definedName name="外部資料_619" localSheetId="16">PKB!#REF!</definedName>
    <definedName name="外部資料_619" localSheetId="4">評比系統!$T$1:$T$3</definedName>
    <definedName name="外部資料_62" localSheetId="15">PKA!#REF!</definedName>
    <definedName name="外部資料_62" localSheetId="16">PKB!#REF!</definedName>
    <definedName name="外部資料_62" localSheetId="17">PKC!#REF!</definedName>
    <definedName name="外部資料_62" localSheetId="8">PSR!#REF!</definedName>
    <definedName name="外部資料_62" localSheetId="4">評比系統!$T$1:$T$3</definedName>
    <definedName name="外部資料_62" localSheetId="18">福邦!#REF!</definedName>
    <definedName name="外部資料_62" localSheetId="7">營收搶先報!#REF!</definedName>
    <definedName name="外部資料_620" localSheetId="15">PKA!#REF!</definedName>
    <definedName name="外部資料_620" localSheetId="16">PKB!#REF!</definedName>
    <definedName name="外部資料_620" localSheetId="4">評比系統!$T$1:$T$3</definedName>
    <definedName name="外部資料_621" localSheetId="15">PKA!#REF!</definedName>
    <definedName name="外部資料_621" localSheetId="16">PKB!#REF!</definedName>
    <definedName name="外部資料_621" localSheetId="4">評比系統!$T$1:$T$3</definedName>
    <definedName name="外部資料_622" localSheetId="15">PKA!#REF!</definedName>
    <definedName name="外部資料_622" localSheetId="16">PKB!#REF!</definedName>
    <definedName name="外部資料_622" localSheetId="4">評比系統!$T$1:$T$3</definedName>
    <definedName name="外部資料_623" localSheetId="15">PKA!#REF!</definedName>
    <definedName name="外部資料_623" localSheetId="16">PKB!#REF!</definedName>
    <definedName name="外部資料_623" localSheetId="4">評比系統!$T$1:$T$3</definedName>
    <definedName name="外部資料_624" localSheetId="15">PKA!#REF!</definedName>
    <definedName name="外部資料_624" localSheetId="16">PKB!#REF!</definedName>
    <definedName name="外部資料_624" localSheetId="4">評比系統!$T$1:$T$3</definedName>
    <definedName name="外部資料_625" localSheetId="15">PKA!#REF!</definedName>
    <definedName name="外部資料_625" localSheetId="16">PKB!#REF!</definedName>
    <definedName name="外部資料_625" localSheetId="4">評比系統!$T$1:$T$3</definedName>
    <definedName name="外部資料_626" localSheetId="15">PKA!#REF!</definedName>
    <definedName name="外部資料_626" localSheetId="16">PKB!#REF!</definedName>
    <definedName name="外部資料_626" localSheetId="4">評比系統!$T$1:$T$3</definedName>
    <definedName name="外部資料_627" localSheetId="15">PKA!#REF!</definedName>
    <definedName name="外部資料_627" localSheetId="16">PKB!#REF!</definedName>
    <definedName name="外部資料_627" localSheetId="4">評比系統!$T$1:$T$3</definedName>
    <definedName name="外部資料_628" localSheetId="15">PKA!#REF!</definedName>
    <definedName name="外部資料_628" localSheetId="16">PKB!#REF!</definedName>
    <definedName name="外部資料_628" localSheetId="4">評比系統!$T$1:$T$3</definedName>
    <definedName name="外部資料_629" localSheetId="15">PKA!#REF!</definedName>
    <definedName name="外部資料_629" localSheetId="16">PKB!#REF!</definedName>
    <definedName name="外部資料_629" localSheetId="4">評比系統!$T$1:$T$3</definedName>
    <definedName name="外部資料_63" localSheetId="15">PKA!#REF!</definedName>
    <definedName name="外部資料_63" localSheetId="16">PKB!#REF!</definedName>
    <definedName name="外部資料_63" localSheetId="17">PKC!#REF!</definedName>
    <definedName name="外部資料_63" localSheetId="8">PSR!#REF!</definedName>
    <definedName name="外部資料_63" localSheetId="4">評比系統!$T$1:$T$3</definedName>
    <definedName name="外部資料_63" localSheetId="18">福邦!#REF!</definedName>
    <definedName name="外部資料_63" localSheetId="7">營收搶先報!#REF!</definedName>
    <definedName name="外部資料_630" localSheetId="15">PKA!#REF!</definedName>
    <definedName name="外部資料_630" localSheetId="16">PKB!#REF!</definedName>
    <definedName name="外部資料_630" localSheetId="4">評比系統!$T$1:$T$3</definedName>
    <definedName name="外部資料_631" localSheetId="15">PKA!#REF!</definedName>
    <definedName name="外部資料_631" localSheetId="16">PKB!#REF!</definedName>
    <definedName name="外部資料_631" localSheetId="4">評比系統!$T$1:$T$3</definedName>
    <definedName name="外部資料_632" localSheetId="15">PKA!#REF!</definedName>
    <definedName name="外部資料_632" localSheetId="16">PKB!#REF!</definedName>
    <definedName name="外部資料_632" localSheetId="4">評比系統!$T$1:$T$3</definedName>
    <definedName name="外部資料_633" localSheetId="15">PKA!#REF!</definedName>
    <definedName name="外部資料_633" localSheetId="16">PKB!#REF!</definedName>
    <definedName name="外部資料_633" localSheetId="4">評比系統!$T$1:$T$3</definedName>
    <definedName name="外部資料_634" localSheetId="15">PKA!#REF!</definedName>
    <definedName name="外部資料_634" localSheetId="16">PKB!#REF!</definedName>
    <definedName name="外部資料_634" localSheetId="4">評比系統!$T$1:$T$3</definedName>
    <definedName name="外部資料_635" localSheetId="15">PKA!#REF!</definedName>
    <definedName name="外部資料_635" localSheetId="16">PKB!#REF!</definedName>
    <definedName name="外部資料_635" localSheetId="4">評比系統!$T$1:$T$3</definedName>
    <definedName name="外部資料_636" localSheetId="15">PKA!#REF!</definedName>
    <definedName name="外部資料_636" localSheetId="16">PKB!#REF!</definedName>
    <definedName name="外部資料_636" localSheetId="4">評比系統!$T$1:$T$3</definedName>
    <definedName name="外部資料_637" localSheetId="15">PKA!#REF!</definedName>
    <definedName name="外部資料_637" localSheetId="16">PKB!#REF!</definedName>
    <definedName name="外部資料_637" localSheetId="4">評比系統!$T$1:$T$3</definedName>
    <definedName name="外部資料_638" localSheetId="15">PKA!#REF!</definedName>
    <definedName name="外部資料_638" localSheetId="16">PKB!#REF!</definedName>
    <definedName name="外部資料_638" localSheetId="4">評比系統!$T$1:$T$3</definedName>
    <definedName name="外部資料_639" localSheetId="15">PKA!#REF!</definedName>
    <definedName name="外部資料_639" localSheetId="16">PKB!#REF!</definedName>
    <definedName name="外部資料_639" localSheetId="4">評比系統!$T$1:$T$3</definedName>
    <definedName name="外部資料_64" localSheetId="15">PKA!#REF!</definedName>
    <definedName name="外部資料_64" localSheetId="16">PKB!#REF!</definedName>
    <definedName name="外部資料_64" localSheetId="17">PKC!#REF!</definedName>
    <definedName name="外部資料_64" localSheetId="8">PSR!#REF!</definedName>
    <definedName name="外部資料_64" localSheetId="4">評比系統!$T$1:$T$3</definedName>
    <definedName name="外部資料_64" localSheetId="18">福邦!#REF!</definedName>
    <definedName name="外部資料_64" localSheetId="7">營收搶先報!#REF!</definedName>
    <definedName name="外部資料_640" localSheetId="15">PKA!#REF!</definedName>
    <definedName name="外部資料_640" localSheetId="16">PKB!#REF!</definedName>
    <definedName name="外部資料_640" localSheetId="4">評比系統!$T$1:$T$3</definedName>
    <definedName name="外部資料_641" localSheetId="15">PKA!#REF!</definedName>
    <definedName name="外部資料_641" localSheetId="16">PKB!#REF!</definedName>
    <definedName name="外部資料_641" localSheetId="4">評比系統!$T$1:$T$3</definedName>
    <definedName name="外部資料_642" localSheetId="15">PKA!#REF!</definedName>
    <definedName name="外部資料_642" localSheetId="16">PKB!#REF!</definedName>
    <definedName name="外部資料_642" localSheetId="4">評比系統!$T$1:$T$3</definedName>
    <definedName name="外部資料_643" localSheetId="15">PKA!#REF!</definedName>
    <definedName name="外部資料_643" localSheetId="16">PKB!#REF!</definedName>
    <definedName name="外部資料_643" localSheetId="4">評比系統!$T$1:$T$3</definedName>
    <definedName name="外部資料_644" localSheetId="15">PKA!#REF!</definedName>
    <definedName name="外部資料_644" localSheetId="16">PKB!#REF!</definedName>
    <definedName name="外部資料_644" localSheetId="4">評比系統!$T$1:$T$3</definedName>
    <definedName name="外部資料_645" localSheetId="15">PKA!#REF!</definedName>
    <definedName name="外部資料_645" localSheetId="16">PKB!#REF!</definedName>
    <definedName name="外部資料_645" localSheetId="4">評比系統!$T$1:$T$3</definedName>
    <definedName name="外部資料_646" localSheetId="15">PKA!#REF!</definedName>
    <definedName name="外部資料_646" localSheetId="16">PKB!#REF!</definedName>
    <definedName name="外部資料_646" localSheetId="4">評比系統!$T$1:$T$3</definedName>
    <definedName name="外部資料_647" localSheetId="15">PKA!#REF!</definedName>
    <definedName name="外部資料_647" localSheetId="16">PKB!#REF!</definedName>
    <definedName name="外部資料_647" localSheetId="4">評比系統!$T$1:$T$3</definedName>
    <definedName name="外部資料_648" localSheetId="15">PKA!#REF!</definedName>
    <definedName name="外部資料_648" localSheetId="16">PKB!#REF!</definedName>
    <definedName name="外部資料_648" localSheetId="4">評比系統!$T$1:$T$3</definedName>
    <definedName name="外部資料_649" localSheetId="15">PKA!#REF!</definedName>
    <definedName name="外部資料_649" localSheetId="16">PKB!#REF!</definedName>
    <definedName name="外部資料_649" localSheetId="4">評比系統!$T$1:$T$3</definedName>
    <definedName name="外部資料_65" localSheetId="15">PKA!#REF!</definedName>
    <definedName name="外部資料_65" localSheetId="16">PKB!#REF!</definedName>
    <definedName name="外部資料_65" localSheetId="17">PKC!#REF!</definedName>
    <definedName name="外部資料_65" localSheetId="8">PSR!#REF!</definedName>
    <definedName name="外部資料_65" localSheetId="4">評比系統!$T$1:$T$3</definedName>
    <definedName name="外部資料_65" localSheetId="18">福邦!#REF!</definedName>
    <definedName name="外部資料_65" localSheetId="7">營收搶先報!#REF!</definedName>
    <definedName name="外部資料_650" localSheetId="15">PKA!#REF!</definedName>
    <definedName name="外部資料_650" localSheetId="16">PKB!#REF!</definedName>
    <definedName name="外部資料_650" localSheetId="4">評比系統!$T$1:$T$3</definedName>
    <definedName name="外部資料_651" localSheetId="15">PKA!#REF!</definedName>
    <definedName name="外部資料_651" localSheetId="16">PKB!#REF!</definedName>
    <definedName name="外部資料_651" localSheetId="4">評比系統!$T$1:$T$3</definedName>
    <definedName name="外部資料_652" localSheetId="15">PKA!#REF!</definedName>
    <definedName name="外部資料_652" localSheetId="16">PKB!#REF!</definedName>
    <definedName name="外部資料_652" localSheetId="4">評比系統!$T$1:$T$3</definedName>
    <definedName name="外部資料_653" localSheetId="15">PKA!#REF!</definedName>
    <definedName name="外部資料_653" localSheetId="16">PKB!#REF!</definedName>
    <definedName name="外部資料_653" localSheetId="4">評比系統!$T$1:$T$3</definedName>
    <definedName name="外部資料_654" localSheetId="15">PKA!#REF!</definedName>
    <definedName name="外部資料_654" localSheetId="16">PKB!#REF!</definedName>
    <definedName name="外部資料_654" localSheetId="4">評比系統!$T$1:$T$3</definedName>
    <definedName name="外部資料_655" localSheetId="15">PKA!#REF!</definedName>
    <definedName name="外部資料_655" localSheetId="16">PKB!#REF!</definedName>
    <definedName name="外部資料_655" localSheetId="4">評比系統!$T$1:$T$3</definedName>
    <definedName name="外部資料_656" localSheetId="15">PKA!#REF!</definedName>
    <definedName name="外部資料_656" localSheetId="16">PKB!#REF!</definedName>
    <definedName name="外部資料_656" localSheetId="4">評比系統!$T$1:$T$3</definedName>
    <definedName name="外部資料_657" localSheetId="15">PKA!#REF!</definedName>
    <definedName name="外部資料_657" localSheetId="16">PKB!#REF!</definedName>
    <definedName name="外部資料_657" localSheetId="4">評比系統!$T$1:$T$3</definedName>
    <definedName name="外部資料_658" localSheetId="15">PKA!#REF!</definedName>
    <definedName name="外部資料_658" localSheetId="16">PKB!#REF!</definedName>
    <definedName name="外部資料_658" localSheetId="4">評比系統!$T$1:$T$3</definedName>
    <definedName name="外部資料_659" localSheetId="15">PKA!#REF!</definedName>
    <definedName name="外部資料_659" localSheetId="16">PKB!#REF!</definedName>
    <definedName name="外部資料_659" localSheetId="4">評比系統!$T$1:$T$3</definedName>
    <definedName name="外部資料_66" localSheetId="15">PKA!#REF!</definedName>
    <definedName name="外部資料_66" localSheetId="16">PKB!#REF!</definedName>
    <definedName name="外部資料_66" localSheetId="17">PKC!#REF!</definedName>
    <definedName name="外部資料_66" localSheetId="8">PSR!#REF!</definedName>
    <definedName name="外部資料_66" localSheetId="4">評比系統!$T$1:$T$3</definedName>
    <definedName name="外部資料_66" localSheetId="18">福邦!#REF!</definedName>
    <definedName name="外部資料_66" localSheetId="7">營收搶先報!#REF!</definedName>
    <definedName name="外部資料_660" localSheetId="15">PKA!#REF!</definedName>
    <definedName name="外部資料_660" localSheetId="16">PKB!#REF!</definedName>
    <definedName name="外部資料_660" localSheetId="4">評比系統!$T$1:$T$3</definedName>
    <definedName name="外部資料_661" localSheetId="15">PKA!#REF!</definedName>
    <definedName name="外部資料_661" localSheetId="16">PKB!#REF!</definedName>
    <definedName name="外部資料_661" localSheetId="4">評比系統!$T$1:$T$3</definedName>
    <definedName name="外部資料_662" localSheetId="15">PKA!#REF!</definedName>
    <definedName name="外部資料_662" localSheetId="16">PKB!#REF!</definedName>
    <definedName name="外部資料_662" localSheetId="4">評比系統!$T$1:$T$3</definedName>
    <definedName name="外部資料_663" localSheetId="15">PKA!#REF!</definedName>
    <definedName name="外部資料_663" localSheetId="16">PKB!#REF!</definedName>
    <definedName name="外部資料_663" localSheetId="4">評比系統!$T$1:$T$3</definedName>
    <definedName name="外部資料_664" localSheetId="15">PKA!#REF!</definedName>
    <definedName name="外部資料_664" localSheetId="16">PKB!#REF!</definedName>
    <definedName name="外部資料_664" localSheetId="4">評比系統!$T$1:$T$3</definedName>
    <definedName name="外部資料_665" localSheetId="15">PKA!#REF!</definedName>
    <definedName name="外部資料_665" localSheetId="16">PKB!#REF!</definedName>
    <definedName name="外部資料_665" localSheetId="4">評比系統!$T$1:$T$3</definedName>
    <definedName name="外部資料_666" localSheetId="15">PKA!#REF!</definedName>
    <definedName name="外部資料_666" localSheetId="16">PKB!#REF!</definedName>
    <definedName name="外部資料_666" localSheetId="4">評比系統!$T$1:$T$3</definedName>
    <definedName name="外部資料_667" localSheetId="15">PKA!#REF!</definedName>
    <definedName name="外部資料_667" localSheetId="16">PKB!#REF!</definedName>
    <definedName name="外部資料_667" localSheetId="4">評比系統!$T$1:$T$3</definedName>
    <definedName name="外部資料_668" localSheetId="15">PKA!#REF!</definedName>
    <definedName name="外部資料_668" localSheetId="16">PKB!#REF!</definedName>
    <definedName name="外部資料_668" localSheetId="4">評比系統!$T$1:$T$3</definedName>
    <definedName name="外部資料_669" localSheetId="15">PKA!#REF!</definedName>
    <definedName name="外部資料_669" localSheetId="16">PKB!#REF!</definedName>
    <definedName name="外部資料_669" localSheetId="4">評比系統!$T$1:$T$3</definedName>
    <definedName name="外部資料_67" localSheetId="15">PKA!#REF!</definedName>
    <definedName name="外部資料_67" localSheetId="16">PKB!#REF!</definedName>
    <definedName name="外部資料_67" localSheetId="17">PKC!#REF!</definedName>
    <definedName name="外部資料_67" localSheetId="8">PSR!#REF!</definedName>
    <definedName name="外部資料_67" localSheetId="4">評比系統!$T$1:$T$3</definedName>
    <definedName name="外部資料_67" localSheetId="18">福邦!#REF!</definedName>
    <definedName name="外部資料_67" localSheetId="7">營收搶先報!#REF!</definedName>
    <definedName name="外部資料_670" localSheetId="15">PKA!#REF!</definedName>
    <definedName name="外部資料_670" localSheetId="16">PKB!#REF!</definedName>
    <definedName name="外部資料_670" localSheetId="4">評比系統!$T$1:$T$3</definedName>
    <definedName name="外部資料_671" localSheetId="15">PKA!#REF!</definedName>
    <definedName name="外部資料_671" localSheetId="16">PKB!#REF!</definedName>
    <definedName name="外部資料_671" localSheetId="4">評比系統!$T$1:$T$3</definedName>
    <definedName name="外部資料_671" localSheetId="5">篩股系統!$C$2</definedName>
    <definedName name="外部資料_672" localSheetId="15">PKA!#REF!</definedName>
    <definedName name="外部資料_672" localSheetId="16">PKB!#REF!</definedName>
    <definedName name="外部資料_672" localSheetId="4">評比系統!$T$1:$T$3</definedName>
    <definedName name="外部資料_673" localSheetId="15">PKA!#REF!</definedName>
    <definedName name="外部資料_673" localSheetId="16">PKB!#REF!</definedName>
    <definedName name="外部資料_673" localSheetId="4">評比系統!$T$1:$T$3</definedName>
    <definedName name="外部資料_674" localSheetId="15">PKA!#REF!</definedName>
    <definedName name="外部資料_674" localSheetId="16">PKB!#REF!</definedName>
    <definedName name="外部資料_674" localSheetId="4">評比系統!$T$1:$T$3</definedName>
    <definedName name="外部資料_675" localSheetId="15">PKA!#REF!</definedName>
    <definedName name="外部資料_675" localSheetId="16">PKB!#REF!</definedName>
    <definedName name="外部資料_675" localSheetId="4">評比系統!$T$1:$T$3</definedName>
    <definedName name="外部資料_676" localSheetId="15">PKA!#REF!</definedName>
    <definedName name="外部資料_676" localSheetId="16">PKB!#REF!</definedName>
    <definedName name="外部資料_676" localSheetId="4">評比系統!$T$1:$T$3</definedName>
    <definedName name="外部資料_677" localSheetId="15">PKA!#REF!</definedName>
    <definedName name="外部資料_677" localSheetId="16">PKB!#REF!</definedName>
    <definedName name="外部資料_677" localSheetId="4">評比系統!$T$1:$T$3</definedName>
    <definedName name="外部資料_678" localSheetId="15">PKA!#REF!</definedName>
    <definedName name="外部資料_678" localSheetId="16">PKB!#REF!</definedName>
    <definedName name="外部資料_678" localSheetId="4">評比系統!$T$1:$T$3</definedName>
    <definedName name="外部資料_679" localSheetId="15">PKA!#REF!</definedName>
    <definedName name="外部資料_679" localSheetId="16">PKB!#REF!</definedName>
    <definedName name="外部資料_679" localSheetId="4">評比系統!$T$1:$T$3</definedName>
    <definedName name="外部資料_68" localSheetId="15">PKA!#REF!</definedName>
    <definedName name="外部資料_68" localSheetId="16">PKB!#REF!</definedName>
    <definedName name="外部資料_68" localSheetId="17">PKC!#REF!</definedName>
    <definedName name="外部資料_68" localSheetId="8">PSR!#REF!</definedName>
    <definedName name="外部資料_68" localSheetId="4">評比系統!$T$1:$T$3</definedName>
    <definedName name="外部資料_68" localSheetId="18">福邦!#REF!</definedName>
    <definedName name="外部資料_68" localSheetId="7">營收搶先報!#REF!</definedName>
    <definedName name="外部資料_680" localSheetId="15">PKA!#REF!</definedName>
    <definedName name="外部資料_680" localSheetId="16">PKB!#REF!</definedName>
    <definedName name="外部資料_680" localSheetId="4">評比系統!$T$1:$T$3</definedName>
    <definedName name="外部資料_681" localSheetId="15">PKA!#REF!</definedName>
    <definedName name="外部資料_681" localSheetId="16">PKB!#REF!</definedName>
    <definedName name="外部資料_681" localSheetId="4">評比系統!$T$1:$T$3</definedName>
    <definedName name="外部資料_682" localSheetId="15">PKA!#REF!</definedName>
    <definedName name="外部資料_682" localSheetId="16">PKB!#REF!</definedName>
    <definedName name="外部資料_682" localSheetId="4">評比系統!$T$1:$T$3</definedName>
    <definedName name="外部資料_683" localSheetId="15">PKA!#REF!</definedName>
    <definedName name="外部資料_683" localSheetId="16">PKB!#REF!</definedName>
    <definedName name="外部資料_683" localSheetId="4">評比系統!$T$1:$T$3</definedName>
    <definedName name="外部資料_684" localSheetId="15">PKA!#REF!</definedName>
    <definedName name="外部資料_684" localSheetId="16">PKB!#REF!</definedName>
    <definedName name="外部資料_684" localSheetId="4">評比系統!$T$1:$T$3</definedName>
    <definedName name="外部資料_685" localSheetId="15">PKA!#REF!</definedName>
    <definedName name="外部資料_685" localSheetId="16">PKB!#REF!</definedName>
    <definedName name="外部資料_685" localSheetId="4">評比系統!$T$1:$T$3</definedName>
    <definedName name="外部資料_686" localSheetId="15">PKA!#REF!</definedName>
    <definedName name="外部資料_686" localSheetId="16">PKB!#REF!</definedName>
    <definedName name="外部資料_686" localSheetId="4">評比系統!$T$1:$T$3</definedName>
    <definedName name="外部資料_687" localSheetId="15">PKA!#REF!</definedName>
    <definedName name="外部資料_687" localSheetId="16">PKB!#REF!</definedName>
    <definedName name="外部資料_687" localSheetId="4">評比系統!$T$1:$T$3</definedName>
    <definedName name="外部資料_688" localSheetId="15">PKA!#REF!</definedName>
    <definedName name="外部資料_688" localSheetId="16">PKB!#REF!</definedName>
    <definedName name="外部資料_688" localSheetId="4">評比系統!$T$1:$T$3</definedName>
    <definedName name="外部資料_689" localSheetId="15">PKA!#REF!</definedName>
    <definedName name="外部資料_689" localSheetId="16">PKB!#REF!</definedName>
    <definedName name="外部資料_689" localSheetId="4">評比系統!$T$1:$T$3</definedName>
    <definedName name="外部資料_69" localSheetId="15">PKA!#REF!</definedName>
    <definedName name="外部資料_69" localSheetId="16">PKB!#REF!</definedName>
    <definedName name="外部資料_69" localSheetId="17">PKC!#REF!</definedName>
    <definedName name="外部資料_69" localSheetId="8">PSR!#REF!</definedName>
    <definedName name="外部資料_69" localSheetId="4">評比系統!$T$1:$T$3</definedName>
    <definedName name="外部資料_69" localSheetId="18">福邦!#REF!</definedName>
    <definedName name="外部資料_69" localSheetId="7">營收搶先報!#REF!</definedName>
    <definedName name="外部資料_690" localSheetId="15">PKA!#REF!</definedName>
    <definedName name="外部資料_690" localSheetId="16">PKB!#REF!</definedName>
    <definedName name="外部資料_690" localSheetId="4">評比系統!$T$1:$T$3</definedName>
    <definedName name="外部資料_691" localSheetId="15">PKA!#REF!</definedName>
    <definedName name="外部資料_691" localSheetId="16">PKB!#REF!</definedName>
    <definedName name="外部資料_691" localSheetId="4">評比系統!$T$1:$T$3</definedName>
    <definedName name="外部資料_692" localSheetId="15">PKA!#REF!</definedName>
    <definedName name="外部資料_692" localSheetId="16">PKB!#REF!</definedName>
    <definedName name="外部資料_692" localSheetId="4">評比系統!$T$1:$T$3</definedName>
    <definedName name="外部資料_693" localSheetId="15">PKA!#REF!</definedName>
    <definedName name="外部資料_693" localSheetId="16">PKB!#REF!</definedName>
    <definedName name="外部資料_693" localSheetId="4">評比系統!$T$1:$T$3</definedName>
    <definedName name="外部資料_694" localSheetId="15">PKA!#REF!</definedName>
    <definedName name="外部資料_694" localSheetId="16">PKB!#REF!</definedName>
    <definedName name="外部資料_694" localSheetId="4">評比系統!$T$1:$T$3</definedName>
    <definedName name="外部資料_695" localSheetId="15">PKA!#REF!</definedName>
    <definedName name="外部資料_695" localSheetId="16">PKB!#REF!</definedName>
    <definedName name="外部資料_695" localSheetId="4">評比系統!$T$1:$T$3</definedName>
    <definedName name="外部資料_696" localSheetId="15">PKA!#REF!</definedName>
    <definedName name="外部資料_696" localSheetId="16">PKB!#REF!</definedName>
    <definedName name="外部資料_696" localSheetId="4">評比系統!$T$1:$T$3</definedName>
    <definedName name="外部資料_697" localSheetId="15">PKA!#REF!</definedName>
    <definedName name="外部資料_697" localSheetId="16">PKB!#REF!</definedName>
    <definedName name="外部資料_697" localSheetId="4">評比系統!$T$1:$T$3</definedName>
    <definedName name="外部資料_698" localSheetId="15">PKA!#REF!</definedName>
    <definedName name="外部資料_698" localSheetId="16">PKB!#REF!</definedName>
    <definedName name="外部資料_698" localSheetId="4">評比系統!$T$1:$T$3</definedName>
    <definedName name="外部資料_699" localSheetId="15">PKA!#REF!</definedName>
    <definedName name="外部資料_699" localSheetId="16">PKB!#REF!</definedName>
    <definedName name="外部資料_699" localSheetId="4">評比系統!$T$1:$T$3</definedName>
    <definedName name="外部資料_7" localSheetId="15">PKA!#REF!</definedName>
    <definedName name="外部資料_7" localSheetId="16">PKB!#REF!</definedName>
    <definedName name="外部資料_7" localSheetId="17">PKC!#REF!</definedName>
    <definedName name="外部資料_7" localSheetId="8">PSR!#REF!</definedName>
    <definedName name="外部資料_7" localSheetId="2">紅綠燈!#REF!</definedName>
    <definedName name="外部資料_7" localSheetId="4">評比系統!#REF!</definedName>
    <definedName name="外部資料_7" localSheetId="18">福邦!#REF!</definedName>
    <definedName name="外部資料_7" localSheetId="5">篩股系統!#REF!</definedName>
    <definedName name="外部資料_7" localSheetId="7">營收搶先報!#REF!</definedName>
    <definedName name="外部資料_70" localSheetId="15">PKA!#REF!</definedName>
    <definedName name="外部資料_70" localSheetId="16">PKB!#REF!</definedName>
    <definedName name="外部資料_70" localSheetId="17">PKC!#REF!</definedName>
    <definedName name="外部資料_70" localSheetId="8">PSR!#REF!</definedName>
    <definedName name="外部資料_70" localSheetId="4">評比系統!$T$1:$T$3</definedName>
    <definedName name="外部資料_70" localSheetId="18">福邦!#REF!</definedName>
    <definedName name="外部資料_70" localSheetId="7">營收搶先報!#REF!</definedName>
    <definedName name="外部資料_700" localSheetId="15">PKA!#REF!</definedName>
    <definedName name="外部資料_700" localSheetId="16">PKB!#REF!</definedName>
    <definedName name="外部資料_700" localSheetId="4">評比系統!$T$1:$T$3</definedName>
    <definedName name="外部資料_701" localSheetId="15">PKA!#REF!</definedName>
    <definedName name="外部資料_701" localSheetId="16">PKB!#REF!</definedName>
    <definedName name="外部資料_701" localSheetId="4">評比系統!$T$1:$T$3</definedName>
    <definedName name="外部資料_702" localSheetId="15">PKA!#REF!</definedName>
    <definedName name="外部資料_702" localSheetId="16">PKB!#REF!</definedName>
    <definedName name="外部資料_702" localSheetId="4">評比系統!$T$1:$T$3</definedName>
    <definedName name="外部資料_703" localSheetId="15">PKA!#REF!</definedName>
    <definedName name="外部資料_703" localSheetId="16">PKB!#REF!</definedName>
    <definedName name="外部資料_703" localSheetId="4">評比系統!$T$1:$T$3</definedName>
    <definedName name="外部資料_704" localSheetId="15">PKA!#REF!</definedName>
    <definedName name="外部資料_704" localSheetId="16">PKB!#REF!</definedName>
    <definedName name="外部資料_704" localSheetId="4">評比系統!$T$1:$T$3</definedName>
    <definedName name="外部資料_705" localSheetId="15">PKA!#REF!</definedName>
    <definedName name="外部資料_705" localSheetId="16">PKB!#REF!</definedName>
    <definedName name="外部資料_705" localSheetId="4">評比系統!$T$1:$T$3</definedName>
    <definedName name="外部資料_706" localSheetId="15">PKA!#REF!</definedName>
    <definedName name="外部資料_706" localSheetId="16">PKB!#REF!</definedName>
    <definedName name="外部資料_706" localSheetId="4">評比系統!$T$1:$T$3</definedName>
    <definedName name="外部資料_707" localSheetId="15">PKA!#REF!</definedName>
    <definedName name="外部資料_707" localSheetId="16">PKB!#REF!</definedName>
    <definedName name="外部資料_707" localSheetId="4">評比系統!$T$1:$T$3</definedName>
    <definedName name="外部資料_708" localSheetId="15">PKA!#REF!</definedName>
    <definedName name="外部資料_708" localSheetId="16">PKB!#REF!</definedName>
    <definedName name="外部資料_708" localSheetId="4">評比系統!$T$1:$T$3</definedName>
    <definedName name="外部資料_709" localSheetId="15">PKA!#REF!</definedName>
    <definedName name="外部資料_709" localSheetId="16">PKB!#REF!</definedName>
    <definedName name="外部資料_709" localSheetId="4">評比系統!$T$1:$T$3</definedName>
    <definedName name="外部資料_71" localSheetId="15">PKA!#REF!</definedName>
    <definedName name="外部資料_71" localSheetId="16">PKB!#REF!</definedName>
    <definedName name="外部資料_71" localSheetId="17">PKC!#REF!</definedName>
    <definedName name="外部資料_71" localSheetId="8">PSR!#REF!</definedName>
    <definedName name="外部資料_71" localSheetId="4">評比系統!$T$1:$T$3</definedName>
    <definedName name="外部資料_71" localSheetId="18">福邦!#REF!</definedName>
    <definedName name="外部資料_71" localSheetId="7">營收搶先報!#REF!</definedName>
    <definedName name="外部資料_710" localSheetId="15">PKA!#REF!</definedName>
    <definedName name="外部資料_710" localSheetId="16">PKB!#REF!</definedName>
    <definedName name="外部資料_710" localSheetId="4">評比系統!$T$1:$T$3</definedName>
    <definedName name="外部資料_711" localSheetId="15">PKA!#REF!</definedName>
    <definedName name="外部資料_711" localSheetId="16">PKB!#REF!</definedName>
    <definedName name="外部資料_711" localSheetId="4">評比系統!$T$1:$T$3</definedName>
    <definedName name="外部資料_712" localSheetId="15">PKA!#REF!</definedName>
    <definedName name="外部資料_712" localSheetId="16">PKB!#REF!</definedName>
    <definedName name="外部資料_712" localSheetId="4">評比系統!$T$1:$T$3</definedName>
    <definedName name="外部資料_713" localSheetId="15">PKA!#REF!</definedName>
    <definedName name="外部資料_713" localSheetId="16">PKB!#REF!</definedName>
    <definedName name="外部資料_713" localSheetId="4">評比系統!$T$1:$T$3</definedName>
    <definedName name="外部資料_714" localSheetId="15">PKA!#REF!</definedName>
    <definedName name="外部資料_714" localSheetId="16">PKB!#REF!</definedName>
    <definedName name="外部資料_714" localSheetId="4">評比系統!$T$1:$T$3</definedName>
    <definedName name="外部資料_715" localSheetId="15">PKA!#REF!</definedName>
    <definedName name="外部資料_715" localSheetId="16">PKB!#REF!</definedName>
    <definedName name="外部資料_715" localSheetId="4">評比系統!$T$1:$T$3</definedName>
    <definedName name="外部資料_716" localSheetId="15">PKA!#REF!</definedName>
    <definedName name="外部資料_716" localSheetId="16">PKB!#REF!</definedName>
    <definedName name="外部資料_716" localSheetId="4">評比系統!$T$1:$T$3</definedName>
    <definedName name="外部資料_717" localSheetId="15">PKA!#REF!</definedName>
    <definedName name="外部資料_717" localSheetId="16">PKB!#REF!</definedName>
    <definedName name="外部資料_717" localSheetId="4">評比系統!$T$1:$T$3</definedName>
    <definedName name="外部資料_718" localSheetId="15">PKA!#REF!</definedName>
    <definedName name="外部資料_718" localSheetId="16">PKB!#REF!</definedName>
    <definedName name="外部資料_718" localSheetId="4">評比系統!$T$1:$T$3</definedName>
    <definedName name="外部資料_719" localSheetId="15">PKA!#REF!</definedName>
    <definedName name="外部資料_719" localSheetId="16">PKB!#REF!</definedName>
    <definedName name="外部資料_719" localSheetId="4">評比系統!$T$1:$T$3</definedName>
    <definedName name="外部資料_72" localSheetId="15">PKA!#REF!</definedName>
    <definedName name="外部資料_72" localSheetId="16">PKB!#REF!</definedName>
    <definedName name="外部資料_72" localSheetId="17">PKC!#REF!</definedName>
    <definedName name="外部資料_72" localSheetId="8">PSR!#REF!</definedName>
    <definedName name="外部資料_72" localSheetId="4">評比系統!$T$1:$T$3</definedName>
    <definedName name="外部資料_72" localSheetId="18">福邦!#REF!</definedName>
    <definedName name="外部資料_72" localSheetId="7">營收搶先報!#REF!</definedName>
    <definedName name="外部資料_720" localSheetId="15">PKA!#REF!</definedName>
    <definedName name="外部資料_720" localSheetId="16">PKB!#REF!</definedName>
    <definedName name="外部資料_720" localSheetId="4">評比系統!$T$1:$T$3</definedName>
    <definedName name="外部資料_721" localSheetId="15">PKA!#REF!</definedName>
    <definedName name="外部資料_721" localSheetId="16">PKB!#REF!</definedName>
    <definedName name="外部資料_721" localSheetId="4">評比系統!$T$1:$T$3</definedName>
    <definedName name="外部資料_722" localSheetId="15">PKA!#REF!</definedName>
    <definedName name="外部資料_722" localSheetId="16">PKB!#REF!</definedName>
    <definedName name="外部資料_722" localSheetId="4">評比系統!$T$1:$T$3</definedName>
    <definedName name="外部資料_723" localSheetId="15">PKA!#REF!</definedName>
    <definedName name="外部資料_723" localSheetId="16">PKB!#REF!</definedName>
    <definedName name="外部資料_723" localSheetId="4">評比系統!$T$1:$T$3</definedName>
    <definedName name="外部資料_724" localSheetId="15">PKA!#REF!</definedName>
    <definedName name="外部資料_724" localSheetId="16">PKB!#REF!</definedName>
    <definedName name="外部資料_724" localSheetId="4">評比系統!$T$1:$T$3</definedName>
    <definedName name="外部資料_725" localSheetId="15">PKA!#REF!</definedName>
    <definedName name="外部資料_725" localSheetId="16">PKB!#REF!</definedName>
    <definedName name="外部資料_725" localSheetId="4">評比系統!$T$1:$T$3</definedName>
    <definedName name="外部資料_726" localSheetId="15">PKA!#REF!</definedName>
    <definedName name="外部資料_726" localSheetId="16">PKB!#REF!</definedName>
    <definedName name="外部資料_726" localSheetId="4">評比系統!$T$1:$T$3</definedName>
    <definedName name="外部資料_727" localSheetId="15">PKA!#REF!</definedName>
    <definedName name="外部資料_727" localSheetId="16">PKB!#REF!</definedName>
    <definedName name="外部資料_727" localSheetId="4">評比系統!$T$1:$T$3</definedName>
    <definedName name="外部資料_728" localSheetId="15">PKA!#REF!</definedName>
    <definedName name="外部資料_728" localSheetId="16">PKB!#REF!</definedName>
    <definedName name="外部資料_728" localSheetId="4">評比系統!$T$1:$T$3</definedName>
    <definedName name="外部資料_729" localSheetId="15">PKA!#REF!</definedName>
    <definedName name="外部資料_729" localSheetId="16">PKB!#REF!</definedName>
    <definedName name="外部資料_729" localSheetId="4">評比系統!$T$1:$T$3</definedName>
    <definedName name="外部資料_73" localSheetId="15">PKA!#REF!</definedName>
    <definedName name="外部資料_73" localSheetId="16">PKB!#REF!</definedName>
    <definedName name="外部資料_73" localSheetId="17">PKC!#REF!</definedName>
    <definedName name="外部資料_73" localSheetId="8">PSR!#REF!</definedName>
    <definedName name="外部資料_73" localSheetId="4">評比系統!$T$1:$T$3</definedName>
    <definedName name="外部資料_73" localSheetId="18">福邦!#REF!</definedName>
    <definedName name="外部資料_73" localSheetId="7">營收搶先報!#REF!</definedName>
    <definedName name="外部資料_730" localSheetId="15">PKA!#REF!</definedName>
    <definedName name="外部資料_730" localSheetId="16">PKB!#REF!</definedName>
    <definedName name="外部資料_730" localSheetId="4">評比系統!$T$1:$T$3</definedName>
    <definedName name="外部資料_731" localSheetId="15">PKA!#REF!</definedName>
    <definedName name="外部資料_731" localSheetId="16">PKB!#REF!</definedName>
    <definedName name="外部資料_731" localSheetId="4">評比系統!$T$1:$T$3</definedName>
    <definedName name="外部資料_732" localSheetId="15">PKA!#REF!</definedName>
    <definedName name="外部資料_732" localSheetId="16">PKB!#REF!</definedName>
    <definedName name="外部資料_732" localSheetId="4">評比系統!$T$1:$T$3</definedName>
    <definedName name="外部資料_733" localSheetId="15">PKA!#REF!</definedName>
    <definedName name="外部資料_733" localSheetId="16">PKB!#REF!</definedName>
    <definedName name="外部資料_733" localSheetId="4">評比系統!$T$1:$T$3</definedName>
    <definedName name="外部資料_734" localSheetId="15">PKA!#REF!</definedName>
    <definedName name="外部資料_734" localSheetId="16">PKB!#REF!</definedName>
    <definedName name="外部資料_734" localSheetId="4">評比系統!$T$1:$T$3</definedName>
    <definedName name="外部資料_735" localSheetId="15">PKA!#REF!</definedName>
    <definedName name="外部資料_735" localSheetId="16">PKB!#REF!</definedName>
    <definedName name="外部資料_735" localSheetId="4">評比系統!$T$1:$T$3</definedName>
    <definedName name="外部資料_736" localSheetId="15">PKA!#REF!</definedName>
    <definedName name="外部資料_736" localSheetId="16">PKB!#REF!</definedName>
    <definedName name="外部資料_736" localSheetId="4">評比系統!$T$1:$T$3</definedName>
    <definedName name="外部資料_737" localSheetId="15">PKA!#REF!</definedName>
    <definedName name="外部資料_737" localSheetId="16">PKB!#REF!</definedName>
    <definedName name="外部資料_737" localSheetId="4">評比系統!$T$1:$T$3</definedName>
    <definedName name="外部資料_738" localSheetId="15">PKA!#REF!</definedName>
    <definedName name="外部資料_738" localSheetId="16">PKB!#REF!</definedName>
    <definedName name="外部資料_738" localSheetId="4">評比系統!$T$1:$T$3</definedName>
    <definedName name="外部資料_739" localSheetId="15">PKA!#REF!</definedName>
    <definedName name="外部資料_739" localSheetId="16">PKB!#REF!</definedName>
    <definedName name="外部資料_739" localSheetId="4">評比系統!$T$1:$T$3</definedName>
    <definedName name="外部資料_74" localSheetId="15">PKA!#REF!</definedName>
    <definedName name="外部資料_74" localSheetId="16">PKB!#REF!</definedName>
    <definedName name="外部資料_74" localSheetId="17">PKC!#REF!</definedName>
    <definedName name="外部資料_74" localSheetId="8">PSR!#REF!</definedName>
    <definedName name="外部資料_74" localSheetId="4">評比系統!$T$1:$T$3</definedName>
    <definedName name="外部資料_74" localSheetId="18">福邦!#REF!</definedName>
    <definedName name="外部資料_74" localSheetId="7">營收搶先報!#REF!</definedName>
    <definedName name="外部資料_740" localSheetId="15">PKA!#REF!</definedName>
    <definedName name="外部資料_740" localSheetId="16">PKB!#REF!</definedName>
    <definedName name="外部資料_740" localSheetId="4">評比系統!$T$1:$T$3</definedName>
    <definedName name="外部資料_741" localSheetId="15">PKA!#REF!</definedName>
    <definedName name="外部資料_741" localSheetId="16">PKB!#REF!</definedName>
    <definedName name="外部資料_741" localSheetId="4">評比系統!$T$1:$T$3</definedName>
    <definedName name="外部資料_742" localSheetId="15">PKA!#REF!</definedName>
    <definedName name="外部資料_742" localSheetId="16">PKB!#REF!</definedName>
    <definedName name="外部資料_742" localSheetId="4">評比系統!$T$1:$T$3</definedName>
    <definedName name="外部資料_743" localSheetId="15">PKA!#REF!</definedName>
    <definedName name="外部資料_743" localSheetId="16">PKB!#REF!</definedName>
    <definedName name="外部資料_743" localSheetId="4">評比系統!$T$1:$T$3</definedName>
    <definedName name="外部資料_744" localSheetId="15">PKA!#REF!</definedName>
    <definedName name="外部資料_744" localSheetId="16">PKB!#REF!</definedName>
    <definedName name="外部資料_744" localSheetId="4">評比系統!$T$1:$T$3</definedName>
    <definedName name="外部資料_745" localSheetId="15">PKA!#REF!</definedName>
    <definedName name="外部資料_745" localSheetId="16">PKB!#REF!</definedName>
    <definedName name="外部資料_745" localSheetId="4">評比系統!$T$1:$T$3</definedName>
    <definedName name="外部資料_746" localSheetId="15">PKA!#REF!</definedName>
    <definedName name="外部資料_746" localSheetId="16">PKB!#REF!</definedName>
    <definedName name="外部資料_746" localSheetId="4">評比系統!$T$1:$T$3</definedName>
    <definedName name="外部資料_747" localSheetId="15">PKA!#REF!</definedName>
    <definedName name="外部資料_747" localSheetId="16">PKB!#REF!</definedName>
    <definedName name="外部資料_747" localSheetId="4">評比系統!$T$1:$T$3</definedName>
    <definedName name="外部資料_748" localSheetId="15">PKA!$A$1:$K$65</definedName>
    <definedName name="外部資料_748" localSheetId="16">PKB!#REF!</definedName>
    <definedName name="外部資料_748" localSheetId="4">評比系統!$T$1:$T$3</definedName>
    <definedName name="外部資料_749" localSheetId="15">PKA!$A$100:$K$160</definedName>
    <definedName name="外部資料_749" localSheetId="16">PKB!#REF!</definedName>
    <definedName name="外部資料_749" localSheetId="4">評比系統!$T$1:$T$3</definedName>
    <definedName name="外部資料_75" localSheetId="15">PKA!#REF!</definedName>
    <definedName name="外部資料_75" localSheetId="16">PKB!#REF!</definedName>
    <definedName name="外部資料_75" localSheetId="17">PKC!#REF!</definedName>
    <definedName name="外部資料_75" localSheetId="8">PSR!#REF!</definedName>
    <definedName name="外部資料_75" localSheetId="4">評比系統!$T$1:$T$3</definedName>
    <definedName name="外部資料_75" localSheetId="18">福邦!#REF!</definedName>
    <definedName name="外部資料_75" localSheetId="7">營收搶先報!#REF!</definedName>
    <definedName name="外部資料_750" localSheetId="15">PKA!$A$200:$K$247</definedName>
    <definedName name="外部資料_750" localSheetId="16">PKB!#REF!</definedName>
    <definedName name="外部資料_750" localSheetId="4">評比系統!$T$1:$T$3</definedName>
    <definedName name="外部資料_751" localSheetId="16">PKB!#REF!</definedName>
    <definedName name="外部資料_751" localSheetId="4">評比系統!$T$1:$T$3</definedName>
    <definedName name="外部資料_752" localSheetId="16">PKB!$A$1:$K$65</definedName>
    <definedName name="外部資料_752" localSheetId="4">評比系統!$T$1:$T$3</definedName>
    <definedName name="外部資料_753" localSheetId="16">PKB!$A$100:$K$160</definedName>
    <definedName name="外部資料_753" localSheetId="4">評比系統!$T$1:$T$3</definedName>
    <definedName name="外部資料_754" localSheetId="16">PKB!$A$200:$K$247</definedName>
    <definedName name="外部資料_754" localSheetId="4">評比系統!$T$1:$T$3</definedName>
    <definedName name="外部資料_755" localSheetId="4">評比系統!$T$1:$T$3</definedName>
    <definedName name="外部資料_7550" localSheetId="2">紅綠燈!#REF!</definedName>
    <definedName name="外部資料_7551" localSheetId="2">紅綠燈!#REF!</definedName>
    <definedName name="外部資料_7552" localSheetId="2">紅綠燈!#REF!</definedName>
    <definedName name="外部資料_7554" localSheetId="2">紅綠燈!#REF!</definedName>
    <definedName name="外部資料_7555" localSheetId="2">紅綠燈!#REF!</definedName>
    <definedName name="外部資料_7556" localSheetId="2">紅綠燈!#REF!</definedName>
    <definedName name="外部資料_7559" localSheetId="2">紅綠燈!#REF!</definedName>
    <definedName name="外部資料_756" localSheetId="4">評比系統!$T$1:$T$3</definedName>
    <definedName name="外部資料_7560" localSheetId="2">紅綠燈!#REF!</definedName>
    <definedName name="外部資料_7562" localSheetId="2">紅綠燈!#REF!</definedName>
    <definedName name="外部資料_7563" localSheetId="2">紅綠燈!#REF!</definedName>
    <definedName name="外部資料_7564" localSheetId="2">紅綠燈!#REF!</definedName>
    <definedName name="外部資料_7566" localSheetId="2">紅綠燈!#REF!</definedName>
    <definedName name="外部資料_7567" localSheetId="2">紅綠燈!#REF!</definedName>
    <definedName name="外部資料_7568" localSheetId="2">紅綠燈!#REF!</definedName>
    <definedName name="外部資料_757" localSheetId="4">評比系統!$T$1:$T$3</definedName>
    <definedName name="外部資料_7570" localSheetId="2">紅綠燈!#REF!</definedName>
    <definedName name="外部資料_7571" localSheetId="2">紅綠燈!#REF!</definedName>
    <definedName name="外部資料_7572" localSheetId="2">紅綠燈!#REF!</definedName>
    <definedName name="外部資料_7574" localSheetId="2">紅綠燈!#REF!</definedName>
    <definedName name="外部資料_7575" localSheetId="2">紅綠燈!#REF!</definedName>
    <definedName name="外部資料_7576" localSheetId="2">紅綠燈!#REF!</definedName>
    <definedName name="外部資料_7578" localSheetId="2">紅綠燈!#REF!</definedName>
    <definedName name="外部資料_7579" localSheetId="2">紅綠燈!#REF!</definedName>
    <definedName name="外部資料_758" localSheetId="4">評比系統!$T$1:$T$3</definedName>
    <definedName name="外部資料_7580" localSheetId="2">紅綠燈!#REF!</definedName>
    <definedName name="外部資料_7582" localSheetId="2">紅綠燈!#REF!</definedName>
    <definedName name="外部資料_7583" localSheetId="2">紅綠燈!#REF!</definedName>
    <definedName name="外部資料_7585" localSheetId="2">紅綠燈!#REF!</definedName>
    <definedName name="外部資料_7586" localSheetId="2">紅綠燈!#REF!</definedName>
    <definedName name="外部資料_7587" localSheetId="2">紅綠燈!#REF!</definedName>
    <definedName name="外部資料_7589" localSheetId="2">紅綠燈!#REF!</definedName>
    <definedName name="外部資料_759" localSheetId="4">評比系統!$T$1:$T$3</definedName>
    <definedName name="外部資料_7590" localSheetId="2">紅綠燈!#REF!</definedName>
    <definedName name="外部資料_7591" localSheetId="2">紅綠燈!#REF!</definedName>
    <definedName name="外部資料_7593" localSheetId="2">紅綠燈!#REF!</definedName>
    <definedName name="外部資料_7594" localSheetId="2">紅綠燈!#REF!</definedName>
    <definedName name="外部資料_7596" localSheetId="2">紅綠燈!#REF!</definedName>
    <definedName name="外部資料_7597" localSheetId="2">紅綠燈!#REF!</definedName>
    <definedName name="外部資料_7598" localSheetId="2">紅綠燈!#REF!</definedName>
    <definedName name="外部資料_76" localSheetId="15">PKA!#REF!</definedName>
    <definedName name="外部資料_76" localSheetId="16">PKB!#REF!</definedName>
    <definedName name="外部資料_76" localSheetId="17">PKC!#REF!</definedName>
    <definedName name="外部資料_76" localSheetId="8">PSR!#REF!</definedName>
    <definedName name="外部資料_76" localSheetId="4">評比系統!$T$1:$T$3</definedName>
    <definedName name="外部資料_76" localSheetId="18">福邦!#REF!</definedName>
    <definedName name="外部資料_76" localSheetId="5">篩股系統!#REF!</definedName>
    <definedName name="外部資料_76" localSheetId="7">營收搶先報!#REF!</definedName>
    <definedName name="外部資料_760" localSheetId="4">評比系統!$T$1:$T$3</definedName>
    <definedName name="外部資料_7600" localSheetId="2">紅綠燈!#REF!</definedName>
    <definedName name="外部資料_7601" localSheetId="2">紅綠燈!#REF!</definedName>
    <definedName name="外部資料_7602" localSheetId="2">紅綠燈!#REF!</definedName>
    <definedName name="外部資料_7604" localSheetId="2">紅綠燈!#REF!</definedName>
    <definedName name="外部資料_7605" localSheetId="2">紅綠燈!#REF!</definedName>
    <definedName name="外部資料_7606" localSheetId="2">紅綠燈!#REF!</definedName>
    <definedName name="外部資料_7608" localSheetId="2">紅綠燈!#REF!</definedName>
    <definedName name="外部資料_7609" localSheetId="2">紅綠燈!#REF!</definedName>
    <definedName name="外部資料_761" localSheetId="4">評比系統!$T$1:$T$3</definedName>
    <definedName name="外部資料_7610" localSheetId="2">紅綠燈!#REF!</definedName>
    <definedName name="外部資料_7612" localSheetId="2">紅綠燈!#REF!</definedName>
    <definedName name="外部資料_7613" localSheetId="2">紅綠燈!#REF!</definedName>
    <definedName name="外部資料_7614" localSheetId="2">紅綠燈!#REF!</definedName>
    <definedName name="外部資料_7616" localSheetId="2">紅綠燈!#REF!</definedName>
    <definedName name="外部資料_7617" localSheetId="2">紅綠燈!#REF!</definedName>
    <definedName name="外部資料_7618" localSheetId="2">紅綠燈!#REF!</definedName>
    <definedName name="外部資料_762" localSheetId="4">評比系統!$T$1:$T$3</definedName>
    <definedName name="外部資料_7620" localSheetId="2">紅綠燈!#REF!</definedName>
    <definedName name="外部資料_7621" localSheetId="2">紅綠燈!#REF!</definedName>
    <definedName name="外部資料_7622" localSheetId="2">紅綠燈!#REF!</definedName>
    <definedName name="外部資料_7624" localSheetId="2">紅綠燈!#REF!</definedName>
    <definedName name="外部資料_7625" localSheetId="2">紅綠燈!#REF!</definedName>
    <definedName name="外部資料_7626" localSheetId="2">紅綠燈!#REF!</definedName>
    <definedName name="外部資料_7628" localSheetId="2">紅綠燈!#REF!</definedName>
    <definedName name="外部資料_7629" localSheetId="2">紅綠燈!#REF!</definedName>
    <definedName name="外部資料_763" localSheetId="4">評比系統!$T$1:$T$3</definedName>
    <definedName name="外部資料_7630" localSheetId="2">紅綠燈!#REF!</definedName>
    <definedName name="外部資料_7632" localSheetId="2">紅綠燈!#REF!</definedName>
    <definedName name="外部資料_7633" localSheetId="2">紅綠燈!#REF!</definedName>
    <definedName name="外部資料_7634" localSheetId="2">紅綠燈!#REF!</definedName>
    <definedName name="外部資料_7636" localSheetId="2">紅綠燈!#REF!</definedName>
    <definedName name="外部資料_7637" localSheetId="2">紅綠燈!#REF!</definedName>
    <definedName name="外部資料_7638" localSheetId="2">紅綠燈!#REF!</definedName>
    <definedName name="外部資料_764" localSheetId="4">評比系統!$T$1:$T$3</definedName>
    <definedName name="外部資料_7640" localSheetId="2">紅綠燈!#REF!</definedName>
    <definedName name="外部資料_7641" localSheetId="2">紅綠燈!#REF!</definedName>
    <definedName name="外部資料_7642" localSheetId="2">紅綠燈!#REF!</definedName>
    <definedName name="外部資料_7644" localSheetId="2">紅綠燈!#REF!</definedName>
    <definedName name="外部資料_7645" localSheetId="2">紅綠燈!#REF!</definedName>
    <definedName name="外部資料_7646" localSheetId="2">紅綠燈!#REF!</definedName>
    <definedName name="外部資料_7648" localSheetId="2">紅綠燈!#REF!</definedName>
    <definedName name="外部資料_7649" localSheetId="2">紅綠燈!#REF!</definedName>
    <definedName name="外部資料_765" localSheetId="4">評比系統!$T$1:$T$3</definedName>
    <definedName name="外部資料_7650" localSheetId="2">紅綠燈!#REF!</definedName>
    <definedName name="外部資料_7652" localSheetId="2">紅綠燈!#REF!</definedName>
    <definedName name="外部資料_7653" localSheetId="2">紅綠燈!#REF!</definedName>
    <definedName name="外部資料_7654" localSheetId="2">紅綠燈!#REF!</definedName>
    <definedName name="外部資料_7656" localSheetId="2">紅綠燈!#REF!</definedName>
    <definedName name="外部資料_7657" localSheetId="2">紅綠燈!#REF!</definedName>
    <definedName name="外部資料_7658" localSheetId="2">紅綠燈!#REF!</definedName>
    <definedName name="外部資料_766" localSheetId="4">評比系統!$T$1:$T$3</definedName>
    <definedName name="外部資料_7660" localSheetId="2">紅綠燈!#REF!</definedName>
    <definedName name="外部資料_7661" localSheetId="2">紅綠燈!#REF!</definedName>
    <definedName name="外部資料_7662" localSheetId="2">紅綠燈!#REF!</definedName>
    <definedName name="外部資料_7664" localSheetId="2">紅綠燈!#REF!</definedName>
    <definedName name="外部資料_7665" localSheetId="2">紅綠燈!#REF!</definedName>
    <definedName name="外部資料_7666" localSheetId="2">紅綠燈!#REF!</definedName>
    <definedName name="外部資料_7668" localSheetId="2">紅綠燈!#REF!</definedName>
    <definedName name="外部資料_7669" localSheetId="2">紅綠燈!#REF!</definedName>
    <definedName name="外部資料_767" localSheetId="4">評比系統!$T$1:$T$3</definedName>
    <definedName name="外部資料_7670" localSheetId="2">紅綠燈!#REF!</definedName>
    <definedName name="外部資料_7672" localSheetId="2">紅綠燈!#REF!</definedName>
    <definedName name="外部資料_7673" localSheetId="2">紅綠燈!#REF!</definedName>
    <definedName name="外部資料_7674" localSheetId="2">紅綠燈!#REF!</definedName>
    <definedName name="外部資料_7676" localSheetId="2">紅綠燈!#REF!</definedName>
    <definedName name="外部資料_7677" localSheetId="2">紅綠燈!#REF!</definedName>
    <definedName name="外部資料_7678" localSheetId="2">紅綠燈!#REF!</definedName>
    <definedName name="外部資料_768" localSheetId="4">評比系統!$T$1:$T$3</definedName>
    <definedName name="外部資料_7680" localSheetId="2">紅綠燈!#REF!</definedName>
    <definedName name="外部資料_7681" localSheetId="2">紅綠燈!#REF!</definedName>
    <definedName name="外部資料_7682" localSheetId="2">紅綠燈!#REF!</definedName>
    <definedName name="外部資料_7684" localSheetId="2">紅綠燈!#REF!</definedName>
    <definedName name="外部資料_7685" localSheetId="2">紅綠燈!#REF!</definedName>
    <definedName name="外部資料_7687" localSheetId="2">紅綠燈!#REF!</definedName>
    <definedName name="外部資料_7688" localSheetId="2">紅綠燈!#REF!</definedName>
    <definedName name="外部資料_7689" localSheetId="2">紅綠燈!#REF!</definedName>
    <definedName name="外部資料_769" localSheetId="4">評比系統!$T$1:$T$3</definedName>
    <definedName name="外部資料_7691" localSheetId="2">紅綠燈!#REF!</definedName>
    <definedName name="外部資料_7692" localSheetId="2">紅綠燈!#REF!</definedName>
    <definedName name="外部資料_7693" localSheetId="2">紅綠燈!#REF!</definedName>
    <definedName name="外部資料_7695" localSheetId="2">紅綠燈!#REF!</definedName>
    <definedName name="外部資料_7696" localSheetId="2">紅綠燈!#REF!</definedName>
    <definedName name="外部資料_7697" localSheetId="2">紅綠燈!#REF!</definedName>
    <definedName name="外部資料_7699" localSheetId="2">紅綠燈!#REF!</definedName>
    <definedName name="外部資料_77" localSheetId="15">PKA!#REF!</definedName>
    <definedName name="外部資料_77" localSheetId="16">PKB!#REF!</definedName>
    <definedName name="外部資料_77" localSheetId="17">PKC!#REF!</definedName>
    <definedName name="外部資料_77" localSheetId="8">PSR!#REF!</definedName>
    <definedName name="外部資料_77" localSheetId="4">評比系統!$T$1:$T$3</definedName>
    <definedName name="外部資料_77" localSheetId="18">福邦!#REF!</definedName>
    <definedName name="外部資料_77" localSheetId="7">營收搶先報!#REF!</definedName>
    <definedName name="外部資料_770" localSheetId="4">評比系統!$T$1:$T$3</definedName>
    <definedName name="外部資料_7700" localSheetId="2">紅綠燈!#REF!</definedName>
    <definedName name="外部資料_7701" localSheetId="2">紅綠燈!#REF!</definedName>
    <definedName name="外部資料_7703" localSheetId="2">紅綠燈!#REF!</definedName>
    <definedName name="外部資料_7704" localSheetId="2">紅綠燈!#REF!</definedName>
    <definedName name="外部資料_7705" localSheetId="2">紅綠燈!#REF!</definedName>
    <definedName name="外部資料_7707" localSheetId="2">紅綠燈!#REF!</definedName>
    <definedName name="外部資料_7708" localSheetId="2">紅綠燈!#REF!</definedName>
    <definedName name="外部資料_7709" localSheetId="2">紅綠燈!#REF!</definedName>
    <definedName name="外部資料_771" localSheetId="4">評比系統!$T$1:$T$3</definedName>
    <definedName name="外部資料_7711" localSheetId="2">紅綠燈!#REF!</definedName>
    <definedName name="外部資料_7712" localSheetId="2">紅綠燈!#REF!</definedName>
    <definedName name="外部資料_7713" localSheetId="2">紅綠燈!#REF!</definedName>
    <definedName name="外部資料_7715" localSheetId="2">紅綠燈!#REF!</definedName>
    <definedName name="外部資料_7716" localSheetId="2">紅綠燈!#REF!</definedName>
    <definedName name="外部資料_7717" localSheetId="2">紅綠燈!#REF!</definedName>
    <definedName name="外部資料_7719" localSheetId="2">紅綠燈!#REF!</definedName>
    <definedName name="外部資料_772" localSheetId="4">評比系統!$T$1:$T$3</definedName>
    <definedName name="外部資料_7720" localSheetId="2">紅綠燈!#REF!</definedName>
    <definedName name="外部資料_7721" localSheetId="2">紅綠燈!#REF!</definedName>
    <definedName name="外部資料_7723" localSheetId="2">紅綠燈!#REF!</definedName>
    <definedName name="外部資料_7724" localSheetId="2">紅綠燈!#REF!</definedName>
    <definedName name="外部資料_7725" localSheetId="2">紅綠燈!#REF!</definedName>
    <definedName name="外部資料_7727" localSheetId="2">紅綠燈!#REF!</definedName>
    <definedName name="外部資料_7728" localSheetId="2">紅綠燈!#REF!</definedName>
    <definedName name="外部資料_7729" localSheetId="2">紅綠燈!#REF!</definedName>
    <definedName name="外部資料_773" localSheetId="4">評比系統!$T$1:$T$3</definedName>
    <definedName name="外部資料_7731" localSheetId="2">紅綠燈!#REF!</definedName>
    <definedName name="外部資料_7732" localSheetId="2">紅綠燈!#REF!</definedName>
    <definedName name="外部資料_7733" localSheetId="2">紅綠燈!#REF!</definedName>
    <definedName name="外部資料_7735" localSheetId="2">紅綠燈!#REF!</definedName>
    <definedName name="外部資料_7736" localSheetId="2">紅綠燈!#REF!</definedName>
    <definedName name="外部資料_7737" localSheetId="2">紅綠燈!#REF!</definedName>
    <definedName name="外部資料_7739" localSheetId="2">紅綠燈!#REF!</definedName>
    <definedName name="外部資料_774" localSheetId="4">評比系統!$T$1:$T$3</definedName>
    <definedName name="外部資料_7740" localSheetId="2">紅綠燈!#REF!</definedName>
    <definedName name="外部資料_7741" localSheetId="2">紅綠燈!#REF!</definedName>
    <definedName name="外部資料_7743" localSheetId="2">紅綠燈!#REF!</definedName>
    <definedName name="外部資料_7744" localSheetId="2">紅綠燈!#REF!</definedName>
    <definedName name="外部資料_7745" localSheetId="2">紅綠燈!#REF!</definedName>
    <definedName name="外部資料_7747" localSheetId="2">紅綠燈!#REF!</definedName>
    <definedName name="外部資料_7748" localSheetId="2">紅綠燈!#REF!</definedName>
    <definedName name="外部資料_7749" localSheetId="2">紅綠燈!#REF!</definedName>
    <definedName name="外部資料_775" localSheetId="4">評比系統!$T$1:$T$3</definedName>
    <definedName name="外部資料_7751" localSheetId="2">紅綠燈!#REF!</definedName>
    <definedName name="外部資料_7752" localSheetId="2">紅綠燈!#REF!</definedName>
    <definedName name="外部資料_7753" localSheetId="2">紅綠燈!#REF!</definedName>
    <definedName name="外部資料_7755" localSheetId="2">紅綠燈!#REF!</definedName>
    <definedName name="外部資料_7756" localSheetId="2">紅綠燈!#REF!</definedName>
    <definedName name="外部資料_7757" localSheetId="2">紅綠燈!#REF!</definedName>
    <definedName name="外部資料_7759" localSheetId="2">紅綠燈!#REF!</definedName>
    <definedName name="外部資料_776" localSheetId="4">評比系統!$T$1:$T$3</definedName>
    <definedName name="外部資料_7760" localSheetId="2">紅綠燈!#REF!</definedName>
    <definedName name="外部資料_7761" localSheetId="2">紅綠燈!#REF!</definedName>
    <definedName name="外部資料_7763" localSheetId="2">紅綠燈!#REF!</definedName>
    <definedName name="外部資料_7764" localSheetId="2">紅綠燈!#REF!</definedName>
    <definedName name="外部資料_7765" localSheetId="2">紅綠燈!#REF!</definedName>
    <definedName name="外部資料_7767" localSheetId="2">紅綠燈!#REF!</definedName>
    <definedName name="外部資料_7768" localSheetId="2">紅綠燈!#REF!</definedName>
    <definedName name="外部資料_7769" localSheetId="2">紅綠燈!#REF!</definedName>
    <definedName name="外部資料_777" localSheetId="4">評比系統!$T$1:$T$3</definedName>
    <definedName name="外部資料_7771" localSheetId="2">紅綠燈!#REF!</definedName>
    <definedName name="外部資料_7772" localSheetId="2">紅綠燈!#REF!</definedName>
    <definedName name="外部資料_7773" localSheetId="2">紅綠燈!#REF!</definedName>
    <definedName name="外部資料_7775" localSheetId="2">紅綠燈!#REF!</definedName>
    <definedName name="外部資料_7776" localSheetId="2">紅綠燈!#REF!</definedName>
    <definedName name="外部資料_7777" localSheetId="2">紅綠燈!#REF!</definedName>
    <definedName name="外部資料_7779" localSheetId="2">紅綠燈!#REF!</definedName>
    <definedName name="外部資料_778" localSheetId="4">評比系統!$T$1:$T$3</definedName>
    <definedName name="外部資料_7780" localSheetId="2">紅綠燈!#REF!</definedName>
    <definedName name="外部資料_7781" localSheetId="2">紅綠燈!#REF!</definedName>
    <definedName name="外部資料_7783" localSheetId="2">紅綠燈!#REF!</definedName>
    <definedName name="外部資料_7784" localSheetId="2">紅綠燈!#REF!</definedName>
    <definedName name="外部資料_7785" localSheetId="2">紅綠燈!#REF!</definedName>
    <definedName name="外部資料_7787" localSheetId="2">紅綠燈!#REF!</definedName>
    <definedName name="外部資料_7788" localSheetId="2">紅綠燈!#REF!</definedName>
    <definedName name="外部資料_7789" localSheetId="2">紅綠燈!#REF!</definedName>
    <definedName name="外部資料_779" localSheetId="4">評比系統!$T$1:$T$3</definedName>
    <definedName name="外部資料_7791" localSheetId="2">紅綠燈!#REF!</definedName>
    <definedName name="外部資料_7792" localSheetId="2">紅綠燈!#REF!</definedName>
    <definedName name="外部資料_7793" localSheetId="2">紅綠燈!#REF!</definedName>
    <definedName name="外部資料_7795" localSheetId="2">紅綠燈!#REF!</definedName>
    <definedName name="外部資料_7796" localSheetId="2">紅綠燈!#REF!</definedName>
    <definedName name="外部資料_7797" localSheetId="2">紅綠燈!#REF!</definedName>
    <definedName name="外部資料_7799" localSheetId="2">紅綠燈!#REF!</definedName>
    <definedName name="外部資料_78" localSheetId="15">PKA!#REF!</definedName>
    <definedName name="外部資料_78" localSheetId="16">PKB!#REF!</definedName>
    <definedName name="外部資料_78" localSheetId="17">PKC!#REF!</definedName>
    <definedName name="外部資料_78" localSheetId="8">PSR!#REF!</definedName>
    <definedName name="外部資料_78" localSheetId="4">評比系統!$T$1:$T$3</definedName>
    <definedName name="外部資料_78" localSheetId="18">福邦!#REF!</definedName>
    <definedName name="外部資料_78" localSheetId="7">營收搶先報!#REF!</definedName>
    <definedName name="外部資料_780" localSheetId="4">評比系統!$T$1:$T$3</definedName>
    <definedName name="外部資料_7800" localSheetId="2">紅綠燈!#REF!</definedName>
    <definedName name="外部資料_7801" localSheetId="2">紅綠燈!#REF!</definedName>
    <definedName name="外部資料_7803" localSheetId="2">紅綠燈!#REF!</definedName>
    <definedName name="外部資料_7804" localSheetId="2">紅綠燈!#REF!</definedName>
    <definedName name="外部資料_7805" localSheetId="2">紅綠燈!#REF!</definedName>
    <definedName name="外部資料_7807" localSheetId="2">紅綠燈!#REF!</definedName>
    <definedName name="外部資料_7808" localSheetId="2">紅綠燈!#REF!</definedName>
    <definedName name="外部資料_7809" localSheetId="2">紅綠燈!#REF!</definedName>
    <definedName name="外部資料_781" localSheetId="4">評比系統!$T$1:$T$3</definedName>
    <definedName name="外部資料_7811" localSheetId="2">紅綠燈!#REF!</definedName>
    <definedName name="外部資料_7812" localSheetId="2">紅綠燈!#REF!</definedName>
    <definedName name="外部資料_7813" localSheetId="2">紅綠燈!#REF!</definedName>
    <definedName name="外部資料_7815" localSheetId="2">紅綠燈!#REF!</definedName>
    <definedName name="外部資料_7816" localSheetId="2">紅綠燈!#REF!</definedName>
    <definedName name="外部資料_7817" localSheetId="2">紅綠燈!#REF!</definedName>
    <definedName name="外部資料_7819" localSheetId="2">紅綠燈!#REF!</definedName>
    <definedName name="外部資料_782" localSheetId="4">評比系統!$T$1:$T$3</definedName>
    <definedName name="外部資料_7820" localSheetId="2">紅綠燈!#REF!</definedName>
    <definedName name="外部資料_7821" localSheetId="2">紅綠燈!#REF!</definedName>
    <definedName name="外部資料_7823" localSheetId="2">紅綠燈!#REF!</definedName>
    <definedName name="外部資料_7824" localSheetId="2">紅綠燈!#REF!</definedName>
    <definedName name="外部資料_7825" localSheetId="2">紅綠燈!#REF!</definedName>
    <definedName name="外部資料_7827" localSheetId="2">紅綠燈!#REF!</definedName>
    <definedName name="外部資料_7828" localSheetId="2">紅綠燈!#REF!</definedName>
    <definedName name="外部資料_7829" localSheetId="2">紅綠燈!#REF!</definedName>
    <definedName name="外部資料_783" localSheetId="4">評比系統!$T$1:$T$3</definedName>
    <definedName name="外部資料_7831" localSheetId="2">紅綠燈!#REF!</definedName>
    <definedName name="外部資料_7832" localSheetId="2">紅綠燈!#REF!</definedName>
    <definedName name="外部資料_7833" localSheetId="2">紅綠燈!#REF!</definedName>
    <definedName name="外部資料_7835" localSheetId="2">紅綠燈!#REF!</definedName>
    <definedName name="外部資料_7836" localSheetId="2">紅綠燈!#REF!</definedName>
    <definedName name="外部資料_7837" localSheetId="2">紅綠燈!#REF!</definedName>
    <definedName name="外部資料_7839" localSheetId="2">紅綠燈!#REF!</definedName>
    <definedName name="外部資料_784" localSheetId="4">評比系統!$T$1:$T$3</definedName>
    <definedName name="外部資料_7840" localSheetId="2">紅綠燈!#REF!</definedName>
    <definedName name="外部資料_7841" localSheetId="2">紅綠燈!#REF!</definedName>
    <definedName name="外部資料_7843" localSheetId="2">紅綠燈!#REF!</definedName>
    <definedName name="外部資料_7844" localSheetId="2">紅綠燈!#REF!</definedName>
    <definedName name="外部資料_7845" localSheetId="2">紅綠燈!#REF!</definedName>
    <definedName name="外部資料_7847" localSheetId="2">紅綠燈!#REF!</definedName>
    <definedName name="外部資料_7848" localSheetId="2">紅綠燈!#REF!</definedName>
    <definedName name="外部資料_7849" localSheetId="2">紅綠燈!#REF!</definedName>
    <definedName name="外部資料_785" localSheetId="4">評比系統!$T$1:$T$3</definedName>
    <definedName name="外部資料_7851" localSheetId="2">紅綠燈!#REF!</definedName>
    <definedName name="外部資料_7852" localSheetId="2">紅綠燈!#REF!</definedName>
    <definedName name="外部資料_7853" localSheetId="2">紅綠燈!#REF!</definedName>
    <definedName name="外部資料_7855" localSheetId="2">紅綠燈!#REF!</definedName>
    <definedName name="外部資料_7856" localSheetId="2">紅綠燈!#REF!</definedName>
    <definedName name="外部資料_7857" localSheetId="2">紅綠燈!#REF!</definedName>
    <definedName name="外部資料_7859" localSheetId="2">紅綠燈!#REF!</definedName>
    <definedName name="外部資料_786" localSheetId="4">評比系統!$T$1:$T$3</definedName>
    <definedName name="外部資料_7860" localSheetId="2">紅綠燈!#REF!</definedName>
    <definedName name="外部資料_7861" localSheetId="2">紅綠燈!#REF!</definedName>
    <definedName name="外部資料_7863" localSheetId="2">紅綠燈!#REF!</definedName>
    <definedName name="外部資料_7864" localSheetId="2">紅綠燈!#REF!</definedName>
    <definedName name="外部資料_7865" localSheetId="2">紅綠燈!#REF!</definedName>
    <definedName name="外部資料_7867" localSheetId="2">紅綠燈!#REF!</definedName>
    <definedName name="外部資料_7868" localSheetId="2">紅綠燈!#REF!</definedName>
    <definedName name="外部資料_7869" localSheetId="2">紅綠燈!#REF!</definedName>
    <definedName name="外部資料_787" localSheetId="4">評比系統!$T$1:$T$3</definedName>
    <definedName name="外部資料_7871" localSheetId="2">紅綠燈!#REF!</definedName>
    <definedName name="外部資料_7872" localSheetId="2">紅綠燈!#REF!</definedName>
    <definedName name="外部資料_7873" localSheetId="2">紅綠燈!#REF!</definedName>
    <definedName name="外部資料_7875" localSheetId="2">紅綠燈!#REF!</definedName>
    <definedName name="外部資料_7876" localSheetId="2">紅綠燈!#REF!</definedName>
    <definedName name="外部資料_7877" localSheetId="2">紅綠燈!#REF!</definedName>
    <definedName name="外部資料_7879" localSheetId="2">紅綠燈!#REF!</definedName>
    <definedName name="外部資料_788" localSheetId="4">評比系統!$T$1:$T$3</definedName>
    <definedName name="外部資料_7880" localSheetId="2">紅綠燈!#REF!</definedName>
    <definedName name="外部資料_7881" localSheetId="2">紅綠燈!#REF!</definedName>
    <definedName name="外部資料_7883" localSheetId="2">紅綠燈!#REF!</definedName>
    <definedName name="外部資料_7884" localSheetId="2">紅綠燈!#REF!</definedName>
    <definedName name="外部資料_7885" localSheetId="2">紅綠燈!#REF!</definedName>
    <definedName name="外部資料_7887" localSheetId="2">紅綠燈!#REF!</definedName>
    <definedName name="外部資料_7888" localSheetId="2">紅綠燈!#REF!</definedName>
    <definedName name="外部資料_7889" localSheetId="2">紅綠燈!#REF!</definedName>
    <definedName name="外部資料_789" localSheetId="4">評比系統!$T$1:$T$3</definedName>
    <definedName name="外部資料_7891" localSheetId="2">紅綠燈!#REF!</definedName>
    <definedName name="外部資料_7892" localSheetId="2">紅綠燈!#REF!</definedName>
    <definedName name="外部資料_7893" localSheetId="2">紅綠燈!#REF!</definedName>
    <definedName name="外部資料_7895" localSheetId="2">紅綠燈!#REF!</definedName>
    <definedName name="外部資料_7896" localSheetId="2">紅綠燈!#REF!</definedName>
    <definedName name="外部資料_7897" localSheetId="2">紅綠燈!#REF!</definedName>
    <definedName name="外部資料_7899" localSheetId="2">紅綠燈!#REF!</definedName>
    <definedName name="外部資料_79" localSheetId="15">PKA!#REF!</definedName>
    <definedName name="外部資料_79" localSheetId="16">PKB!#REF!</definedName>
    <definedName name="外部資料_79" localSheetId="17">PKC!#REF!</definedName>
    <definedName name="外部資料_79" localSheetId="8">PSR!#REF!</definedName>
    <definedName name="外部資料_79" localSheetId="4">評比系統!$T$1:$T$3</definedName>
    <definedName name="外部資料_79" localSheetId="18">福邦!#REF!</definedName>
    <definedName name="外部資料_79" localSheetId="7">營收搶先報!#REF!</definedName>
    <definedName name="外部資料_790" localSheetId="4">評比系統!$T$1:$T$3</definedName>
    <definedName name="外部資料_7900" localSheetId="2">紅綠燈!#REF!</definedName>
    <definedName name="外部資料_7901" localSheetId="2">紅綠燈!#REF!</definedName>
    <definedName name="外部資料_7903" localSheetId="2">紅綠燈!#REF!</definedName>
    <definedName name="外部資料_7904" localSheetId="2">紅綠燈!#REF!</definedName>
    <definedName name="外部資料_7905" localSheetId="2">紅綠燈!#REF!</definedName>
    <definedName name="外部資料_7907" localSheetId="2">紅綠燈!#REF!</definedName>
    <definedName name="外部資料_7908" localSheetId="2">紅綠燈!#REF!</definedName>
    <definedName name="外部資料_7909" localSheetId="2">紅綠燈!#REF!</definedName>
    <definedName name="外部資料_791" localSheetId="4">評比系統!$T$1:$T$3</definedName>
    <definedName name="外部資料_7911" localSheetId="2">紅綠燈!#REF!</definedName>
    <definedName name="外部資料_7912" localSheetId="2">紅綠燈!#REF!</definedName>
    <definedName name="外部資料_7913" localSheetId="2">紅綠燈!#REF!</definedName>
    <definedName name="外部資料_7915" localSheetId="2">紅綠燈!#REF!</definedName>
    <definedName name="外部資料_7916" localSheetId="2">紅綠燈!#REF!</definedName>
    <definedName name="外部資料_7917" localSheetId="2">紅綠燈!#REF!</definedName>
    <definedName name="外部資料_7919" localSheetId="2">紅綠燈!#REF!</definedName>
    <definedName name="外部資料_792" localSheetId="4">評比系統!$T$1:$T$3</definedName>
    <definedName name="外部資料_7920" localSheetId="2">紅綠燈!#REF!</definedName>
    <definedName name="外部資料_7921" localSheetId="2">紅綠燈!#REF!</definedName>
    <definedName name="外部資料_7923" localSheetId="2">紅綠燈!#REF!</definedName>
    <definedName name="外部資料_7924" localSheetId="2">紅綠燈!#REF!</definedName>
    <definedName name="外部資料_7925" localSheetId="2">紅綠燈!#REF!</definedName>
    <definedName name="外部資料_7927" localSheetId="2">紅綠燈!#REF!</definedName>
    <definedName name="外部資料_7928" localSheetId="2">紅綠燈!#REF!</definedName>
    <definedName name="外部資料_7929" localSheetId="2">紅綠燈!#REF!</definedName>
    <definedName name="外部資料_793" localSheetId="4">評比系統!$T$1:$T$3</definedName>
    <definedName name="外部資料_7931" localSheetId="2">紅綠燈!#REF!</definedName>
    <definedName name="外部資料_7932" localSheetId="2">紅綠燈!#REF!</definedName>
    <definedName name="外部資料_7933" localSheetId="2">紅綠燈!#REF!</definedName>
    <definedName name="外部資料_7935" localSheetId="2">紅綠燈!#REF!</definedName>
    <definedName name="外部資料_7936" localSheetId="2">紅綠燈!#REF!</definedName>
    <definedName name="外部資料_7937" localSheetId="2">紅綠燈!#REF!</definedName>
    <definedName name="外部資料_7939" localSheetId="2">紅綠燈!#REF!</definedName>
    <definedName name="外部資料_794" localSheetId="4">評比系統!$T$1:$T$3</definedName>
    <definedName name="外部資料_7940" localSheetId="2">紅綠燈!#REF!</definedName>
    <definedName name="外部資料_7941" localSheetId="2">紅綠燈!#REF!</definedName>
    <definedName name="外部資料_7943" localSheetId="2">紅綠燈!#REF!</definedName>
    <definedName name="外部資料_7944" localSheetId="2">紅綠燈!#REF!</definedName>
    <definedName name="外部資料_7945" localSheetId="2">紅綠燈!#REF!</definedName>
    <definedName name="外部資料_7947" localSheetId="2">紅綠燈!#REF!</definedName>
    <definedName name="外部資料_7948" localSheetId="2">紅綠燈!#REF!</definedName>
    <definedName name="外部資料_7949" localSheetId="2">紅綠燈!#REF!</definedName>
    <definedName name="外部資料_795" localSheetId="4">評比系統!$T$1:$T$3</definedName>
    <definedName name="外部資料_7951" localSheetId="2">紅綠燈!#REF!</definedName>
    <definedName name="外部資料_7952" localSheetId="2">紅綠燈!#REF!</definedName>
    <definedName name="外部資料_7953" localSheetId="2">紅綠燈!#REF!</definedName>
    <definedName name="外部資料_7955" localSheetId="2">紅綠燈!#REF!</definedName>
    <definedName name="外部資料_7956" localSheetId="2">紅綠燈!#REF!</definedName>
    <definedName name="外部資料_7957" localSheetId="2">紅綠燈!#REF!</definedName>
    <definedName name="外部資料_7959" localSheetId="2">紅綠燈!#REF!</definedName>
    <definedName name="外部資料_796" localSheetId="4">評比系統!$T$1:$T$3</definedName>
    <definedName name="外部資料_7960" localSheetId="2">紅綠燈!#REF!</definedName>
    <definedName name="外部資料_7961" localSheetId="2">紅綠燈!#REF!</definedName>
    <definedName name="外部資料_7963" localSheetId="2">紅綠燈!#REF!</definedName>
    <definedName name="外部資料_7964" localSheetId="2">紅綠燈!#REF!</definedName>
    <definedName name="外部資料_7965" localSheetId="2">紅綠燈!#REF!</definedName>
    <definedName name="外部資料_7967" localSheetId="2">紅綠燈!#REF!</definedName>
    <definedName name="外部資料_7968" localSheetId="2">紅綠燈!#REF!</definedName>
    <definedName name="外部資料_7969" localSheetId="2">紅綠燈!#REF!</definedName>
    <definedName name="外部資料_797" localSheetId="4">評比系統!$T$1:$T$3</definedName>
    <definedName name="外部資料_7971" localSheetId="2">紅綠燈!#REF!</definedName>
    <definedName name="外部資料_7972" localSheetId="2">紅綠燈!#REF!</definedName>
    <definedName name="外部資料_7973" localSheetId="2">紅綠燈!#REF!</definedName>
    <definedName name="外部資料_7975" localSheetId="2">紅綠燈!#REF!</definedName>
    <definedName name="外部資料_7976" localSheetId="2">紅綠燈!#REF!</definedName>
    <definedName name="外部資料_7977" localSheetId="2">紅綠燈!#REF!</definedName>
    <definedName name="外部資料_7979" localSheetId="2">紅綠燈!#REF!</definedName>
    <definedName name="外部資料_798" localSheetId="4">評比系統!$T$1:$T$3</definedName>
    <definedName name="外部資料_7980" localSheetId="2">紅綠燈!#REF!</definedName>
    <definedName name="外部資料_7981" localSheetId="2">紅綠燈!#REF!</definedName>
    <definedName name="外部資料_7983" localSheetId="2">紅綠燈!#REF!</definedName>
    <definedName name="外部資料_7984" localSheetId="2">紅綠燈!#REF!</definedName>
    <definedName name="外部資料_7985" localSheetId="2">紅綠燈!#REF!</definedName>
    <definedName name="外部資料_7987" localSheetId="2">紅綠燈!#REF!</definedName>
    <definedName name="外部資料_7988" localSheetId="2">紅綠燈!#REF!</definedName>
    <definedName name="外部資料_7989" localSheetId="2">紅綠燈!#REF!</definedName>
    <definedName name="外部資料_799" localSheetId="4">評比系統!$T$1:$T$3</definedName>
    <definedName name="外部資料_7991" localSheetId="2">紅綠燈!#REF!</definedName>
    <definedName name="外部資料_7992" localSheetId="2">紅綠燈!#REF!</definedName>
    <definedName name="外部資料_7993" localSheetId="2">紅綠燈!#REF!</definedName>
    <definedName name="外部資料_7995" localSheetId="2">紅綠燈!#REF!</definedName>
    <definedName name="外部資料_7996" localSheetId="2">紅綠燈!#REF!</definedName>
    <definedName name="外部資料_7997" localSheetId="2">紅綠燈!#REF!</definedName>
    <definedName name="外部資料_7999" localSheetId="2">紅綠燈!#REF!</definedName>
    <definedName name="外部資料_8" localSheetId="15">PKA!#REF!</definedName>
    <definedName name="外部資料_8" localSheetId="16">PKB!#REF!</definedName>
    <definedName name="外部資料_8" localSheetId="17">PKC!#REF!</definedName>
    <definedName name="外部資料_8" localSheetId="8">PSR!#REF!</definedName>
    <definedName name="外部資料_8" localSheetId="2">紅綠燈!#REF!</definedName>
    <definedName name="外部資料_8" localSheetId="4">評比系統!#REF!</definedName>
    <definedName name="外部資料_8" localSheetId="18">福邦!#REF!</definedName>
    <definedName name="外部資料_8" localSheetId="5">篩股系統!#REF!</definedName>
    <definedName name="外部資料_8" localSheetId="7">營收搶先報!#REF!</definedName>
    <definedName name="外部資料_80" localSheetId="15">PKA!#REF!</definedName>
    <definedName name="外部資料_80" localSheetId="16">PKB!#REF!</definedName>
    <definedName name="外部資料_80" localSheetId="17">PKC!#REF!</definedName>
    <definedName name="外部資料_80" localSheetId="8">PSR!#REF!</definedName>
    <definedName name="外部資料_80" localSheetId="4">評比系統!$T$1:$T$3</definedName>
    <definedName name="外部資料_80" localSheetId="18">福邦!#REF!</definedName>
    <definedName name="外部資料_80" localSheetId="7">營收搶先報!#REF!</definedName>
    <definedName name="外部資料_800" localSheetId="4">評比系統!$T$1:$T$3</definedName>
    <definedName name="外部資料_8000" localSheetId="2">紅綠燈!#REF!</definedName>
    <definedName name="外部資料_8001" localSheetId="2">紅綠燈!#REF!</definedName>
    <definedName name="外部資料_8003" localSheetId="2">紅綠燈!#REF!</definedName>
    <definedName name="外部資料_8004" localSheetId="2">紅綠燈!#REF!</definedName>
    <definedName name="外部資料_8005" localSheetId="2">紅綠燈!#REF!</definedName>
    <definedName name="外部資料_8007" localSheetId="2">紅綠燈!#REF!</definedName>
    <definedName name="外部資料_8008" localSheetId="2">紅綠燈!#REF!</definedName>
    <definedName name="外部資料_8009" localSheetId="2">紅綠燈!#REF!</definedName>
    <definedName name="外部資料_801" localSheetId="4">評比系統!$T$1:$T$3</definedName>
    <definedName name="外部資料_8011" localSheetId="2">紅綠燈!#REF!</definedName>
    <definedName name="外部資料_8012" localSheetId="2">紅綠燈!#REF!</definedName>
    <definedName name="外部資料_8013" localSheetId="2">紅綠燈!#REF!</definedName>
    <definedName name="外部資料_8015" localSheetId="2">紅綠燈!#REF!</definedName>
    <definedName name="外部資料_8016" localSheetId="2">紅綠燈!#REF!</definedName>
    <definedName name="外部資料_8017" localSheetId="2">紅綠燈!#REF!</definedName>
    <definedName name="外部資料_8019" localSheetId="2">紅綠燈!#REF!</definedName>
    <definedName name="外部資料_802" localSheetId="4">評比系統!$T$1:$T$3</definedName>
    <definedName name="外部資料_8020" localSheetId="2">紅綠燈!#REF!</definedName>
    <definedName name="外部資料_8021" localSheetId="2">紅綠燈!#REF!</definedName>
    <definedName name="外部資料_8023" localSheetId="2">紅綠燈!#REF!</definedName>
    <definedName name="外部資料_8024" localSheetId="2">紅綠燈!#REF!</definedName>
    <definedName name="外部資料_8025" localSheetId="2">紅綠燈!#REF!</definedName>
    <definedName name="外部資料_8027" localSheetId="2">紅綠燈!#REF!</definedName>
    <definedName name="外部資料_8028" localSheetId="2">紅綠燈!#REF!</definedName>
    <definedName name="外部資料_8029" localSheetId="2">紅綠燈!#REF!</definedName>
    <definedName name="外部資料_803" localSheetId="4">評比系統!$T$1:$T$3</definedName>
    <definedName name="外部資料_8031" localSheetId="2">紅綠燈!#REF!</definedName>
    <definedName name="外部資料_8032" localSheetId="2">紅綠燈!#REF!</definedName>
    <definedName name="外部資料_8033" localSheetId="2">紅綠燈!#REF!</definedName>
    <definedName name="外部資料_8035" localSheetId="2">紅綠燈!#REF!</definedName>
    <definedName name="外部資料_8036" localSheetId="2">紅綠燈!#REF!</definedName>
    <definedName name="外部資料_8037" localSheetId="2">紅綠燈!#REF!</definedName>
    <definedName name="外部資料_8039" localSheetId="2">紅綠燈!#REF!</definedName>
    <definedName name="外部資料_804" localSheetId="4">評比系統!$T$1:$T$3</definedName>
    <definedName name="外部資料_8040" localSheetId="2">紅綠燈!#REF!</definedName>
    <definedName name="外部資料_8041" localSheetId="2">紅綠燈!#REF!</definedName>
    <definedName name="外部資料_8043" localSheetId="2">紅綠燈!#REF!</definedName>
    <definedName name="外部資料_8044" localSheetId="2">紅綠燈!#REF!</definedName>
    <definedName name="外部資料_8045" localSheetId="2">紅綠燈!#REF!</definedName>
    <definedName name="外部資料_8047" localSheetId="2">紅綠燈!#REF!</definedName>
    <definedName name="外部資料_8048" localSheetId="2">紅綠燈!#REF!</definedName>
    <definedName name="外部資料_8049" localSheetId="2">紅綠燈!#REF!</definedName>
    <definedName name="外部資料_805" localSheetId="4">評比系統!$T$1:$T$3</definedName>
    <definedName name="外部資料_8051" localSheetId="2">紅綠燈!#REF!</definedName>
    <definedName name="外部資料_8052" localSheetId="2">紅綠燈!#REF!</definedName>
    <definedName name="外部資料_8053" localSheetId="2">紅綠燈!#REF!</definedName>
    <definedName name="外部資料_8055" localSheetId="2">紅綠燈!#REF!</definedName>
    <definedName name="外部資料_8056" localSheetId="2">紅綠燈!#REF!</definedName>
    <definedName name="外部資料_8057" localSheetId="2">紅綠燈!#REF!</definedName>
    <definedName name="外部資料_8059" localSheetId="2">紅綠燈!#REF!</definedName>
    <definedName name="外部資料_806" localSheetId="4">評比系統!$T$1:$T$3</definedName>
    <definedName name="外部資料_8060" localSheetId="2">紅綠燈!#REF!</definedName>
    <definedName name="外部資料_8061" localSheetId="2">紅綠燈!#REF!</definedName>
    <definedName name="外部資料_8063" localSheetId="2">紅綠燈!#REF!</definedName>
    <definedName name="外部資料_8064" localSheetId="2">紅綠燈!#REF!</definedName>
    <definedName name="外部資料_8065" localSheetId="2">紅綠燈!#REF!</definedName>
    <definedName name="外部資料_8067" localSheetId="2">紅綠燈!#REF!</definedName>
    <definedName name="外部資料_8068" localSheetId="2">紅綠燈!#REF!</definedName>
    <definedName name="外部資料_8069" localSheetId="2">紅綠燈!#REF!</definedName>
    <definedName name="外部資料_807" localSheetId="4">評比系統!$T$1:$T$3</definedName>
    <definedName name="外部資料_8071" localSheetId="2">紅綠燈!#REF!</definedName>
    <definedName name="外部資料_8072" localSheetId="2">紅綠燈!#REF!</definedName>
    <definedName name="外部資料_8073" localSheetId="2">紅綠燈!#REF!</definedName>
    <definedName name="外部資料_8075" localSheetId="2">紅綠燈!#REF!</definedName>
    <definedName name="外部資料_8076" localSheetId="2">紅綠燈!#REF!</definedName>
    <definedName name="外部資料_8077" localSheetId="2">紅綠燈!#REF!</definedName>
    <definedName name="外部資料_8079" localSheetId="2">紅綠燈!#REF!</definedName>
    <definedName name="外部資料_808" localSheetId="4">評比系統!$T$1:$T$3</definedName>
    <definedName name="外部資料_8080" localSheetId="2">紅綠燈!#REF!</definedName>
    <definedName name="外部資料_8081" localSheetId="2">紅綠燈!#REF!</definedName>
    <definedName name="外部資料_8083" localSheetId="2">紅綠燈!#REF!</definedName>
    <definedName name="外部資料_8084" localSheetId="2">紅綠燈!#REF!</definedName>
    <definedName name="外部資料_8085" localSheetId="2">紅綠燈!#REF!</definedName>
    <definedName name="外部資料_8087" localSheetId="2">紅綠燈!#REF!</definedName>
    <definedName name="外部資料_8088" localSheetId="2">紅綠燈!#REF!</definedName>
    <definedName name="外部資料_8089" localSheetId="2">紅綠燈!#REF!</definedName>
    <definedName name="外部資料_809" localSheetId="4">評比系統!$T$1:$T$3</definedName>
    <definedName name="外部資料_8091" localSheetId="2">紅綠燈!#REF!</definedName>
    <definedName name="外部資料_8092" localSheetId="2">紅綠燈!#REF!</definedName>
    <definedName name="外部資料_8093" localSheetId="2">紅綠燈!#REF!</definedName>
    <definedName name="外部資料_8095" localSheetId="2">紅綠燈!#REF!</definedName>
    <definedName name="外部資料_8096" localSheetId="2">紅綠燈!#REF!</definedName>
    <definedName name="外部資料_8097" localSheetId="2">紅綠燈!#REF!</definedName>
    <definedName name="外部資料_8099" localSheetId="2">紅綠燈!#REF!</definedName>
    <definedName name="外部資料_81" localSheetId="15">PKA!#REF!</definedName>
    <definedName name="外部資料_81" localSheetId="16">PKB!#REF!</definedName>
    <definedName name="外部資料_81" localSheetId="17">PKC!#REF!</definedName>
    <definedName name="外部資料_81" localSheetId="8">PSR!#REF!</definedName>
    <definedName name="外部資料_81" localSheetId="4">評比系統!$T$1:$T$3</definedName>
    <definedName name="外部資料_81" localSheetId="18">福邦!#REF!</definedName>
    <definedName name="外部資料_81" localSheetId="7">營收搶先報!#REF!</definedName>
    <definedName name="外部資料_810" localSheetId="4">評比系統!$T$1:$T$3</definedName>
    <definedName name="外部資料_8100" localSheetId="2">紅綠燈!#REF!</definedName>
    <definedName name="外部資料_8101" localSheetId="2">紅綠燈!#REF!</definedName>
    <definedName name="外部資料_8103" localSheetId="2">紅綠燈!#REF!</definedName>
    <definedName name="外部資料_8104" localSheetId="2">紅綠燈!#REF!</definedName>
    <definedName name="外部資料_8105" localSheetId="2">紅綠燈!#REF!</definedName>
    <definedName name="外部資料_8107" localSheetId="2">紅綠燈!#REF!</definedName>
    <definedName name="外部資料_8108" localSheetId="2">紅綠燈!#REF!</definedName>
    <definedName name="外部資料_8109" localSheetId="2">紅綠燈!#REF!</definedName>
    <definedName name="外部資料_811" localSheetId="4">評比系統!$T$1:$T$3</definedName>
    <definedName name="外部資料_8111" localSheetId="2">紅綠燈!#REF!</definedName>
    <definedName name="外部資料_8112" localSheetId="2">紅綠燈!#REF!</definedName>
    <definedName name="外部資料_8113" localSheetId="2">紅綠燈!#REF!</definedName>
    <definedName name="外部資料_8115" localSheetId="2">紅綠燈!#REF!</definedName>
    <definedName name="外部資料_8116" localSheetId="2">紅綠燈!#REF!</definedName>
    <definedName name="外部資料_8117" localSheetId="2">紅綠燈!#REF!</definedName>
    <definedName name="外部資料_8119" localSheetId="2">紅綠燈!#REF!</definedName>
    <definedName name="外部資料_812" localSheetId="4">評比系統!$T$1:$T$3</definedName>
    <definedName name="外部資料_8120" localSheetId="2">紅綠燈!#REF!</definedName>
    <definedName name="外部資料_8121" localSheetId="2">紅綠燈!#REF!</definedName>
    <definedName name="外部資料_8123" localSheetId="2">紅綠燈!#REF!</definedName>
    <definedName name="外部資料_8124" localSheetId="2">紅綠燈!#REF!</definedName>
    <definedName name="外部資料_8125" localSheetId="2">紅綠燈!#REF!</definedName>
    <definedName name="外部資料_8127" localSheetId="2">紅綠燈!#REF!</definedName>
    <definedName name="外部資料_8128" localSheetId="2">紅綠燈!#REF!</definedName>
    <definedName name="外部資料_813" localSheetId="4">評比系統!$T$1:$T$3</definedName>
    <definedName name="外部資料_8130" localSheetId="2">紅綠燈!#REF!</definedName>
    <definedName name="外部資料_8131" localSheetId="2">紅綠燈!#REF!</definedName>
    <definedName name="外部資料_8132" localSheetId="2">紅綠燈!#REF!</definedName>
    <definedName name="外部資料_8134" localSheetId="2">紅綠燈!#REF!</definedName>
    <definedName name="外部資料_8135" localSheetId="2">紅綠燈!#REF!</definedName>
    <definedName name="外部資料_8136" localSheetId="2">紅綠燈!#REF!</definedName>
    <definedName name="外部資料_8138" localSheetId="2">紅綠燈!#REF!</definedName>
    <definedName name="外部資料_8139" localSheetId="2">紅綠燈!#REF!</definedName>
    <definedName name="外部資料_814" localSheetId="4">評比系統!$T$1:$T$3</definedName>
    <definedName name="外部資料_8140" localSheetId="2">紅綠燈!#REF!</definedName>
    <definedName name="外部資料_8142" localSheetId="2">紅綠燈!#REF!</definedName>
    <definedName name="外部資料_8143" localSheetId="2">紅綠燈!#REF!</definedName>
    <definedName name="外部資料_8145" localSheetId="2">紅綠燈!#REF!</definedName>
    <definedName name="外部資料_8146" localSheetId="2">紅綠燈!#REF!</definedName>
    <definedName name="外部資料_8147" localSheetId="2">紅綠燈!#REF!</definedName>
    <definedName name="外部資料_8149" localSheetId="2">紅綠燈!#REF!</definedName>
    <definedName name="外部資料_815" localSheetId="4">評比系統!$T$1:$T$3</definedName>
    <definedName name="外部資料_8150" localSheetId="2">紅綠燈!#REF!</definedName>
    <definedName name="外部資料_8151" localSheetId="2">紅綠燈!#REF!</definedName>
    <definedName name="外部資料_8153" localSheetId="2">紅綠燈!#REF!</definedName>
    <definedName name="外部資料_8154" localSheetId="2">紅綠燈!#REF!</definedName>
    <definedName name="外部資料_8155" localSheetId="2">紅綠燈!#REF!</definedName>
    <definedName name="外部資料_8157" localSheetId="2">紅綠燈!#REF!</definedName>
    <definedName name="外部資料_8158" localSheetId="2">紅綠燈!#REF!</definedName>
    <definedName name="外部資料_8159" localSheetId="2">紅綠燈!#REF!</definedName>
    <definedName name="外部資料_816" localSheetId="4">評比系統!$T$1:$T$3</definedName>
    <definedName name="外部資料_8161" localSheetId="2">紅綠燈!#REF!</definedName>
    <definedName name="外部資料_8162" localSheetId="2">紅綠燈!#REF!</definedName>
    <definedName name="外部資料_8163" localSheetId="2">紅綠燈!#REF!</definedName>
    <definedName name="外部資料_8165" localSheetId="2">紅綠燈!#REF!</definedName>
    <definedName name="外部資料_8166" localSheetId="2">紅綠燈!#REF!</definedName>
    <definedName name="外部資料_8167" localSheetId="2">紅綠燈!#REF!</definedName>
    <definedName name="外部資料_8169" localSheetId="2">紅綠燈!#REF!</definedName>
    <definedName name="外部資料_817" localSheetId="4">評比系統!$T$1:$T$3</definedName>
    <definedName name="外部資料_8170" localSheetId="2">紅綠燈!#REF!</definedName>
    <definedName name="外部資料_8171" localSheetId="2">紅綠燈!#REF!</definedName>
    <definedName name="外部資料_8173" localSheetId="2">紅綠燈!#REF!</definedName>
    <definedName name="外部資料_8174" localSheetId="2">紅綠燈!#REF!</definedName>
    <definedName name="外部資料_8175" localSheetId="2">紅綠燈!#REF!</definedName>
    <definedName name="外部資料_8177" localSheetId="2">紅綠燈!#REF!</definedName>
    <definedName name="外部資料_8178" localSheetId="2">紅綠燈!#REF!</definedName>
    <definedName name="外部資料_8179" localSheetId="2">紅綠燈!#REF!</definedName>
    <definedName name="外部資料_818" localSheetId="4">評比系統!$T$1:$T$3</definedName>
    <definedName name="外部資料_8181" localSheetId="2">紅綠燈!#REF!</definedName>
    <definedName name="外部資料_8182" localSheetId="2">紅綠燈!#REF!</definedName>
    <definedName name="外部資料_8183" localSheetId="2">紅綠燈!#REF!</definedName>
    <definedName name="外部資料_8185" localSheetId="2">紅綠燈!#REF!</definedName>
    <definedName name="外部資料_8186" localSheetId="2">紅綠燈!#REF!</definedName>
    <definedName name="外部資料_8187" localSheetId="2">紅綠燈!#REF!</definedName>
    <definedName name="外部資料_819" localSheetId="4">評比系統!$T$1:$T$3</definedName>
    <definedName name="外部資料_82" localSheetId="15">PKA!#REF!</definedName>
    <definedName name="外部資料_82" localSheetId="16">PKB!#REF!</definedName>
    <definedName name="外部資料_82" localSheetId="17">PKC!#REF!</definedName>
    <definedName name="外部資料_82" localSheetId="8">PSR!#REF!</definedName>
    <definedName name="外部資料_82" localSheetId="4">評比系統!$T$1:$T$3</definedName>
    <definedName name="外部資料_82" localSheetId="18">福邦!#REF!</definedName>
    <definedName name="外部資料_82" localSheetId="7">營收搶先報!#REF!</definedName>
    <definedName name="外部資料_820" localSheetId="4">評比系統!$T$1:$T$3</definedName>
    <definedName name="外部資料_821" localSheetId="4">評比系統!$T$1:$T$3</definedName>
    <definedName name="外部資料_822" localSheetId="4">評比系統!$T$1:$T$3</definedName>
    <definedName name="外部資料_823" localSheetId="4">評比系統!$T$1:$T$3</definedName>
    <definedName name="外部資料_824" localSheetId="4">評比系統!$T$1:$T$3</definedName>
    <definedName name="外部資料_825" localSheetId="4">評比系統!$T$1:$T$3</definedName>
    <definedName name="外部資料_826" localSheetId="4">評比系統!$T$1:$T$3</definedName>
    <definedName name="外部資料_827" localSheetId="4">評比系統!$T$1:$T$3</definedName>
    <definedName name="外部資料_828" localSheetId="4">評比系統!$T$1:$T$3</definedName>
    <definedName name="外部資料_829" localSheetId="4">評比系統!$T$1:$T$3</definedName>
    <definedName name="外部資料_83" localSheetId="15">PKA!#REF!</definedName>
    <definedName name="外部資料_83" localSheetId="16">PKB!#REF!</definedName>
    <definedName name="外部資料_83" localSheetId="17">PKC!#REF!</definedName>
    <definedName name="外部資料_83" localSheetId="8">PSR!#REF!</definedName>
    <definedName name="外部資料_83" localSheetId="4">評比系統!$T$1:$T$3</definedName>
    <definedName name="外部資料_83" localSheetId="18">福邦!#REF!</definedName>
    <definedName name="外部資料_83" localSheetId="5">篩股系統!#REF!</definedName>
    <definedName name="外部資料_83" localSheetId="7">營收搶先報!#REF!</definedName>
    <definedName name="外部資料_830" localSheetId="4">評比系統!$T$1:$T$3</definedName>
    <definedName name="外部資料_831" localSheetId="4">評比系統!$T$1:$T$3</definedName>
    <definedName name="外部資料_832" localSheetId="4">評比系統!$T$1:$T$3</definedName>
    <definedName name="外部資料_833" localSheetId="4">評比系統!$T$1:$T$3</definedName>
    <definedName name="外部資料_834" localSheetId="4">評比系統!$T$1:$T$3</definedName>
    <definedName name="外部資料_835" localSheetId="4">評比系統!$T$1:$T$3</definedName>
    <definedName name="外部資料_836" localSheetId="4">評比系統!$T$1:$T$3</definedName>
    <definedName name="外部資料_837" localSheetId="4">評比系統!$T$1:$T$3</definedName>
    <definedName name="外部資料_838" localSheetId="4">評比系統!$T$1:$T$3</definedName>
    <definedName name="外部資料_839" localSheetId="4">評比系統!$T$1:$T$3</definedName>
    <definedName name="外部資料_84" localSheetId="15">PKA!#REF!</definedName>
    <definedName name="外部資料_84" localSheetId="16">PKB!#REF!</definedName>
    <definedName name="外部資料_84" localSheetId="17">PKC!#REF!</definedName>
    <definedName name="外部資料_84" localSheetId="8">PSR!#REF!</definedName>
    <definedName name="外部資料_84" localSheetId="4">評比系統!$T$1:$T$3</definedName>
    <definedName name="外部資料_84" localSheetId="18">福邦!#REF!</definedName>
    <definedName name="外部資料_84" localSheetId="7">營收搶先報!#REF!</definedName>
    <definedName name="外部資料_840" localSheetId="4">評比系統!$T$1:$T$3</definedName>
    <definedName name="外部資料_841" localSheetId="4">評比系統!$T$1:$T$3</definedName>
    <definedName name="外部資料_842" localSheetId="4">評比系統!$T$1:$T$3</definedName>
    <definedName name="外部資料_843" localSheetId="4">評比系統!$T$1:$T$3</definedName>
    <definedName name="外部資料_844" localSheetId="4">評比系統!$T$1:$T$3</definedName>
    <definedName name="外部資料_845" localSheetId="4">評比系統!$T$1:$T$3</definedName>
    <definedName name="外部資料_846" localSheetId="4">評比系統!$T$1:$T$3</definedName>
    <definedName name="外部資料_847" localSheetId="4">評比系統!$T$1:$T$3</definedName>
    <definedName name="外部資料_848" localSheetId="4">評比系統!$T$1:$T$3</definedName>
    <definedName name="外部資料_849" localSheetId="4">評比系統!$T$1:$T$3</definedName>
    <definedName name="外部資料_85" localSheetId="15">PKA!#REF!</definedName>
    <definedName name="外部資料_85" localSheetId="16">PKB!#REF!</definedName>
    <definedName name="外部資料_85" localSheetId="17">PKC!#REF!</definedName>
    <definedName name="外部資料_85" localSheetId="8">PSR!#REF!</definedName>
    <definedName name="外部資料_85" localSheetId="4">評比系統!$T$1:$T$3</definedName>
    <definedName name="外部資料_85" localSheetId="18">福邦!#REF!</definedName>
    <definedName name="外部資料_85" localSheetId="7">營收搶先報!#REF!</definedName>
    <definedName name="外部資料_850" localSheetId="4">評比系統!$T$1:$T$3</definedName>
    <definedName name="外部資料_851" localSheetId="4">評比系統!$T$1:$T$3</definedName>
    <definedName name="外部資料_852" localSheetId="4">評比系統!$T$1:$T$3</definedName>
    <definedName name="外部資料_853" localSheetId="4">評比系統!$T$1:$T$3</definedName>
    <definedName name="外部資料_854" localSheetId="4">評比系統!$T$1:$T$3</definedName>
    <definedName name="外部資料_855" localSheetId="4">評比系統!$T$1:$T$3</definedName>
    <definedName name="外部資料_856" localSheetId="4">評比系統!$T$1:$T$3</definedName>
    <definedName name="外部資料_857" localSheetId="4">評比系統!$T$1:$T$3</definedName>
    <definedName name="外部資料_858" localSheetId="4">評比系統!$T$1:$T$3</definedName>
    <definedName name="外部資料_859" localSheetId="4">評比系統!$T$1:$T$3</definedName>
    <definedName name="外部資料_86" localSheetId="15">PKA!#REF!</definedName>
    <definedName name="外部資料_86" localSheetId="16">PKB!#REF!</definedName>
    <definedName name="外部資料_86" localSheetId="17">PKC!#REF!</definedName>
    <definedName name="外部資料_86" localSheetId="8">PSR!#REF!</definedName>
    <definedName name="外部資料_86" localSheetId="4">評比系統!$T$1:$T$3</definedName>
    <definedName name="外部資料_86" localSheetId="18">福邦!#REF!</definedName>
    <definedName name="外部資料_86" localSheetId="7">營收搶先報!#REF!</definedName>
    <definedName name="外部資料_860" localSheetId="4">評比系統!$T$1:$T$3</definedName>
    <definedName name="外部資料_861" localSheetId="4">評比系統!$T$1:$T$3</definedName>
    <definedName name="外部資料_862" localSheetId="4">評比系統!$T$1:$T$3</definedName>
    <definedName name="外部資料_863" localSheetId="4">評比系統!$T$1:$T$3</definedName>
    <definedName name="外部資料_864" localSheetId="4">評比系統!$T$1:$T$3</definedName>
    <definedName name="外部資料_865" localSheetId="4">評比系統!$T$1:$T$3</definedName>
    <definedName name="外部資料_866" localSheetId="4">評比系統!$T$1:$T$3</definedName>
    <definedName name="外部資料_867" localSheetId="4">評比系統!$T$1:$T$3</definedName>
    <definedName name="外部資料_868" localSheetId="4">評比系統!$T$1:$T$3</definedName>
    <definedName name="外部資料_869" localSheetId="4">評比系統!$T$1:$T$3</definedName>
    <definedName name="外部資料_87" localSheetId="15">PKA!#REF!</definedName>
    <definedName name="外部資料_87" localSheetId="16">PKB!#REF!</definedName>
    <definedName name="外部資料_87" localSheetId="17">PKC!#REF!</definedName>
    <definedName name="外部資料_87" localSheetId="8">PSR!#REF!</definedName>
    <definedName name="外部資料_87" localSheetId="4">評比系統!$T$1:$T$3</definedName>
    <definedName name="外部資料_87" localSheetId="18">福邦!#REF!</definedName>
    <definedName name="外部資料_87" localSheetId="7">營收搶先報!#REF!</definedName>
    <definedName name="外部資料_870" localSheetId="4">評比系統!$T$1:$T$3</definedName>
    <definedName name="外部資料_871" localSheetId="4">評比系統!$T$1:$T$3</definedName>
    <definedName name="外部資料_872" localSheetId="4">評比系統!$T$1:$T$3</definedName>
    <definedName name="外部資料_873" localSheetId="4">評比系統!$T$1:$T$3</definedName>
    <definedName name="外部資料_874" localSheetId="4">評比系統!$T$1:$T$3</definedName>
    <definedName name="外部資料_875" localSheetId="4">評比系統!$T$1:$T$3</definedName>
    <definedName name="外部資料_876" localSheetId="4">評比系統!$T$1:$T$3</definedName>
    <definedName name="外部資料_877" localSheetId="4">評比系統!$T$1:$T$3</definedName>
    <definedName name="外部資料_878" localSheetId="4">評比系統!$T$1:$T$3</definedName>
    <definedName name="外部資料_879" localSheetId="4">評比系統!$T$1:$T$3</definedName>
    <definedName name="外部資料_88" localSheetId="15">PKA!#REF!</definedName>
    <definedName name="外部資料_88" localSheetId="16">PKB!#REF!</definedName>
    <definedName name="外部資料_88" localSheetId="17">PKC!#REF!</definedName>
    <definedName name="外部資料_88" localSheetId="8">PSR!#REF!</definedName>
    <definedName name="外部資料_88" localSheetId="4">評比系統!$T$1:$T$3</definedName>
    <definedName name="外部資料_88" localSheetId="18">福邦!#REF!</definedName>
    <definedName name="外部資料_88" localSheetId="7">營收搶先報!#REF!</definedName>
    <definedName name="外部資料_880" localSheetId="4">評比系統!$T$1:$T$3</definedName>
    <definedName name="外部資料_881" localSheetId="4">評比系統!$T$1:$T$3</definedName>
    <definedName name="外部資料_882" localSheetId="2">紅綠燈!#REF!</definedName>
    <definedName name="外部資料_882" localSheetId="4">評比系統!$T$1:$T$33</definedName>
    <definedName name="外部資料_883" localSheetId="4">評比系統!$T$1:$T$3</definedName>
    <definedName name="外部資料_884" localSheetId="4">評比系統!$T$1:$T$3</definedName>
    <definedName name="外部資料_885" localSheetId="4">評比系統!$T$1:$T$3</definedName>
    <definedName name="外部資料_886" localSheetId="4">評比系統!$T$1:$T$3</definedName>
    <definedName name="外部資料_887" localSheetId="4">評比系統!$T$1:$T$3</definedName>
    <definedName name="外部資料_888" localSheetId="4">評比系統!$T$1:$T$3</definedName>
    <definedName name="外部資料_889" localSheetId="4">評比系統!$T$1:$T$3</definedName>
    <definedName name="外部資料_89" localSheetId="15">PKA!#REF!</definedName>
    <definedName name="外部資料_89" localSheetId="16">PKB!#REF!</definedName>
    <definedName name="外部資料_89" localSheetId="17">PKC!#REF!</definedName>
    <definedName name="外部資料_89" localSheetId="8">PSR!#REF!</definedName>
    <definedName name="外部資料_89" localSheetId="4">評比系統!$T$1:$T$3</definedName>
    <definedName name="外部資料_89" localSheetId="18">福邦!#REF!</definedName>
    <definedName name="外部資料_89" localSheetId="7">營收搶先報!#REF!</definedName>
    <definedName name="外部資料_890" localSheetId="4">評比系統!$T$1:$T$3</definedName>
    <definedName name="外部資料_891" localSheetId="4">評比系統!$T$1:$T$3</definedName>
    <definedName name="外部資料_892" localSheetId="4">評比系統!$T$1:$T$3</definedName>
    <definedName name="外部資料_893" localSheetId="4">評比系統!$T$1:$T$3</definedName>
    <definedName name="外部資料_894" localSheetId="4">評比系統!$T$1:$T$3</definedName>
    <definedName name="外部資料_895" localSheetId="4">評比系統!$T$1:$T$3</definedName>
    <definedName name="外部資料_896" localSheetId="4">評比系統!$T$1:$T$3</definedName>
    <definedName name="外部資料_897" localSheetId="4">評比系統!$T$1:$T$3</definedName>
    <definedName name="外部資料_898" localSheetId="4">評比系統!$T$1:$T$3</definedName>
    <definedName name="外部資料_899" localSheetId="4">評比系統!$T$1:$T$3</definedName>
    <definedName name="外部資料_9" localSheetId="15">PKA!#REF!</definedName>
    <definedName name="外部資料_9" localSheetId="16">PKB!#REF!</definedName>
    <definedName name="外部資料_9" localSheetId="17">PKC!#REF!</definedName>
    <definedName name="外部資料_9" localSheetId="8">PSR!#REF!</definedName>
    <definedName name="外部資料_9" localSheetId="2">紅綠燈!#REF!</definedName>
    <definedName name="外部資料_9" localSheetId="4">評比系統!#REF!</definedName>
    <definedName name="外部資料_9" localSheetId="18">福邦!#REF!</definedName>
    <definedName name="外部資料_9" localSheetId="5">篩股系統!#REF!</definedName>
    <definedName name="外部資料_9" localSheetId="7">營收搶先報!#REF!</definedName>
    <definedName name="外部資料_90" localSheetId="15">PKA!#REF!</definedName>
    <definedName name="外部資料_90" localSheetId="16">PKB!#REF!</definedName>
    <definedName name="外部資料_90" localSheetId="17">PKC!#REF!</definedName>
    <definedName name="外部資料_90" localSheetId="8">PSR!#REF!</definedName>
    <definedName name="外部資料_90" localSheetId="4">評比系統!$T$1:$T$3</definedName>
    <definedName name="外部資料_90" localSheetId="18">福邦!#REF!</definedName>
    <definedName name="外部資料_90" localSheetId="7">營收搶先報!#REF!</definedName>
    <definedName name="外部資料_900" localSheetId="4">評比系統!$T$1:$T$3</definedName>
    <definedName name="外部資料_901" localSheetId="4">評比系統!$T$1:$T$3</definedName>
    <definedName name="外部資料_902" localSheetId="4">評比系統!$T$1:$T$3</definedName>
    <definedName name="外部資料_903" localSheetId="4">評比系統!$T$1:$T$3</definedName>
    <definedName name="外部資料_904" localSheetId="4">評比系統!$T$1:$T$3</definedName>
    <definedName name="外部資料_905" localSheetId="4">評比系統!$T$1:$T$3</definedName>
    <definedName name="外部資料_906" localSheetId="4">評比系統!$T$1:$T$3</definedName>
    <definedName name="外部資料_907" localSheetId="4">評比系統!$T$1:$T$3</definedName>
    <definedName name="外部資料_908" localSheetId="4">評比系統!$T$1:$T$3</definedName>
    <definedName name="外部資料_909" localSheetId="4">評比系統!$T$1:$T$3</definedName>
    <definedName name="外部資料_91" localSheetId="15">PKA!#REF!</definedName>
    <definedName name="外部資料_91" localSheetId="16">PKB!#REF!</definedName>
    <definedName name="外部資料_91" localSheetId="17">PKC!#REF!</definedName>
    <definedName name="外部資料_91" localSheetId="8">PSR!#REF!</definedName>
    <definedName name="外部資料_91" localSheetId="4">評比系統!$T$1:$T$3</definedName>
    <definedName name="外部資料_91" localSheetId="18">福邦!#REF!</definedName>
    <definedName name="外部資料_91" localSheetId="7">營收搶先報!#REF!</definedName>
    <definedName name="外部資料_910" localSheetId="4">評比系統!$T$1:$T$3</definedName>
    <definedName name="外部資料_911" localSheetId="4">評比系統!$T$1:$T$3</definedName>
    <definedName name="外部資料_912" localSheetId="4">評比系統!$T$1:$T$3</definedName>
    <definedName name="外部資料_913" localSheetId="4">評比系統!$T$1:$T$3</definedName>
    <definedName name="外部資料_914" localSheetId="4">評比系統!$T$1:$T$3</definedName>
    <definedName name="外部資料_915" localSheetId="4">評比系統!$T$1:$T$3</definedName>
    <definedName name="外部資料_916" localSheetId="4">評比系統!$T$1:$T$3</definedName>
    <definedName name="外部資料_917" localSheetId="4">評比系統!$T$1:$T$3</definedName>
    <definedName name="外部資料_918" localSheetId="4">評比系統!$T$1:$T$3</definedName>
    <definedName name="外部資料_919" localSheetId="4">評比系統!$T$1:$T$3</definedName>
    <definedName name="外部資料_92" localSheetId="15">PKA!#REF!</definedName>
    <definedName name="外部資料_92" localSheetId="16">PKB!#REF!</definedName>
    <definedName name="外部資料_92" localSheetId="17">PKC!#REF!</definedName>
    <definedName name="外部資料_92" localSheetId="8">PSR!#REF!</definedName>
    <definedName name="外部資料_92" localSheetId="4">評比系統!$T$1:$T$3</definedName>
    <definedName name="外部資料_92" localSheetId="18">福邦!#REF!</definedName>
    <definedName name="外部資料_92" localSheetId="7">營收搶先報!#REF!</definedName>
    <definedName name="外部資料_920" localSheetId="4">評比系統!$T$1:$T$3</definedName>
    <definedName name="外部資料_921" localSheetId="4">評比系統!$T$1:$T$3</definedName>
    <definedName name="外部資料_922" localSheetId="4">評比系統!$T$1:$T$3</definedName>
    <definedName name="外部資料_923" localSheetId="4">評比系統!$T$1:$T$3</definedName>
    <definedName name="外部資料_924" localSheetId="4">評比系統!$T$1:$T$3</definedName>
    <definedName name="外部資料_925" localSheetId="4">評比系統!$T$1:$T$3</definedName>
    <definedName name="外部資料_926" localSheetId="4">評比系統!$T$1:$T$3</definedName>
    <definedName name="外部資料_927" localSheetId="4">評比系統!$T$1:$T$3</definedName>
    <definedName name="外部資料_928" localSheetId="4">評比系統!$T$1:$T$3</definedName>
    <definedName name="外部資料_929" localSheetId="4">評比系統!$T$1:$T$3</definedName>
    <definedName name="外部資料_93" localSheetId="15">PKA!#REF!</definedName>
    <definedName name="外部資料_93" localSheetId="16">PKB!#REF!</definedName>
    <definedName name="外部資料_93" localSheetId="17">PKC!#REF!</definedName>
    <definedName name="外部資料_93" localSheetId="8">PSR!#REF!</definedName>
    <definedName name="外部資料_93" localSheetId="4">評比系統!$T$1:$T$3</definedName>
    <definedName name="外部資料_93" localSheetId="18">福邦!#REF!</definedName>
    <definedName name="外部資料_93" localSheetId="7">營收搶先報!#REF!</definedName>
    <definedName name="外部資料_930" localSheetId="4">評比系統!$T$1:$T$3</definedName>
    <definedName name="外部資料_931" localSheetId="4">評比系統!$T$1:$T$3</definedName>
    <definedName name="外部資料_932" localSheetId="4">評比系統!$T$1:$T$3</definedName>
    <definedName name="外部資料_933" localSheetId="4">評比系統!$T$1:$T$3</definedName>
    <definedName name="外部資料_934" localSheetId="4">評比系統!$T$1:$T$3</definedName>
    <definedName name="外部資料_935" localSheetId="4">評比系統!$T$1:$T$3</definedName>
    <definedName name="外部資料_936" localSheetId="4">評比系統!$T$1:$T$3</definedName>
    <definedName name="外部資料_937" localSheetId="4">評比系統!$T$1:$T$3</definedName>
    <definedName name="外部資料_938" localSheetId="2">紅綠燈!#REF!</definedName>
    <definedName name="外部資料_939" localSheetId="4">評比系統!$T$1:$T$3</definedName>
    <definedName name="外部資料_94" localSheetId="15">PKA!#REF!</definedName>
    <definedName name="外部資料_94" localSheetId="16">PKB!#REF!</definedName>
    <definedName name="外部資料_94" localSheetId="17">PKC!#REF!</definedName>
    <definedName name="外部資料_94" localSheetId="8">PSR!#REF!</definedName>
    <definedName name="外部資料_94" localSheetId="4">評比系統!$T$1:$T$3</definedName>
    <definedName name="外部資料_94" localSheetId="18">福邦!#REF!</definedName>
    <definedName name="外部資料_94" localSheetId="7">營收搶先報!#REF!</definedName>
    <definedName name="外部資料_940" localSheetId="4">評比系統!$T$1:$T$3</definedName>
    <definedName name="外部資料_941" localSheetId="4">評比系統!$T$1:$T$3</definedName>
    <definedName name="外部資料_942" localSheetId="4">評比系統!$T$1:$T$3</definedName>
    <definedName name="外部資料_943" localSheetId="4">評比系統!$T$1:$T$3</definedName>
    <definedName name="外部資料_944" localSheetId="4">評比系統!$T$1:$T$3</definedName>
    <definedName name="外部資料_945" localSheetId="4">評比系統!$T$1:$T$3</definedName>
    <definedName name="外部資料_946" localSheetId="4">評比系統!$T$1:$T$3</definedName>
    <definedName name="外部資料_947" localSheetId="4">評比系統!$T$1:$T$3</definedName>
    <definedName name="外部資料_948" localSheetId="4">評比系統!$T$1:$T$3</definedName>
    <definedName name="外部資料_949" localSheetId="4">評比系統!$T$1:$T$3</definedName>
    <definedName name="外部資料_95" localSheetId="15">PKA!#REF!</definedName>
    <definedName name="外部資料_95" localSheetId="16">PKB!#REF!</definedName>
    <definedName name="外部資料_95" localSheetId="17">PKC!#REF!</definedName>
    <definedName name="外部資料_95" localSheetId="8">PSR!#REF!</definedName>
    <definedName name="外部資料_95" localSheetId="4">評比系統!$T$1:$T$3</definedName>
    <definedName name="外部資料_95" localSheetId="18">福邦!#REF!</definedName>
    <definedName name="外部資料_95" localSheetId="7">營收搶先報!#REF!</definedName>
    <definedName name="外部資料_950" localSheetId="4">評比系統!$T$1:$T$3</definedName>
    <definedName name="外部資料_951" localSheetId="4">評比系統!$T$1:$T$3</definedName>
    <definedName name="外部資料_952" localSheetId="4">評比系統!$T$1:$T$3</definedName>
    <definedName name="外部資料_953" localSheetId="4">評比系統!$T$1:$T$3</definedName>
    <definedName name="外部資料_954" localSheetId="4">評比系統!$T$1:$T$3</definedName>
    <definedName name="外部資料_955" localSheetId="4">評比系統!$T$1:$T$3</definedName>
    <definedName name="外部資料_956" localSheetId="4">評比系統!$T$1:$T$3</definedName>
    <definedName name="外部資料_957" localSheetId="4">評比系統!$T$1:$T$3</definedName>
    <definedName name="外部資料_958" localSheetId="4">評比系統!$T$1:$T$3</definedName>
    <definedName name="外部資料_959" localSheetId="4">評比系統!$T$1:$T$3</definedName>
    <definedName name="外部資料_96" localSheetId="15">PKA!#REF!</definedName>
    <definedName name="外部資料_96" localSheetId="16">PKB!#REF!</definedName>
    <definedName name="外部資料_96" localSheetId="17">PKC!#REF!</definedName>
    <definedName name="外部資料_96" localSheetId="8">PSR!#REF!</definedName>
    <definedName name="外部資料_96" localSheetId="4">評比系統!$T$1:$T$3</definedName>
    <definedName name="外部資料_96" localSheetId="18">福邦!#REF!</definedName>
    <definedName name="外部資料_96" localSheetId="7">營收搶先報!#REF!</definedName>
    <definedName name="外部資料_960" localSheetId="4">評比系統!$T$1:$T$3</definedName>
    <definedName name="外部資料_961" localSheetId="4">評比系統!$T$1:$T$3</definedName>
    <definedName name="外部資料_962" localSheetId="4">評比系統!$T$1:$T$3</definedName>
    <definedName name="外部資料_963" localSheetId="4">評比系統!$T$1:$T$3</definedName>
    <definedName name="外部資料_964" localSheetId="4">評比系統!$T$1:$T$3</definedName>
    <definedName name="外部資料_965" localSheetId="4">評比系統!$T$1:$T$3</definedName>
    <definedName name="外部資料_966" localSheetId="4">評比系統!$T$1:$T$3</definedName>
    <definedName name="外部資料_967" localSheetId="4">評比系統!$T$1:$T$3</definedName>
    <definedName name="外部資料_968" localSheetId="2">紅綠燈!#REF!</definedName>
    <definedName name="外部資料_969" localSheetId="4">評比系統!$T$1:$T$3</definedName>
    <definedName name="外部資料_97" localSheetId="15">PKA!#REF!</definedName>
    <definedName name="外部資料_97" localSheetId="16">PKB!#REF!</definedName>
    <definedName name="外部資料_97" localSheetId="17">PKC!#REF!</definedName>
    <definedName name="外部資料_97" localSheetId="8">PSR!#REF!</definedName>
    <definedName name="外部資料_97" localSheetId="4">評比系統!$T$1:$T$3</definedName>
    <definedName name="外部資料_97" localSheetId="18">福邦!#REF!</definedName>
    <definedName name="外部資料_97" localSheetId="7">營收搶先報!#REF!</definedName>
    <definedName name="外部資料_970" localSheetId="4">評比系統!$T$1:$T$3</definedName>
    <definedName name="外部資料_971" localSheetId="4">評比系統!$T$1:$T$3</definedName>
    <definedName name="外部資料_972" localSheetId="4">評比系統!$T$1:$T$3</definedName>
    <definedName name="外部資料_973" localSheetId="4">評比系統!$T$1:$T$3</definedName>
    <definedName name="外部資料_974" localSheetId="4">評比系統!$T$1:$T$3</definedName>
    <definedName name="外部資料_975" localSheetId="4">評比系統!$T$1:$T$3</definedName>
    <definedName name="外部資料_976" localSheetId="4">評比系統!$T$1:$T$3</definedName>
    <definedName name="外部資料_977" localSheetId="4">評比系統!$T$1:$T$3</definedName>
    <definedName name="外部資料_978" localSheetId="4">評比系統!$T$1:$T$3</definedName>
    <definedName name="外部資料_979" localSheetId="4">評比系統!$T$1:$T$3</definedName>
    <definedName name="外部資料_98" localSheetId="15">PKA!#REF!</definedName>
    <definedName name="外部資料_98" localSheetId="16">PKB!#REF!</definedName>
    <definedName name="外部資料_98" localSheetId="17">PKC!#REF!</definedName>
    <definedName name="外部資料_98" localSheetId="8">PSR!#REF!</definedName>
    <definedName name="外部資料_98" localSheetId="4">評比系統!$T$1:$T$3</definedName>
    <definedName name="外部資料_98" localSheetId="18">福邦!#REF!</definedName>
    <definedName name="外部資料_98" localSheetId="7">營收搶先報!#REF!</definedName>
    <definedName name="外部資料_980" localSheetId="4">評比系統!$T$1:$T$3</definedName>
    <definedName name="外部資料_981" localSheetId="4">評比系統!$T$1:$T$3</definedName>
    <definedName name="外部資料_982" localSheetId="4">評比系統!$T$1:$T$3</definedName>
    <definedName name="外部資料_983" localSheetId="4">評比系統!$T$1:$T$3</definedName>
    <definedName name="外部資料_984" localSheetId="4">評比系統!$T$1:$T$3</definedName>
    <definedName name="外部資料_985" localSheetId="4">評比系統!$T$1:$T$3</definedName>
    <definedName name="外部資料_986" localSheetId="4">評比系統!$T$1:$T$3</definedName>
    <definedName name="外部資料_987" localSheetId="4">評比系統!$T$1:$T$3</definedName>
    <definedName name="外部資料_988" localSheetId="4">評比系統!$T$1:$T$3</definedName>
    <definedName name="外部資料_989" localSheetId="4">評比系統!$T$1:$T$3</definedName>
    <definedName name="外部資料_99" localSheetId="15">PKA!#REF!</definedName>
    <definedName name="外部資料_99" localSheetId="16">PKB!#REF!</definedName>
    <definedName name="外部資料_99" localSheetId="17">PKC!#REF!</definedName>
    <definedName name="外部資料_99" localSheetId="8">PSR!#REF!</definedName>
    <definedName name="外部資料_99" localSheetId="4">評比系統!$T$1:$T$3</definedName>
    <definedName name="外部資料_99" localSheetId="18">福邦!#REF!</definedName>
    <definedName name="外部資料_99" localSheetId="7">營收搶先報!#REF!</definedName>
    <definedName name="外部資料_990" localSheetId="4">評比系統!$T$1:$T$3</definedName>
    <definedName name="外部資料_991" localSheetId="4">評比系統!$T$1:$T$3</definedName>
    <definedName name="外部資料_992" localSheetId="4">評比系統!$T$1:$T$3</definedName>
    <definedName name="外部資料_993" localSheetId="4">評比系統!$T$1:$T$3</definedName>
    <definedName name="外部資料_994" localSheetId="4">評比系統!$T$1:$T$3</definedName>
    <definedName name="外部資料_995" localSheetId="2">紅綠燈!#REF!</definedName>
    <definedName name="外部資料_996" localSheetId="2">紅綠燈!#REF!</definedName>
    <definedName name="外部資料_997" localSheetId="2">紅綠燈!#REF!</definedName>
    <definedName name="外部資料_999" localSheetId="2">紅綠燈!#REF!</definedName>
    <definedName name="持股分佈" localSheetId="4">評比系統!$T$3</definedName>
    <definedName name="持股分佈_1" localSheetId="4">評比系統!#REF!</definedName>
    <definedName name="持股分佈_1" localSheetId="5">篩股系統!$C$2:$G$18</definedName>
    <definedName name="持股分佈_10" localSheetId="4">評比系統!#REF!</definedName>
    <definedName name="持股分佈_10" localSheetId="5">篩股系統!$C$2:$G$18</definedName>
    <definedName name="持股分佈_100" localSheetId="5">篩股系統!$M$2:$Q$18</definedName>
    <definedName name="持股分佈_101" localSheetId="5">篩股系統!$C$2:$G$18</definedName>
    <definedName name="持股分佈_102" localSheetId="5">篩股系統!$H$2:$L$18</definedName>
    <definedName name="持股分佈_103" localSheetId="5">篩股系統!$M$2:$Q$18</definedName>
    <definedName name="持股分佈_104" localSheetId="5">篩股系統!$C$2:$G$18</definedName>
    <definedName name="持股分佈_105" localSheetId="5">篩股系統!$H$2:$L$18</definedName>
    <definedName name="持股分佈_106" localSheetId="5">篩股系統!$M$2:$Q$18</definedName>
    <definedName name="持股分佈_107" localSheetId="5">篩股系統!$C$2:$G$18</definedName>
    <definedName name="持股分佈_108" localSheetId="5">篩股系統!$H$2:$L$18</definedName>
    <definedName name="持股分佈_109" localSheetId="5">篩股系統!$M$2:$Q$18</definedName>
    <definedName name="持股分佈_11" localSheetId="4">評比系統!$T$3</definedName>
    <definedName name="持股分佈_11" localSheetId="5">篩股系統!$H$2:$L$18</definedName>
    <definedName name="持股分佈_110" localSheetId="5">篩股系統!$C$2:$G$18</definedName>
    <definedName name="持股分佈_111" localSheetId="5">篩股系統!$H$2:$L$18</definedName>
    <definedName name="持股分佈_112" localSheetId="5">篩股系統!$M$2:$Q$18</definedName>
    <definedName name="持股分佈_113" localSheetId="5">篩股系統!$C$2:$G$18</definedName>
    <definedName name="持股分佈_114" localSheetId="5">篩股系統!$H$2:$L$18</definedName>
    <definedName name="持股分佈_115" localSheetId="5">篩股系統!$M$2:$Q$18</definedName>
    <definedName name="持股分佈_116" localSheetId="5">篩股系統!$C$2:$G$18</definedName>
    <definedName name="持股分佈_117" localSheetId="5">篩股系統!$H$2:$L$18</definedName>
    <definedName name="持股分佈_118" localSheetId="5">篩股系統!$M$2:$Q$18</definedName>
    <definedName name="持股分佈_119" localSheetId="5">篩股系統!$C$2:$G$18</definedName>
    <definedName name="持股分佈_12" localSheetId="4">評比系統!#REF!</definedName>
    <definedName name="持股分佈_12" localSheetId="5">篩股系統!$M$2:$Q$18</definedName>
    <definedName name="持股分佈_120" localSheetId="5">篩股系統!$H$2:$L$18</definedName>
    <definedName name="持股分佈_121" localSheetId="5">篩股系統!$M$2:$Q$18</definedName>
    <definedName name="持股分佈_122" localSheetId="5">篩股系統!$C$2:$G$18</definedName>
    <definedName name="持股分佈_123" localSheetId="5">篩股系統!$H$2:$L$18</definedName>
    <definedName name="持股分佈_124" localSheetId="5">篩股系統!$M$2:$Q$18</definedName>
    <definedName name="持股分佈_125" localSheetId="5">篩股系統!$C$2:$G$18</definedName>
    <definedName name="持股分佈_126" localSheetId="5">篩股系統!$H$2:$L$18</definedName>
    <definedName name="持股分佈_127" localSheetId="5">篩股系統!$M$2:$Q$18</definedName>
    <definedName name="持股分佈_128" localSheetId="5">篩股系統!$C$2:$G$18</definedName>
    <definedName name="持股分佈_129" localSheetId="5">篩股系統!$H$2:$L$18</definedName>
    <definedName name="持股分佈_13" localSheetId="4">評比系統!#REF!</definedName>
    <definedName name="持股分佈_13" localSheetId="5">篩股系統!$C$2:$G$18</definedName>
    <definedName name="持股分佈_130" localSheetId="5">篩股系統!$M$2:$Q$18</definedName>
    <definedName name="持股分佈_14" localSheetId="4">評比系統!$T$3</definedName>
    <definedName name="持股分佈_14" localSheetId="5">篩股系統!$H$2:$L$18</definedName>
    <definedName name="持股分佈_15" localSheetId="4">評比系統!#REF!</definedName>
    <definedName name="持股分佈_15" localSheetId="5">篩股系統!$M$2:$Q$18</definedName>
    <definedName name="持股分佈_16" localSheetId="4">評比系統!#REF!</definedName>
    <definedName name="持股分佈_16" localSheetId="5">篩股系統!$C$2:$G$18</definedName>
    <definedName name="持股分佈_17" localSheetId="4">評比系統!$T$3</definedName>
    <definedName name="持股分佈_17" localSheetId="5">篩股系統!$H$2:$L$18</definedName>
    <definedName name="持股分佈_18" localSheetId="4">評比系統!#REF!</definedName>
    <definedName name="持股分佈_18" localSheetId="5">篩股系統!$M$2:$Q$18</definedName>
    <definedName name="持股分佈_19" localSheetId="4">評比系統!#REF!</definedName>
    <definedName name="持股分佈_19" localSheetId="5">篩股系統!$C$2:$G$18</definedName>
    <definedName name="持股分佈_2" localSheetId="4">評比系統!#REF!</definedName>
    <definedName name="持股分佈_2" localSheetId="5">篩股系統!$H$2:$L$18</definedName>
    <definedName name="持股分佈_20" localSheetId="4">評比系統!$T$3</definedName>
    <definedName name="持股分佈_20" localSheetId="5">篩股系統!$H$2:$L$18</definedName>
    <definedName name="持股分佈_21" localSheetId="4">評比系統!#REF!</definedName>
    <definedName name="持股分佈_21" localSheetId="5">篩股系統!$M$2:$Q$18</definedName>
    <definedName name="持股分佈_22" localSheetId="4">評比系統!#REF!</definedName>
    <definedName name="持股分佈_22" localSheetId="5">篩股系統!$C$2:$G$18</definedName>
    <definedName name="持股分佈_23" localSheetId="4">評比系統!$T$3</definedName>
    <definedName name="持股分佈_23" localSheetId="5">篩股系統!$H$2:$L$18</definedName>
    <definedName name="持股分佈_24" localSheetId="4">評比系統!#REF!</definedName>
    <definedName name="持股分佈_24" localSheetId="5">篩股系統!$M$2:$Q$18</definedName>
    <definedName name="持股分佈_25" localSheetId="4">評比系統!#REF!</definedName>
    <definedName name="持股分佈_25" localSheetId="5">篩股系統!$C$2:$G$18</definedName>
    <definedName name="持股分佈_26" localSheetId="4">評比系統!$T$3</definedName>
    <definedName name="持股分佈_26" localSheetId="5">篩股系統!$H$2:$L$18</definedName>
    <definedName name="持股分佈_27" localSheetId="4">評比系統!#REF!</definedName>
    <definedName name="持股分佈_27" localSheetId="5">篩股系統!$M$2:$Q$18</definedName>
    <definedName name="持股分佈_28" localSheetId="4">評比系統!#REF!</definedName>
    <definedName name="持股分佈_28" localSheetId="5">篩股系統!$C$2:$G$18</definedName>
    <definedName name="持股分佈_29" localSheetId="4">評比系統!$T$3</definedName>
    <definedName name="持股分佈_29" localSheetId="5">篩股系統!$H$2:$L$18</definedName>
    <definedName name="持股分佈_3" localSheetId="4">評比系統!#REF!</definedName>
    <definedName name="持股分佈_3" localSheetId="5">篩股系統!$M$2:$Q$18</definedName>
    <definedName name="持股分佈_30" localSheetId="4">評比系統!#REF!</definedName>
    <definedName name="持股分佈_30" localSheetId="5">篩股系統!$M$2:$Q$18</definedName>
    <definedName name="持股分佈_31" localSheetId="4">評比系統!#REF!</definedName>
    <definedName name="持股分佈_31" localSheetId="5">篩股系統!$C$2:$G$18</definedName>
    <definedName name="持股分佈_32" localSheetId="4">評比系統!$T$3</definedName>
    <definedName name="持股分佈_32" localSheetId="5">篩股系統!$H$2:$L$18</definedName>
    <definedName name="持股分佈_33" localSheetId="4">評比系統!#REF!</definedName>
    <definedName name="持股分佈_33" localSheetId="5">篩股系統!$M$2:$Q$18</definedName>
    <definedName name="持股分佈_34" localSheetId="4">評比系統!#REF!</definedName>
    <definedName name="持股分佈_34" localSheetId="5">篩股系統!$C$2:$G$18</definedName>
    <definedName name="持股分佈_35" localSheetId="4">評比系統!$T$3</definedName>
    <definedName name="持股分佈_35" localSheetId="5">篩股系統!$H$2:$L$18</definedName>
    <definedName name="持股分佈_36" localSheetId="4">評比系統!#REF!</definedName>
    <definedName name="持股分佈_36" localSheetId="5">篩股系統!$M$2:$Q$18</definedName>
    <definedName name="持股分佈_37" localSheetId="4">評比系統!#REF!</definedName>
    <definedName name="持股分佈_37" localSheetId="5">篩股系統!$C$2:$G$18</definedName>
    <definedName name="持股分佈_38" localSheetId="4">評比系統!$T$3</definedName>
    <definedName name="持股分佈_38" localSheetId="5">篩股系統!$H$2</definedName>
    <definedName name="持股分佈_39" localSheetId="4">評比系統!#REF!</definedName>
    <definedName name="持股分佈_39" localSheetId="5">篩股系統!$H$2:$L$18</definedName>
    <definedName name="持股分佈_4" localSheetId="4">評比系統!#REF!</definedName>
    <definedName name="持股分佈_4" localSheetId="5">篩股系統!$C$2:$G$18</definedName>
    <definedName name="持股分佈_40" localSheetId="4">評比系統!#REF!</definedName>
    <definedName name="持股分佈_40" localSheetId="5">篩股系統!$M$2:$Q$18</definedName>
    <definedName name="持股分佈_41" localSheetId="4">評比系統!$T$3</definedName>
    <definedName name="持股分佈_41" localSheetId="5">篩股系統!$C$2:$G$18</definedName>
    <definedName name="持股分佈_42" localSheetId="4">評比系統!#REF!</definedName>
    <definedName name="持股分佈_42" localSheetId="5">篩股系統!$H$2:$L$18</definedName>
    <definedName name="持股分佈_43" localSheetId="4">評比系統!#REF!</definedName>
    <definedName name="持股分佈_43" localSheetId="5">篩股系統!$M$2:$Q$18</definedName>
    <definedName name="持股分佈_44" localSheetId="4">評比系統!$T$3</definedName>
    <definedName name="持股分佈_44" localSheetId="5">篩股系統!$C$2:$G$18</definedName>
    <definedName name="持股分佈_45" localSheetId="4">評比系統!#REF!</definedName>
    <definedName name="持股分佈_45" localSheetId="5">篩股系統!$H$2:$L$18</definedName>
    <definedName name="持股分佈_46" localSheetId="4">評比系統!#REF!</definedName>
    <definedName name="持股分佈_46" localSheetId="5">篩股系統!$M$2:$Q$18</definedName>
    <definedName name="持股分佈_47" localSheetId="4">評比系統!$T$3</definedName>
    <definedName name="持股分佈_47" localSheetId="5">篩股系統!$C$2:$G$18</definedName>
    <definedName name="持股分佈_48" localSheetId="4">評比系統!#REF!</definedName>
    <definedName name="持股分佈_48" localSheetId="5">篩股系統!$H$2:$L$18</definedName>
    <definedName name="持股分佈_49" localSheetId="4">評比系統!#REF!</definedName>
    <definedName name="持股分佈_49" localSheetId="5">篩股系統!$M$2:$Q$18</definedName>
    <definedName name="持股分佈_5" localSheetId="4">評比系統!$T$3</definedName>
    <definedName name="持股分佈_5" localSheetId="5">篩股系統!$H$2:$L$18</definedName>
    <definedName name="持股分佈_50" localSheetId="4">評比系統!$T$3</definedName>
    <definedName name="持股分佈_50" localSheetId="5">篩股系統!$C$2:$G$18</definedName>
    <definedName name="持股分佈_51" localSheetId="4">評比系統!#REF!</definedName>
    <definedName name="持股分佈_51" localSheetId="5">篩股系統!$H$2:$L$18</definedName>
    <definedName name="持股分佈_52" localSheetId="4">評比系統!#REF!</definedName>
    <definedName name="持股分佈_52" localSheetId="5">篩股系統!$M$2:$Q$18</definedName>
    <definedName name="持股分佈_53" localSheetId="4">評比系統!$T$3</definedName>
    <definedName name="持股分佈_53" localSheetId="5">篩股系統!$C$2:$G$18</definedName>
    <definedName name="持股分佈_54" localSheetId="4">評比系統!#REF!</definedName>
    <definedName name="持股分佈_54" localSheetId="5">篩股系統!$H$2:$L$18</definedName>
    <definedName name="持股分佈_55" localSheetId="4">評比系統!#REF!</definedName>
    <definedName name="持股分佈_55" localSheetId="5">篩股系統!$M$2:$Q$18</definedName>
    <definedName name="持股分佈_56" localSheetId="4">評比系統!$T$3</definedName>
    <definedName name="持股分佈_56" localSheetId="5">篩股系統!$C$2:$G$18</definedName>
    <definedName name="持股分佈_57" localSheetId="4">評比系統!#REF!</definedName>
    <definedName name="持股分佈_57" localSheetId="5">篩股系統!$H$2:$L$18</definedName>
    <definedName name="持股分佈_58" localSheetId="4">評比系統!#REF!</definedName>
    <definedName name="持股分佈_58" localSheetId="5">篩股系統!$M$2:$Q$18</definedName>
    <definedName name="持股分佈_59" localSheetId="4">評比系統!$T$3</definedName>
    <definedName name="持股分佈_59" localSheetId="5">篩股系統!$C$2:$G$18</definedName>
    <definedName name="持股分佈_6" localSheetId="4">評比系統!#REF!</definedName>
    <definedName name="持股分佈_6" localSheetId="5">篩股系統!$M$2:$Q$18</definedName>
    <definedName name="持股分佈_60" localSheetId="4">評比系統!#REF!</definedName>
    <definedName name="持股分佈_60" localSheetId="5">篩股系統!$H$2:$L$18</definedName>
    <definedName name="持股分佈_61" localSheetId="4">評比系統!#REF!</definedName>
    <definedName name="持股分佈_61" localSheetId="5">篩股系統!$M$2:$Q$18</definedName>
    <definedName name="持股分佈_62" localSheetId="4">評比系統!$T$3</definedName>
    <definedName name="持股分佈_62" localSheetId="5">篩股系統!$C$2:$G$18</definedName>
    <definedName name="持股分佈_63" localSheetId="4">評比系統!#REF!</definedName>
    <definedName name="持股分佈_63" localSheetId="5">篩股系統!$H$2:$L$18</definedName>
    <definedName name="持股分佈_64" localSheetId="4">評比系統!#REF!</definedName>
    <definedName name="持股分佈_64" localSheetId="5">篩股系統!$M$2:$Q$18</definedName>
    <definedName name="持股分佈_65" localSheetId="4">評比系統!$T$3</definedName>
    <definedName name="持股分佈_65" localSheetId="5">篩股系統!$C$2:$G$18</definedName>
    <definedName name="持股分佈_66" localSheetId="4">評比系統!#REF!</definedName>
    <definedName name="持股分佈_66" localSheetId="5">篩股系統!$H$2:$L$18</definedName>
    <definedName name="持股分佈_67" localSheetId="4">評比系統!#REF!</definedName>
    <definedName name="持股分佈_67" localSheetId="5">篩股系統!$M$2:$Q$18</definedName>
    <definedName name="持股分佈_68" localSheetId="4">評比系統!$T$3</definedName>
    <definedName name="持股分佈_68" localSheetId="5">篩股系統!$C$2:$G$18</definedName>
    <definedName name="持股分佈_69" localSheetId="4">評比系統!#REF!</definedName>
    <definedName name="持股分佈_69" localSheetId="5">篩股系統!$H$2:$L$18</definedName>
    <definedName name="持股分佈_7" localSheetId="4">評比系統!#REF!</definedName>
    <definedName name="持股分佈_7" localSheetId="5">篩股系統!$C$2:$G$18</definedName>
    <definedName name="持股分佈_70" localSheetId="4">評比系統!#REF!</definedName>
    <definedName name="持股分佈_70" localSheetId="5">篩股系統!$M$2:$Q$18</definedName>
    <definedName name="持股分佈_71" localSheetId="4">評比系統!$T$3</definedName>
    <definedName name="持股分佈_71" localSheetId="5">篩股系統!$C$2:$G$18</definedName>
    <definedName name="持股分佈_72" localSheetId="4">評比系統!#REF!</definedName>
    <definedName name="持股分佈_72" localSheetId="5">篩股系統!$H$2:$L$18</definedName>
    <definedName name="持股分佈_73" localSheetId="4">評比系統!#REF!</definedName>
    <definedName name="持股分佈_73" localSheetId="5">篩股系統!$M$2:$Q$18</definedName>
    <definedName name="持股分佈_74" localSheetId="4">評比系統!$T$3</definedName>
    <definedName name="持股分佈_74" localSheetId="5">篩股系統!$C$2:$G$18</definedName>
    <definedName name="持股分佈_75" localSheetId="4">評比系統!#REF!</definedName>
    <definedName name="持股分佈_75" localSheetId="5">篩股系統!$H$2:$L$18</definedName>
    <definedName name="持股分佈_76" localSheetId="4">評比系統!#REF!</definedName>
    <definedName name="持股分佈_76" localSheetId="5">篩股系統!$M$2:$Q$18</definedName>
    <definedName name="持股分佈_77" localSheetId="4">評比系統!$T$3</definedName>
    <definedName name="持股分佈_77" localSheetId="5">篩股系統!$C$2:$G$18</definedName>
    <definedName name="持股分佈_78" localSheetId="4">評比系統!#REF!</definedName>
    <definedName name="持股分佈_78" localSheetId="5">篩股系統!$H$2:$L$18</definedName>
    <definedName name="持股分佈_79" localSheetId="4">評比系統!#REF!</definedName>
    <definedName name="持股分佈_79" localSheetId="5">篩股系統!$M$2:$Q$18</definedName>
    <definedName name="持股分佈_8" localSheetId="4">評比系統!$T$3</definedName>
    <definedName name="持股分佈_8" localSheetId="5">篩股系統!$H$2:$L$18</definedName>
    <definedName name="持股分佈_80" localSheetId="4">評比系統!$T$3</definedName>
    <definedName name="持股分佈_80" localSheetId="5">篩股系統!$C$2:$G$18</definedName>
    <definedName name="持股分佈_81" localSheetId="4">評比系統!#REF!</definedName>
    <definedName name="持股分佈_81" localSheetId="5">篩股系統!$H$2:$L$18</definedName>
    <definedName name="持股分佈_82" localSheetId="4">評比系統!#REF!</definedName>
    <definedName name="持股分佈_82" localSheetId="5">篩股系統!$M$2:$Q$18</definedName>
    <definedName name="持股分佈_83" localSheetId="4">評比系統!$T$3</definedName>
    <definedName name="持股分佈_83" localSheetId="5">篩股系統!$C$2:$G$18</definedName>
    <definedName name="持股分佈_84" localSheetId="4">評比系統!#REF!</definedName>
    <definedName name="持股分佈_84" localSheetId="5">篩股系統!$H$2:$L$18</definedName>
    <definedName name="持股分佈_85" localSheetId="4">評比系統!#REF!</definedName>
    <definedName name="持股分佈_85" localSheetId="5">篩股系統!$M$2:$Q$18</definedName>
    <definedName name="持股分佈_86" localSheetId="4">評比系統!$T$3</definedName>
    <definedName name="持股分佈_86" localSheetId="5">篩股系統!$C$2:$G$18</definedName>
    <definedName name="持股分佈_87" localSheetId="4">評比系統!#REF!</definedName>
    <definedName name="持股分佈_87" localSheetId="5">篩股系統!$H$2:$L$18</definedName>
    <definedName name="持股分佈_88" localSheetId="4">評比系統!#REF!</definedName>
    <definedName name="持股分佈_88" localSheetId="5">篩股系統!$M$2:$Q$18</definedName>
    <definedName name="持股分佈_89" localSheetId="4">評比系統!$T$3</definedName>
    <definedName name="持股分佈_89" localSheetId="5">篩股系統!$C$2:$G$18</definedName>
    <definedName name="持股分佈_9" localSheetId="4">評比系統!#REF!</definedName>
    <definedName name="持股分佈_9" localSheetId="5">篩股系統!$M$2:$Q$18</definedName>
    <definedName name="持股分佈_90" localSheetId="4">評比系統!#REF!</definedName>
    <definedName name="持股分佈_90" localSheetId="5">篩股系統!$H$2:$L$18</definedName>
    <definedName name="持股分佈_91" localSheetId="5">篩股系統!$M$2:$Q$18</definedName>
    <definedName name="持股分佈_92" localSheetId="5">篩股系統!$C$2:$G$18</definedName>
    <definedName name="持股分佈_93" localSheetId="5">篩股系統!$H$2:$L$18</definedName>
    <definedName name="持股分佈_94" localSheetId="5">篩股系統!$M$2:$Q$18</definedName>
    <definedName name="持股分佈_95" localSheetId="5">篩股系統!$C$2:$G$18</definedName>
    <definedName name="持股分佈_96" localSheetId="5">篩股系統!$H$2:$L$18</definedName>
    <definedName name="持股分佈_97" localSheetId="5">篩股系統!$M$2:$Q$18</definedName>
    <definedName name="持股分佈_98" localSheetId="5">篩股系統!$C$2:$G$18</definedName>
    <definedName name="持股分佈_99" localSheetId="5">篩股系統!$H$2:$L$18</definedName>
    <definedName name="國內上市" localSheetId="1">收盤價!$A$250:$B$934</definedName>
    <definedName name="國內上市_1" localSheetId="1">收盤價!#REF!</definedName>
    <definedName name="國內上市_10" localSheetId="1">收盤價!#REF!</definedName>
    <definedName name="國內上市_11" localSheetId="1">收盤價!$A$2:$B$2</definedName>
    <definedName name="國內上市_12" localSheetId="1">收盤價!$A$2:$B$139</definedName>
    <definedName name="國內上市_13" localSheetId="1">收盤價!$A$2:$B$300</definedName>
    <definedName name="國內上市_14" localSheetId="1">收盤價!$A$2:$B$461</definedName>
    <definedName name="國內上市_15" localSheetId="1">收盤價!$A$2:$B$622</definedName>
    <definedName name="國內上市_16" localSheetId="1">收盤價!$A$96:$B$783</definedName>
    <definedName name="國內上市_17" localSheetId="1">收盤價!$A$413:$B$1102</definedName>
    <definedName name="國內上市_18" localSheetId="1">收盤價!$A$574:$B$1265</definedName>
    <definedName name="國內上市_19" localSheetId="1">收盤價!$A$735:$B$1428</definedName>
    <definedName name="國內上市_2" localSheetId="1">收盤價!#REF!</definedName>
    <definedName name="國內上市_20" localSheetId="1">收盤價!$A$896:$C$1591</definedName>
    <definedName name="國內上市_21" localSheetId="1">收盤價!$R$3:$AF$701</definedName>
    <definedName name="國內上市_22" localSheetId="1">收盤價!$R$3:$AF$701</definedName>
    <definedName name="國內上市_23" localSheetId="1">收盤價!$R$3:$AF$701</definedName>
    <definedName name="國內上市_24" localSheetId="1">收盤價!$R$3:$AF$702</definedName>
    <definedName name="國內上市_25" localSheetId="1">收盤價!$R$3:$AF$701</definedName>
    <definedName name="國內上市_26" localSheetId="1">收盤價!$R$3:$AF$702</definedName>
    <definedName name="國內上市_27" localSheetId="1">收盤價!$R$3:$AF$701</definedName>
    <definedName name="國內上市_28" localSheetId="1">收盤價!$R$3:$AF$701</definedName>
    <definedName name="國內上市_29" localSheetId="1">收盤價!$R$3:$AF$700</definedName>
    <definedName name="國內上市_3" localSheetId="1">收盤價!#REF!</definedName>
    <definedName name="國內上市_30" localSheetId="1">收盤價!$R$3:$AF$703</definedName>
    <definedName name="國內上市_31" localSheetId="1">收盤價!$R$3:$AF$703</definedName>
    <definedName name="國內上市_32" localSheetId="1">收盤價!$R$3:$AF$705</definedName>
    <definedName name="國內上市_33" localSheetId="1">收盤價!$R$3:$AF$705</definedName>
    <definedName name="國內上市_34" localSheetId="1">收盤價!$R$3:$AF$705</definedName>
    <definedName name="國內上市_35" localSheetId="1">收盤價!$R$3:$AF$705</definedName>
    <definedName name="國內上市_36" localSheetId="1">收盤價!$R$3:$AF$707</definedName>
    <definedName name="國內上市_4" localSheetId="1">收盤價!#REF!</definedName>
    <definedName name="國內上市_5" localSheetId="1">收盤價!#REF!</definedName>
    <definedName name="國內上市_6" localSheetId="1">收盤價!#REF!</definedName>
    <definedName name="國內上市_7" localSheetId="1">收盤價!#REF!</definedName>
    <definedName name="國內上市_8" localSheetId="1">收盤價!#REF!</definedName>
    <definedName name="國內上市_9" localSheetId="1">收盤價!#REF!</definedName>
  </definedNames>
  <calcPr calcId="125725"/>
</workbook>
</file>

<file path=xl/calcChain.xml><?xml version="1.0" encoding="utf-8"?>
<calcChain xmlns="http://schemas.openxmlformats.org/spreadsheetml/2006/main">
  <c r="V21" i="1"/>
  <c r="U21"/>
  <c r="T21"/>
  <c r="S21"/>
  <c r="R21"/>
  <c r="Q21"/>
  <c r="P21"/>
  <c r="O21"/>
  <c r="V20"/>
  <c r="U20"/>
  <c r="T20"/>
  <c r="S20"/>
  <c r="R20"/>
  <c r="Q20"/>
  <c r="P20"/>
  <c r="O20"/>
  <c r="V19"/>
  <c r="U19"/>
  <c r="T19"/>
  <c r="S19"/>
  <c r="R19"/>
  <c r="Q19"/>
  <c r="P19"/>
  <c r="O19"/>
  <c r="V18"/>
  <c r="U18"/>
  <c r="T18"/>
  <c r="S18"/>
  <c r="R18"/>
  <c r="Q18"/>
  <c r="P18"/>
  <c r="O18"/>
  <c r="V15"/>
  <c r="U15"/>
  <c r="T15"/>
  <c r="S15"/>
  <c r="R15"/>
  <c r="Q15"/>
  <c r="P15"/>
  <c r="O15"/>
  <c r="V14"/>
  <c r="U14"/>
  <c r="T14"/>
  <c r="S14"/>
  <c r="R14"/>
  <c r="Q14"/>
  <c r="P14"/>
  <c r="O14"/>
  <c r="V13"/>
  <c r="U13"/>
  <c r="T13"/>
  <c r="S13"/>
  <c r="R13"/>
  <c r="Q13"/>
  <c r="P13"/>
  <c r="O13"/>
  <c r="V12"/>
  <c r="U12"/>
  <c r="T12"/>
  <c r="S12"/>
  <c r="R12"/>
  <c r="Q12"/>
  <c r="P12"/>
  <c r="O12"/>
  <c r="V11"/>
  <c r="U11"/>
  <c r="T11"/>
  <c r="S11"/>
  <c r="R11"/>
  <c r="Q11"/>
  <c r="P11"/>
  <c r="O11"/>
  <c r="V10"/>
  <c r="U10"/>
  <c r="T10"/>
  <c r="S10"/>
  <c r="R10"/>
  <c r="Q10"/>
  <c r="P10"/>
  <c r="O10"/>
  <c r="V9"/>
  <c r="U9"/>
  <c r="T9"/>
  <c r="S9"/>
  <c r="R9"/>
  <c r="Q9"/>
  <c r="P9"/>
  <c r="O9"/>
  <c r="V8"/>
  <c r="U8"/>
  <c r="T8"/>
  <c r="S8"/>
  <c r="R8"/>
  <c r="Q8"/>
  <c r="P8"/>
  <c r="O8"/>
  <c r="V7"/>
  <c r="U7"/>
  <c r="T7"/>
  <c r="S7"/>
  <c r="R7"/>
  <c r="Q7"/>
  <c r="P7"/>
  <c r="O7"/>
  <c r="V6"/>
  <c r="U6"/>
  <c r="T6"/>
  <c r="S6"/>
  <c r="R6"/>
  <c r="Q6"/>
  <c r="P6"/>
  <c r="O6"/>
  <c r="V5"/>
  <c r="U5"/>
  <c r="T5"/>
  <c r="S5"/>
  <c r="R5"/>
  <c r="Q5"/>
  <c r="P5"/>
  <c r="O5"/>
  <c r="V4"/>
  <c r="U4"/>
  <c r="T4"/>
  <c r="S4"/>
  <c r="R4"/>
  <c r="Q4"/>
  <c r="P4"/>
  <c r="O4"/>
  <c r="V3"/>
  <c r="U3"/>
  <c r="T3"/>
  <c r="S3"/>
  <c r="R3"/>
  <c r="Q3"/>
  <c r="P3"/>
  <c r="O3"/>
  <c r="A737" i="2" l="1"/>
  <c r="A736"/>
  <c r="A735"/>
  <c r="A734"/>
  <c r="A733"/>
  <c r="A732"/>
  <c r="A731"/>
  <c r="A730"/>
  <c r="A729"/>
  <c r="A728"/>
  <c r="A727"/>
  <c r="A726"/>
  <c r="A725"/>
  <c r="A724"/>
  <c r="A723"/>
  <c r="A722"/>
  <c r="A721"/>
  <c r="A720"/>
  <c r="A719"/>
  <c r="A718"/>
  <c r="A717"/>
  <c r="A716"/>
  <c r="A715"/>
  <c r="A714"/>
  <c r="A713"/>
  <c r="A712"/>
  <c r="A711"/>
  <c r="A710"/>
  <c r="A709"/>
  <c r="A708"/>
  <c r="A707"/>
  <c r="A706"/>
  <c r="A705"/>
  <c r="A704"/>
  <c r="A703"/>
  <c r="A702"/>
  <c r="A701"/>
  <c r="A700"/>
  <c r="A699"/>
  <c r="A698"/>
  <c r="A697"/>
  <c r="A696"/>
  <c r="A695"/>
  <c r="A694"/>
  <c r="A693"/>
  <c r="A692"/>
  <c r="A691"/>
  <c r="A690"/>
  <c r="A689"/>
  <c r="A688"/>
  <c r="A687"/>
  <c r="A686"/>
  <c r="A685"/>
  <c r="A684"/>
  <c r="A683"/>
  <c r="A682"/>
  <c r="A681"/>
  <c r="A680"/>
  <c r="A679"/>
  <c r="A678"/>
  <c r="A677"/>
  <c r="A676"/>
  <c r="A675"/>
  <c r="A674"/>
  <c r="A673"/>
  <c r="A672"/>
  <c r="A671"/>
  <c r="A670"/>
  <c r="A669"/>
  <c r="A668"/>
  <c r="A667"/>
  <c r="A666"/>
  <c r="A665"/>
  <c r="A664"/>
  <c r="A663"/>
  <c r="A662"/>
  <c r="A661"/>
  <c r="A660"/>
  <c r="A659"/>
  <c r="A658"/>
  <c r="A657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N737"/>
  <c r="G737"/>
  <c r="F737"/>
  <c r="E737"/>
  <c r="D737"/>
  <c r="C737"/>
  <c r="N736"/>
  <c r="G736"/>
  <c r="F736"/>
  <c r="E736"/>
  <c r="D736"/>
  <c r="C736"/>
  <c r="N735"/>
  <c r="G735"/>
  <c r="F735"/>
  <c r="E735"/>
  <c r="D735"/>
  <c r="C735"/>
  <c r="N734"/>
  <c r="G734"/>
  <c r="F734"/>
  <c r="E734"/>
  <c r="D734"/>
  <c r="C734"/>
  <c r="N733"/>
  <c r="G733"/>
  <c r="F733"/>
  <c r="E733"/>
  <c r="D733"/>
  <c r="C733"/>
  <c r="N732"/>
  <c r="G732"/>
  <c r="F732"/>
  <c r="E732"/>
  <c r="D732"/>
  <c r="C732"/>
  <c r="N731"/>
  <c r="G731"/>
  <c r="F731"/>
  <c r="E731"/>
  <c r="D731"/>
  <c r="C731"/>
  <c r="N730"/>
  <c r="G730"/>
  <c r="F730"/>
  <c r="E730"/>
  <c r="D730"/>
  <c r="C730"/>
  <c r="N729"/>
  <c r="G729"/>
  <c r="F729"/>
  <c r="E729"/>
  <c r="D729"/>
  <c r="C729"/>
  <c r="N728"/>
  <c r="G728"/>
  <c r="F728"/>
  <c r="E728"/>
  <c r="D728"/>
  <c r="C728"/>
  <c r="N727"/>
  <c r="G727"/>
  <c r="F727"/>
  <c r="E727"/>
  <c r="D727"/>
  <c r="C727"/>
  <c r="N726"/>
  <c r="G726"/>
  <c r="F726"/>
  <c r="E726"/>
  <c r="D726"/>
  <c r="C726"/>
  <c r="N725"/>
  <c r="G725"/>
  <c r="F725"/>
  <c r="E725"/>
  <c r="D725"/>
  <c r="C725"/>
  <c r="N724"/>
  <c r="G724"/>
  <c r="F724"/>
  <c r="E724"/>
  <c r="D724"/>
  <c r="C724"/>
  <c r="N723"/>
  <c r="G723"/>
  <c r="F723"/>
  <c r="E723"/>
  <c r="D723"/>
  <c r="C723"/>
  <c r="N722"/>
  <c r="G722"/>
  <c r="F722"/>
  <c r="E722"/>
  <c r="D722"/>
  <c r="C722"/>
  <c r="N721"/>
  <c r="G721"/>
  <c r="F721"/>
  <c r="E721"/>
  <c r="D721"/>
  <c r="C721"/>
  <c r="N720"/>
  <c r="G720"/>
  <c r="F720"/>
  <c r="E720"/>
  <c r="D720"/>
  <c r="C720"/>
  <c r="N719"/>
  <c r="G719"/>
  <c r="F719"/>
  <c r="E719"/>
  <c r="D719"/>
  <c r="C719"/>
  <c r="N718"/>
  <c r="G718"/>
  <c r="F718"/>
  <c r="E718"/>
  <c r="D718"/>
  <c r="C718"/>
  <c r="N717"/>
  <c r="G717"/>
  <c r="F717"/>
  <c r="E717"/>
  <c r="D717"/>
  <c r="C717"/>
  <c r="N716"/>
  <c r="G716"/>
  <c r="F716"/>
  <c r="E716"/>
  <c r="D716"/>
  <c r="C716"/>
  <c r="N715"/>
  <c r="G715"/>
  <c r="F715"/>
  <c r="E715"/>
  <c r="D715"/>
  <c r="C715"/>
  <c r="N714"/>
  <c r="G714"/>
  <c r="F714"/>
  <c r="E714"/>
  <c r="D714"/>
  <c r="C714"/>
  <c r="N713"/>
  <c r="G713"/>
  <c r="F713"/>
  <c r="E713"/>
  <c r="D713"/>
  <c r="C713"/>
  <c r="N712"/>
  <c r="G712"/>
  <c r="F712"/>
  <c r="E712"/>
  <c r="D712"/>
  <c r="C712"/>
  <c r="N711"/>
  <c r="G711"/>
  <c r="F711"/>
  <c r="E711"/>
  <c r="D711"/>
  <c r="C711"/>
  <c r="N710"/>
  <c r="G710"/>
  <c r="F710"/>
  <c r="E710"/>
  <c r="D710"/>
  <c r="C710"/>
  <c r="N709"/>
  <c r="G709"/>
  <c r="F709"/>
  <c r="E709"/>
  <c r="D709"/>
  <c r="C709"/>
  <c r="N708"/>
  <c r="G708"/>
  <c r="F708"/>
  <c r="E708"/>
  <c r="D708"/>
  <c r="C708"/>
  <c r="N707"/>
  <c r="G707"/>
  <c r="F707"/>
  <c r="E707"/>
  <c r="D707"/>
  <c r="C707"/>
  <c r="N706"/>
  <c r="G706"/>
  <c r="F706"/>
  <c r="E706"/>
  <c r="D706"/>
  <c r="C706"/>
  <c r="N705"/>
  <c r="G705"/>
  <c r="F705"/>
  <c r="E705"/>
  <c r="D705"/>
  <c r="C705"/>
  <c r="N704"/>
  <c r="G704"/>
  <c r="F704"/>
  <c r="E704"/>
  <c r="D704"/>
  <c r="C704"/>
  <c r="N703"/>
  <c r="G703"/>
  <c r="F703"/>
  <c r="E703"/>
  <c r="D703"/>
  <c r="C703"/>
  <c r="N702"/>
  <c r="G702"/>
  <c r="F702"/>
  <c r="E702"/>
  <c r="D702"/>
  <c r="C702"/>
  <c r="N701"/>
  <c r="G701"/>
  <c r="F701"/>
  <c r="E701"/>
  <c r="D701"/>
  <c r="C701"/>
  <c r="N700"/>
  <c r="G700"/>
  <c r="F700"/>
  <c r="E700"/>
  <c r="D700"/>
  <c r="C700"/>
  <c r="N699"/>
  <c r="G699"/>
  <c r="F699"/>
  <c r="E699"/>
  <c r="D699"/>
  <c r="C699"/>
  <c r="N698"/>
  <c r="G698"/>
  <c r="F698"/>
  <c r="E698"/>
  <c r="D698"/>
  <c r="C698"/>
  <c r="N697"/>
  <c r="G697"/>
  <c r="F697"/>
  <c r="E697"/>
  <c r="D697"/>
  <c r="C697"/>
  <c r="N696"/>
  <c r="G696"/>
  <c r="F696"/>
  <c r="E696"/>
  <c r="D696"/>
  <c r="C696"/>
  <c r="N695"/>
  <c r="G695"/>
  <c r="F695"/>
  <c r="E695"/>
  <c r="D695"/>
  <c r="C695"/>
  <c r="N694"/>
  <c r="G694"/>
  <c r="F694"/>
  <c r="E694"/>
  <c r="D694"/>
  <c r="C694"/>
  <c r="N693"/>
  <c r="G693"/>
  <c r="F693"/>
  <c r="E693"/>
  <c r="D693"/>
  <c r="C693"/>
  <c r="N692"/>
  <c r="G692"/>
  <c r="F692"/>
  <c r="E692"/>
  <c r="D692"/>
  <c r="C692"/>
  <c r="N691"/>
  <c r="G691"/>
  <c r="F691"/>
  <c r="E691"/>
  <c r="D691"/>
  <c r="C691"/>
  <c r="N690"/>
  <c r="G690"/>
  <c r="F690"/>
  <c r="E690"/>
  <c r="D690"/>
  <c r="C690"/>
  <c r="N689"/>
  <c r="G689"/>
  <c r="F689"/>
  <c r="E689"/>
  <c r="D689"/>
  <c r="C689"/>
  <c r="N688"/>
  <c r="G688"/>
  <c r="F688"/>
  <c r="E688"/>
  <c r="D688"/>
  <c r="C688"/>
  <c r="N687"/>
  <c r="G687"/>
  <c r="F687"/>
  <c r="E687"/>
  <c r="D687"/>
  <c r="C687"/>
  <c r="N686"/>
  <c r="G686"/>
  <c r="F686"/>
  <c r="E686"/>
  <c r="D686"/>
  <c r="C686"/>
  <c r="N685"/>
  <c r="G685"/>
  <c r="F685"/>
  <c r="E685"/>
  <c r="D685"/>
  <c r="C685"/>
  <c r="N684"/>
  <c r="G684"/>
  <c r="F684"/>
  <c r="E684"/>
  <c r="D684"/>
  <c r="C684"/>
  <c r="N683"/>
  <c r="G683"/>
  <c r="F683"/>
  <c r="E683"/>
  <c r="D683"/>
  <c r="C683"/>
  <c r="N682"/>
  <c r="G682"/>
  <c r="F682"/>
  <c r="E682"/>
  <c r="D682"/>
  <c r="C682"/>
  <c r="N681"/>
  <c r="G681"/>
  <c r="F681"/>
  <c r="E681"/>
  <c r="D681"/>
  <c r="C681"/>
  <c r="N680"/>
  <c r="G680"/>
  <c r="F680"/>
  <c r="E680"/>
  <c r="D680"/>
  <c r="C680"/>
  <c r="N679"/>
  <c r="G679"/>
  <c r="F679"/>
  <c r="E679"/>
  <c r="D679"/>
  <c r="C679"/>
  <c r="N678"/>
  <c r="G678"/>
  <c r="F678"/>
  <c r="E678"/>
  <c r="D678"/>
  <c r="C678"/>
  <c r="N677"/>
  <c r="G677"/>
  <c r="F677"/>
  <c r="E677"/>
  <c r="D677"/>
  <c r="C677"/>
  <c r="N676"/>
  <c r="G676"/>
  <c r="F676"/>
  <c r="E676"/>
  <c r="D676"/>
  <c r="C676"/>
  <c r="N675"/>
  <c r="G675"/>
  <c r="F675"/>
  <c r="E675"/>
  <c r="D675"/>
  <c r="C675"/>
  <c r="N674"/>
  <c r="G674"/>
  <c r="F674"/>
  <c r="E674"/>
  <c r="D674"/>
  <c r="C674"/>
  <c r="N673"/>
  <c r="G673"/>
  <c r="F673"/>
  <c r="E673"/>
  <c r="D673"/>
  <c r="C673"/>
  <c r="N672"/>
  <c r="G672"/>
  <c r="F672"/>
  <c r="E672"/>
  <c r="D672"/>
  <c r="C672"/>
  <c r="N671"/>
  <c r="G671"/>
  <c r="F671"/>
  <c r="E671"/>
  <c r="D671"/>
  <c r="C671"/>
  <c r="N670"/>
  <c r="G670"/>
  <c r="F670"/>
  <c r="E670"/>
  <c r="D670"/>
  <c r="C670"/>
  <c r="N669"/>
  <c r="G669"/>
  <c r="F669"/>
  <c r="E669"/>
  <c r="D669"/>
  <c r="C669"/>
  <c r="N668"/>
  <c r="G668"/>
  <c r="F668"/>
  <c r="E668"/>
  <c r="D668"/>
  <c r="C668"/>
  <c r="N667"/>
  <c r="G667"/>
  <c r="F667"/>
  <c r="E667"/>
  <c r="D667"/>
  <c r="C667"/>
  <c r="N666"/>
  <c r="G666"/>
  <c r="F666"/>
  <c r="E666"/>
  <c r="D666"/>
  <c r="C666"/>
  <c r="N665"/>
  <c r="G665"/>
  <c r="F665"/>
  <c r="E665"/>
  <c r="D665"/>
  <c r="C665"/>
  <c r="N664"/>
  <c r="G664"/>
  <c r="F664"/>
  <c r="E664"/>
  <c r="D664"/>
  <c r="C664"/>
  <c r="N663"/>
  <c r="G663"/>
  <c r="F663"/>
  <c r="E663"/>
  <c r="D663"/>
  <c r="C663"/>
  <c r="N662"/>
  <c r="G662"/>
  <c r="F662"/>
  <c r="E662"/>
  <c r="D662"/>
  <c r="C662"/>
  <c r="N661"/>
  <c r="G661"/>
  <c r="F661"/>
  <c r="E661"/>
  <c r="D661"/>
  <c r="C661"/>
  <c r="N660"/>
  <c r="G660"/>
  <c r="F660"/>
  <c r="E660"/>
  <c r="D660"/>
  <c r="C660"/>
  <c r="N659"/>
  <c r="G659"/>
  <c r="F659"/>
  <c r="E659"/>
  <c r="D659"/>
  <c r="C659"/>
  <c r="N658"/>
  <c r="G658"/>
  <c r="F658"/>
  <c r="E658"/>
  <c r="D658"/>
  <c r="C658"/>
  <c r="N657"/>
  <c r="G657"/>
  <c r="F657"/>
  <c r="E657"/>
  <c r="D657"/>
  <c r="C657"/>
  <c r="N656"/>
  <c r="G656"/>
  <c r="F656"/>
  <c r="E656"/>
  <c r="D656"/>
  <c r="C656"/>
  <c r="N655"/>
  <c r="G655"/>
  <c r="F655"/>
  <c r="E655"/>
  <c r="D655"/>
  <c r="C655"/>
  <c r="N654"/>
  <c r="G654"/>
  <c r="F654"/>
  <c r="E654"/>
  <c r="D654"/>
  <c r="C654"/>
  <c r="N653"/>
  <c r="G653"/>
  <c r="F653"/>
  <c r="E653"/>
  <c r="D653"/>
  <c r="C653"/>
  <c r="N652"/>
  <c r="G652"/>
  <c r="F652"/>
  <c r="E652"/>
  <c r="D652"/>
  <c r="C652"/>
  <c r="N651"/>
  <c r="G651"/>
  <c r="F651"/>
  <c r="E651"/>
  <c r="D651"/>
  <c r="C651"/>
  <c r="N650"/>
  <c r="G650"/>
  <c r="F650"/>
  <c r="E650"/>
  <c r="D650"/>
  <c r="C650"/>
  <c r="N649"/>
  <c r="G649"/>
  <c r="F649"/>
  <c r="E649"/>
  <c r="D649"/>
  <c r="C649"/>
  <c r="N648"/>
  <c r="G648"/>
  <c r="F648"/>
  <c r="E648"/>
  <c r="D648"/>
  <c r="C648"/>
  <c r="N647"/>
  <c r="G647"/>
  <c r="F647"/>
  <c r="E647"/>
  <c r="D647"/>
  <c r="C647"/>
  <c r="N646"/>
  <c r="G646"/>
  <c r="F646"/>
  <c r="E646"/>
  <c r="D646"/>
  <c r="C646"/>
  <c r="N645"/>
  <c r="G645"/>
  <c r="F645"/>
  <c r="E645"/>
  <c r="D645"/>
  <c r="C645"/>
  <c r="N644"/>
  <c r="G644"/>
  <c r="F644"/>
  <c r="E644"/>
  <c r="D644"/>
  <c r="C644"/>
  <c r="N643"/>
  <c r="G643"/>
  <c r="F643"/>
  <c r="E643"/>
  <c r="D643"/>
  <c r="C643"/>
  <c r="N642"/>
  <c r="G642"/>
  <c r="F642"/>
  <c r="E642"/>
  <c r="D642"/>
  <c r="C642"/>
  <c r="N641"/>
  <c r="G641"/>
  <c r="F641"/>
  <c r="E641"/>
  <c r="D641"/>
  <c r="C641"/>
  <c r="N640"/>
  <c r="G640"/>
  <c r="F640"/>
  <c r="E640"/>
  <c r="D640"/>
  <c r="C640"/>
  <c r="N639"/>
  <c r="G639"/>
  <c r="F639"/>
  <c r="E639"/>
  <c r="D639"/>
  <c r="C639"/>
  <c r="N638"/>
  <c r="G638"/>
  <c r="F638"/>
  <c r="E638"/>
  <c r="D638"/>
  <c r="C638"/>
  <c r="N637"/>
  <c r="G637"/>
  <c r="F637"/>
  <c r="E637"/>
  <c r="D637"/>
  <c r="C637"/>
  <c r="N636"/>
  <c r="G636"/>
  <c r="F636"/>
  <c r="E636"/>
  <c r="D636"/>
  <c r="C636"/>
  <c r="N635"/>
  <c r="G635"/>
  <c r="F635"/>
  <c r="E635"/>
  <c r="D635"/>
  <c r="C635"/>
  <c r="N634"/>
  <c r="G634"/>
  <c r="F634"/>
  <c r="E634"/>
  <c r="D634"/>
  <c r="C634"/>
  <c r="N633"/>
  <c r="G633"/>
  <c r="F633"/>
  <c r="E633"/>
  <c r="D633"/>
  <c r="C633"/>
  <c r="N632"/>
  <c r="G632"/>
  <c r="F632"/>
  <c r="E632"/>
  <c r="D632"/>
  <c r="C632"/>
  <c r="N631"/>
  <c r="G631"/>
  <c r="F631"/>
  <c r="E631"/>
  <c r="D631"/>
  <c r="C631"/>
  <c r="N630"/>
  <c r="G630"/>
  <c r="F630"/>
  <c r="E630"/>
  <c r="D630"/>
  <c r="C630"/>
  <c r="N629"/>
  <c r="G629"/>
  <c r="F629"/>
  <c r="E629"/>
  <c r="D629"/>
  <c r="C629"/>
  <c r="N628"/>
  <c r="G628"/>
  <c r="F628"/>
  <c r="E628"/>
  <c r="D628"/>
  <c r="C628"/>
  <c r="N627"/>
  <c r="G627"/>
  <c r="F627"/>
  <c r="E627"/>
  <c r="D627"/>
  <c r="C627"/>
  <c r="N626"/>
  <c r="G626"/>
  <c r="F626"/>
  <c r="E626"/>
  <c r="D626"/>
  <c r="C626"/>
  <c r="N625"/>
  <c r="G625"/>
  <c r="F625"/>
  <c r="E625"/>
  <c r="D625"/>
  <c r="C625"/>
  <c r="N624"/>
  <c r="G624"/>
  <c r="F624"/>
  <c r="E624"/>
  <c r="D624"/>
  <c r="C624"/>
  <c r="N623"/>
  <c r="G623"/>
  <c r="F623"/>
  <c r="E623"/>
  <c r="D623"/>
  <c r="C623"/>
  <c r="N622"/>
  <c r="G622"/>
  <c r="F622"/>
  <c r="E622"/>
  <c r="D622"/>
  <c r="C622"/>
  <c r="N621"/>
  <c r="G621"/>
  <c r="F621"/>
  <c r="E621"/>
  <c r="D621"/>
  <c r="C621"/>
  <c r="N620"/>
  <c r="G620"/>
  <c r="F620"/>
  <c r="E620"/>
  <c r="D620"/>
  <c r="C620"/>
  <c r="N619"/>
  <c r="G619"/>
  <c r="F619"/>
  <c r="E619"/>
  <c r="D619"/>
  <c r="C619"/>
  <c r="N618"/>
  <c r="G618"/>
  <c r="F618"/>
  <c r="E618"/>
  <c r="D618"/>
  <c r="C618"/>
  <c r="N617"/>
  <c r="G617"/>
  <c r="F617"/>
  <c r="E617"/>
  <c r="D617"/>
  <c r="C617"/>
  <c r="N616"/>
  <c r="G616"/>
  <c r="F616"/>
  <c r="E616"/>
  <c r="D616"/>
  <c r="C616"/>
  <c r="N615"/>
  <c r="G615"/>
  <c r="F615"/>
  <c r="E615"/>
  <c r="D615"/>
  <c r="C615"/>
  <c r="N614"/>
  <c r="G614"/>
  <c r="F614"/>
  <c r="E614"/>
  <c r="D614"/>
  <c r="C614"/>
  <c r="N613"/>
  <c r="G613"/>
  <c r="F613"/>
  <c r="E613"/>
  <c r="D613"/>
  <c r="C613"/>
  <c r="N612"/>
  <c r="G612"/>
  <c r="F612"/>
  <c r="E612"/>
  <c r="D612"/>
  <c r="C612"/>
  <c r="N611"/>
  <c r="G611"/>
  <c r="F611"/>
  <c r="E611"/>
  <c r="D611"/>
  <c r="C611"/>
  <c r="N610"/>
  <c r="G610"/>
  <c r="F610"/>
  <c r="E610"/>
  <c r="D610"/>
  <c r="C610"/>
  <c r="N609"/>
  <c r="G609"/>
  <c r="F609"/>
  <c r="E609"/>
  <c r="D609"/>
  <c r="C609"/>
  <c r="N608"/>
  <c r="G608"/>
  <c r="F608"/>
  <c r="E608"/>
  <c r="D608"/>
  <c r="C608"/>
  <c r="N607"/>
  <c r="G607"/>
  <c r="F607"/>
  <c r="E607"/>
  <c r="D607"/>
  <c r="C607"/>
  <c r="N606"/>
  <c r="G606"/>
  <c r="F606"/>
  <c r="E606"/>
  <c r="D606"/>
  <c r="C606"/>
  <c r="N605"/>
  <c r="G605"/>
  <c r="F605"/>
  <c r="E605"/>
  <c r="D605"/>
  <c r="C605"/>
  <c r="N604"/>
  <c r="G604"/>
  <c r="F604"/>
  <c r="E604"/>
  <c r="D604"/>
  <c r="C604"/>
  <c r="N603"/>
  <c r="G603"/>
  <c r="F603"/>
  <c r="E603"/>
  <c r="D603"/>
  <c r="C603"/>
  <c r="N602"/>
  <c r="G602"/>
  <c r="F602"/>
  <c r="E602"/>
  <c r="D602"/>
  <c r="C602"/>
  <c r="N601"/>
  <c r="G601"/>
  <c r="F601"/>
  <c r="E601"/>
  <c r="D601"/>
  <c r="C601"/>
  <c r="N600"/>
  <c r="G600"/>
  <c r="F600"/>
  <c r="E600"/>
  <c r="D600"/>
  <c r="C600"/>
  <c r="N599"/>
  <c r="G599"/>
  <c r="F599"/>
  <c r="E599"/>
  <c r="D599"/>
  <c r="C599"/>
  <c r="N598"/>
  <c r="G598"/>
  <c r="F598"/>
  <c r="E598"/>
  <c r="D598"/>
  <c r="C598"/>
  <c r="N597"/>
  <c r="G597"/>
  <c r="F597"/>
  <c r="E597"/>
  <c r="D597"/>
  <c r="C597"/>
  <c r="N596"/>
  <c r="G596"/>
  <c r="F596"/>
  <c r="E596"/>
  <c r="D596"/>
  <c r="C596"/>
  <c r="N595"/>
  <c r="G595"/>
  <c r="F595"/>
  <c r="E595"/>
  <c r="D595"/>
  <c r="C595"/>
  <c r="N594"/>
  <c r="G594"/>
  <c r="F594"/>
  <c r="E594"/>
  <c r="D594"/>
  <c r="C594"/>
  <c r="N593"/>
  <c r="G593"/>
  <c r="F593"/>
  <c r="E593"/>
  <c r="D593"/>
  <c r="C593"/>
  <c r="N592"/>
  <c r="G592"/>
  <c r="F592"/>
  <c r="E592"/>
  <c r="D592"/>
  <c r="C592"/>
  <c r="N591"/>
  <c r="G591"/>
  <c r="F591"/>
  <c r="E591"/>
  <c r="D591"/>
  <c r="C591"/>
  <c r="N590"/>
  <c r="G590"/>
  <c r="F590"/>
  <c r="E590"/>
  <c r="D590"/>
  <c r="C590"/>
  <c r="N589"/>
  <c r="G589"/>
  <c r="F589"/>
  <c r="E589"/>
  <c r="D589"/>
  <c r="C589"/>
  <c r="N588"/>
  <c r="G588"/>
  <c r="F588"/>
  <c r="E588"/>
  <c r="D588"/>
  <c r="C588"/>
  <c r="N587"/>
  <c r="G587"/>
  <c r="F587"/>
  <c r="E587"/>
  <c r="D587"/>
  <c r="C587"/>
  <c r="N586"/>
  <c r="G586"/>
  <c r="F586"/>
  <c r="E586"/>
  <c r="D586"/>
  <c r="C586"/>
  <c r="N585"/>
  <c r="G585"/>
  <c r="F585"/>
  <c r="E585"/>
  <c r="D585"/>
  <c r="C585"/>
  <c r="N584"/>
  <c r="G584"/>
  <c r="F584"/>
  <c r="E584"/>
  <c r="D584"/>
  <c r="C584"/>
  <c r="N583"/>
  <c r="G583"/>
  <c r="F583"/>
  <c r="E583"/>
  <c r="D583"/>
  <c r="C583"/>
  <c r="N582"/>
  <c r="G582"/>
  <c r="F582"/>
  <c r="E582"/>
  <c r="D582"/>
  <c r="C582"/>
  <c r="N581"/>
  <c r="G581"/>
  <c r="F581"/>
  <c r="E581"/>
  <c r="D581"/>
  <c r="C581"/>
  <c r="N580"/>
  <c r="G580"/>
  <c r="F580"/>
  <c r="E580"/>
  <c r="D580"/>
  <c r="C580"/>
  <c r="N579"/>
  <c r="G579"/>
  <c r="F579"/>
  <c r="E579"/>
  <c r="D579"/>
  <c r="C579"/>
  <c r="N578"/>
  <c r="G578"/>
  <c r="F578"/>
  <c r="E578"/>
  <c r="D578"/>
  <c r="C578"/>
  <c r="N577"/>
  <c r="G577"/>
  <c r="F577"/>
  <c r="E577"/>
  <c r="D577"/>
  <c r="C577"/>
  <c r="N576"/>
  <c r="G576"/>
  <c r="F576"/>
  <c r="E576"/>
  <c r="D576"/>
  <c r="C576"/>
  <c r="N575"/>
  <c r="G575"/>
  <c r="F575"/>
  <c r="E575"/>
  <c r="D575"/>
  <c r="C575"/>
  <c r="N574"/>
  <c r="G574"/>
  <c r="F574"/>
  <c r="E574"/>
  <c r="D574"/>
  <c r="C574"/>
  <c r="N573"/>
  <c r="G573"/>
  <c r="F573"/>
  <c r="E573"/>
  <c r="D573"/>
  <c r="C573"/>
  <c r="N572"/>
  <c r="G572"/>
  <c r="F572"/>
  <c r="E572"/>
  <c r="D572"/>
  <c r="C572"/>
  <c r="N571"/>
  <c r="G571"/>
  <c r="F571"/>
  <c r="E571"/>
  <c r="D571"/>
  <c r="C571"/>
  <c r="N570"/>
  <c r="G570"/>
  <c r="F570"/>
  <c r="E570"/>
  <c r="D570"/>
  <c r="C570"/>
  <c r="N569"/>
  <c r="G569"/>
  <c r="F569"/>
  <c r="E569"/>
  <c r="D569"/>
  <c r="C569"/>
  <c r="N568"/>
  <c r="G568"/>
  <c r="F568"/>
  <c r="E568"/>
  <c r="D568"/>
  <c r="C568"/>
  <c r="N567"/>
  <c r="G567"/>
  <c r="F567"/>
  <c r="E567"/>
  <c r="D567"/>
  <c r="C567"/>
  <c r="N566"/>
  <c r="G566"/>
  <c r="F566"/>
  <c r="E566"/>
  <c r="D566"/>
  <c r="C566"/>
  <c r="N565"/>
  <c r="G565"/>
  <c r="F565"/>
  <c r="E565"/>
  <c r="D565"/>
  <c r="C565"/>
  <c r="N564"/>
  <c r="G564"/>
  <c r="F564"/>
  <c r="E564"/>
  <c r="D564"/>
  <c r="C564"/>
  <c r="N563"/>
  <c r="G563"/>
  <c r="F563"/>
  <c r="E563"/>
  <c r="D563"/>
  <c r="C563"/>
  <c r="N562"/>
  <c r="G562"/>
  <c r="F562"/>
  <c r="E562"/>
  <c r="D562"/>
  <c r="C562"/>
  <c r="N561"/>
  <c r="G561"/>
  <c r="F561"/>
  <c r="E561"/>
  <c r="D561"/>
  <c r="C561"/>
  <c r="N560"/>
  <c r="G560"/>
  <c r="F560"/>
  <c r="E560"/>
  <c r="D560"/>
  <c r="C560"/>
  <c r="N559"/>
  <c r="G559"/>
  <c r="F559"/>
  <c r="E559"/>
  <c r="D559"/>
  <c r="C559"/>
  <c r="N558"/>
  <c r="G558"/>
  <c r="F558"/>
  <c r="E558"/>
  <c r="D558"/>
  <c r="C558"/>
  <c r="N557"/>
  <c r="G557"/>
  <c r="F557"/>
  <c r="E557"/>
  <c r="D557"/>
  <c r="C557"/>
  <c r="N556"/>
  <c r="G556"/>
  <c r="F556"/>
  <c r="E556"/>
  <c r="D556"/>
  <c r="C556"/>
  <c r="N555"/>
  <c r="G555"/>
  <c r="F555"/>
  <c r="E555"/>
  <c r="D555"/>
  <c r="C555"/>
  <c r="N554"/>
  <c r="G554"/>
  <c r="F554"/>
  <c r="E554"/>
  <c r="D554"/>
  <c r="C554"/>
  <c r="N553"/>
  <c r="G553"/>
  <c r="F553"/>
  <c r="E553"/>
  <c r="D553"/>
  <c r="C553"/>
  <c r="N552"/>
  <c r="G552"/>
  <c r="F552"/>
  <c r="E552"/>
  <c r="D552"/>
  <c r="C552"/>
  <c r="N551"/>
  <c r="G551"/>
  <c r="F551"/>
  <c r="E551"/>
  <c r="D551"/>
  <c r="C551"/>
  <c r="N550"/>
  <c r="G550"/>
  <c r="F550"/>
  <c r="E550"/>
  <c r="D550"/>
  <c r="C550"/>
  <c r="N549"/>
  <c r="G549"/>
  <c r="F549"/>
  <c r="E549"/>
  <c r="D549"/>
  <c r="C549"/>
  <c r="N548"/>
  <c r="G548"/>
  <c r="F548"/>
  <c r="E548"/>
  <c r="D548"/>
  <c r="C548"/>
  <c r="N547"/>
  <c r="G547"/>
  <c r="F547"/>
  <c r="E547"/>
  <c r="D547"/>
  <c r="C547"/>
  <c r="N546"/>
  <c r="G546"/>
  <c r="F546"/>
  <c r="E546"/>
  <c r="D546"/>
  <c r="C546"/>
  <c r="N545"/>
  <c r="G545"/>
  <c r="F545"/>
  <c r="E545"/>
  <c r="D545"/>
  <c r="C545"/>
  <c r="N544"/>
  <c r="G544"/>
  <c r="F544"/>
  <c r="E544"/>
  <c r="D544"/>
  <c r="C544"/>
  <c r="N543"/>
  <c r="G543"/>
  <c r="F543"/>
  <c r="E543"/>
  <c r="D543"/>
  <c r="C543"/>
  <c r="N542"/>
  <c r="G542"/>
  <c r="F542"/>
  <c r="E542"/>
  <c r="D542"/>
  <c r="C542"/>
  <c r="N541"/>
  <c r="G541"/>
  <c r="F541"/>
  <c r="E541"/>
  <c r="D541"/>
  <c r="C541"/>
  <c r="N540"/>
  <c r="G540"/>
  <c r="F540"/>
  <c r="E540"/>
  <c r="D540"/>
  <c r="C540"/>
  <c r="N539"/>
  <c r="G539"/>
  <c r="F539"/>
  <c r="E539"/>
  <c r="D539"/>
  <c r="C539"/>
  <c r="N538"/>
  <c r="G538"/>
  <c r="F538"/>
  <c r="E538"/>
  <c r="D538"/>
  <c r="C538"/>
  <c r="N537"/>
  <c r="G537"/>
  <c r="F537"/>
  <c r="E537"/>
  <c r="D537"/>
  <c r="C537"/>
  <c r="N536"/>
  <c r="G536"/>
  <c r="F536"/>
  <c r="E536"/>
  <c r="D536"/>
  <c r="C536"/>
  <c r="N535"/>
  <c r="G535"/>
  <c r="F535"/>
  <c r="E535"/>
  <c r="D535"/>
  <c r="C535"/>
  <c r="N534"/>
  <c r="G534"/>
  <c r="F534"/>
  <c r="E534"/>
  <c r="D534"/>
  <c r="C534"/>
  <c r="N533"/>
  <c r="G533"/>
  <c r="F533"/>
  <c r="E533"/>
  <c r="D533"/>
  <c r="C533"/>
  <c r="N532"/>
  <c r="G532"/>
  <c r="F532"/>
  <c r="E532"/>
  <c r="D532"/>
  <c r="C532"/>
  <c r="N531"/>
  <c r="G531"/>
  <c r="F531"/>
  <c r="E531"/>
  <c r="D531"/>
  <c r="C531"/>
  <c r="N530"/>
  <c r="G530"/>
  <c r="F530"/>
  <c r="E530"/>
  <c r="D530"/>
  <c r="C530"/>
  <c r="N529"/>
  <c r="G529"/>
  <c r="F529"/>
  <c r="E529"/>
  <c r="D529"/>
  <c r="C529"/>
  <c r="N528"/>
  <c r="G528"/>
  <c r="F528"/>
  <c r="E528"/>
  <c r="D528"/>
  <c r="C528"/>
  <c r="N527"/>
  <c r="G527"/>
  <c r="F527"/>
  <c r="E527"/>
  <c r="D527"/>
  <c r="C527"/>
  <c r="N526"/>
  <c r="G526"/>
  <c r="F526"/>
  <c r="E526"/>
  <c r="D526"/>
  <c r="C526"/>
  <c r="N525"/>
  <c r="G525"/>
  <c r="F525"/>
  <c r="E525"/>
  <c r="D525"/>
  <c r="C525"/>
  <c r="N524"/>
  <c r="G524"/>
  <c r="F524"/>
  <c r="E524"/>
  <c r="D524"/>
  <c r="C524"/>
  <c r="N523"/>
  <c r="G523"/>
  <c r="F523"/>
  <c r="E523"/>
  <c r="D523"/>
  <c r="C523"/>
  <c r="N522"/>
  <c r="G522"/>
  <c r="F522"/>
  <c r="E522"/>
  <c r="D522"/>
  <c r="C522"/>
  <c r="N521"/>
  <c r="G521"/>
  <c r="F521"/>
  <c r="E521"/>
  <c r="D521"/>
  <c r="C521"/>
  <c r="N520"/>
  <c r="G520"/>
  <c r="F520"/>
  <c r="E520"/>
  <c r="D520"/>
  <c r="C520"/>
  <c r="N519"/>
  <c r="G519"/>
  <c r="F519"/>
  <c r="E519"/>
  <c r="D519"/>
  <c r="C519"/>
  <c r="N518"/>
  <c r="G518"/>
  <c r="F518"/>
  <c r="E518"/>
  <c r="D518"/>
  <c r="C518"/>
  <c r="N517"/>
  <c r="G517"/>
  <c r="F517"/>
  <c r="E517"/>
  <c r="D517"/>
  <c r="C517"/>
  <c r="N516"/>
  <c r="G516"/>
  <c r="F516"/>
  <c r="E516"/>
  <c r="D516"/>
  <c r="C516"/>
  <c r="N515"/>
  <c r="G515"/>
  <c r="F515"/>
  <c r="E515"/>
  <c r="D515"/>
  <c r="C515"/>
  <c r="N514"/>
  <c r="G514"/>
  <c r="F514"/>
  <c r="E514"/>
  <c r="D514"/>
  <c r="C514"/>
  <c r="N513"/>
  <c r="G513"/>
  <c r="F513"/>
  <c r="E513"/>
  <c r="D513"/>
  <c r="C513"/>
  <c r="N512"/>
  <c r="G512"/>
  <c r="F512"/>
  <c r="E512"/>
  <c r="D512"/>
  <c r="C512"/>
  <c r="N511"/>
  <c r="G511"/>
  <c r="F511"/>
  <c r="E511"/>
  <c r="D511"/>
  <c r="C511"/>
  <c r="N510"/>
  <c r="G510"/>
  <c r="F510"/>
  <c r="E510"/>
  <c r="D510"/>
  <c r="C510"/>
  <c r="N509"/>
  <c r="G509"/>
  <c r="F509"/>
  <c r="E509"/>
  <c r="D509"/>
  <c r="C509"/>
  <c r="N508"/>
  <c r="G508"/>
  <c r="F508"/>
  <c r="E508"/>
  <c r="D508"/>
  <c r="C508"/>
  <c r="N507"/>
  <c r="G507"/>
  <c r="F507"/>
  <c r="E507"/>
  <c r="D507"/>
  <c r="C507"/>
  <c r="N506"/>
  <c r="G506"/>
  <c r="F506"/>
  <c r="E506"/>
  <c r="D506"/>
  <c r="C506"/>
  <c r="N505"/>
  <c r="G505"/>
  <c r="F505"/>
  <c r="E505"/>
  <c r="D505"/>
  <c r="C505"/>
  <c r="N504"/>
  <c r="G504"/>
  <c r="F504"/>
  <c r="E504"/>
  <c r="D504"/>
  <c r="C504"/>
  <c r="N503"/>
  <c r="G503"/>
  <c r="F503"/>
  <c r="E503"/>
  <c r="D503"/>
  <c r="C503"/>
  <c r="N502"/>
  <c r="G502"/>
  <c r="F502"/>
  <c r="E502"/>
  <c r="D502"/>
  <c r="C502"/>
  <c r="N501"/>
  <c r="G501"/>
  <c r="F501"/>
  <c r="E501"/>
  <c r="D501"/>
  <c r="C501"/>
  <c r="N500"/>
  <c r="G500"/>
  <c r="F500"/>
  <c r="E500"/>
  <c r="D500"/>
  <c r="C500"/>
  <c r="N499"/>
  <c r="G499"/>
  <c r="F499"/>
  <c r="E499"/>
  <c r="D499"/>
  <c r="C499"/>
  <c r="N498"/>
  <c r="G498"/>
  <c r="F498"/>
  <c r="E498"/>
  <c r="D498"/>
  <c r="C498"/>
  <c r="N497"/>
  <c r="G497"/>
  <c r="F497"/>
  <c r="E497"/>
  <c r="D497"/>
  <c r="C497"/>
  <c r="N496"/>
  <c r="G496"/>
  <c r="F496"/>
  <c r="E496"/>
  <c r="D496"/>
  <c r="C496"/>
  <c r="N495"/>
  <c r="G495"/>
  <c r="F495"/>
  <c r="E495"/>
  <c r="D495"/>
  <c r="C495"/>
  <c r="N494"/>
  <c r="G494"/>
  <c r="F494"/>
  <c r="E494"/>
  <c r="D494"/>
  <c r="C494"/>
  <c r="N493"/>
  <c r="G493"/>
  <c r="F493"/>
  <c r="E493"/>
  <c r="D493"/>
  <c r="C493"/>
  <c r="N492"/>
  <c r="G492"/>
  <c r="F492"/>
  <c r="E492"/>
  <c r="D492"/>
  <c r="C492"/>
  <c r="N491"/>
  <c r="G491"/>
  <c r="F491"/>
  <c r="E491"/>
  <c r="D491"/>
  <c r="C491"/>
  <c r="N490"/>
  <c r="G490"/>
  <c r="F490"/>
  <c r="E490"/>
  <c r="D490"/>
  <c r="C490"/>
  <c r="N489"/>
  <c r="G489"/>
  <c r="F489"/>
  <c r="E489"/>
  <c r="D489"/>
  <c r="C489"/>
  <c r="N488"/>
  <c r="G488"/>
  <c r="F488"/>
  <c r="E488"/>
  <c r="D488"/>
  <c r="C488"/>
  <c r="N487"/>
  <c r="G487"/>
  <c r="F487"/>
  <c r="E487"/>
  <c r="D487"/>
  <c r="C487"/>
  <c r="N486"/>
  <c r="G486"/>
  <c r="F486"/>
  <c r="E486"/>
  <c r="D486"/>
  <c r="C486"/>
  <c r="N485"/>
  <c r="G485"/>
  <c r="F485"/>
  <c r="E485"/>
  <c r="D485"/>
  <c r="C485"/>
  <c r="N484"/>
  <c r="G484"/>
  <c r="F484"/>
  <c r="E484"/>
  <c r="D484"/>
  <c r="C484"/>
  <c r="N483"/>
  <c r="G483"/>
  <c r="F483"/>
  <c r="E483"/>
  <c r="D483"/>
  <c r="C483"/>
  <c r="N482"/>
  <c r="G482"/>
  <c r="F482"/>
  <c r="E482"/>
  <c r="D482"/>
  <c r="C482"/>
  <c r="N481"/>
  <c r="G481"/>
  <c r="F481"/>
  <c r="E481"/>
  <c r="D481"/>
  <c r="C481"/>
  <c r="N480"/>
  <c r="G480"/>
  <c r="F480"/>
  <c r="E480"/>
  <c r="D480"/>
  <c r="C480"/>
  <c r="N479"/>
  <c r="G479"/>
  <c r="F479"/>
  <c r="E479"/>
  <c r="D479"/>
  <c r="C479"/>
  <c r="N478"/>
  <c r="G478"/>
  <c r="F478"/>
  <c r="E478"/>
  <c r="D478"/>
  <c r="C478"/>
  <c r="N477"/>
  <c r="G477"/>
  <c r="F477"/>
  <c r="E477"/>
  <c r="D477"/>
  <c r="C477"/>
  <c r="N476"/>
  <c r="G476"/>
  <c r="F476"/>
  <c r="E476"/>
  <c r="D476"/>
  <c r="C476"/>
  <c r="N475"/>
  <c r="G475"/>
  <c r="F475"/>
  <c r="E475"/>
  <c r="D475"/>
  <c r="C475"/>
  <c r="N474"/>
  <c r="G474"/>
  <c r="F474"/>
  <c r="E474"/>
  <c r="D474"/>
  <c r="C474"/>
  <c r="N473"/>
  <c r="G473"/>
  <c r="F473"/>
  <c r="E473"/>
  <c r="D473"/>
  <c r="C473"/>
  <c r="N472"/>
  <c r="G472"/>
  <c r="F472"/>
  <c r="E472"/>
  <c r="D472"/>
  <c r="C472"/>
  <c r="N471"/>
  <c r="G471"/>
  <c r="F471"/>
  <c r="E471"/>
  <c r="D471"/>
  <c r="C471"/>
  <c r="N470"/>
  <c r="G470"/>
  <c r="F470"/>
  <c r="E470"/>
  <c r="D470"/>
  <c r="C470"/>
  <c r="N469"/>
  <c r="G469"/>
  <c r="F469"/>
  <c r="E469"/>
  <c r="D469"/>
  <c r="C469"/>
  <c r="N468"/>
  <c r="G468"/>
  <c r="F468"/>
  <c r="E468"/>
  <c r="D468"/>
  <c r="C468"/>
  <c r="N467"/>
  <c r="G467"/>
  <c r="F467"/>
  <c r="E467"/>
  <c r="D467"/>
  <c r="C467"/>
  <c r="N466"/>
  <c r="G466"/>
  <c r="F466"/>
  <c r="E466"/>
  <c r="D466"/>
  <c r="C466"/>
  <c r="N465"/>
  <c r="G465"/>
  <c r="F465"/>
  <c r="E465"/>
  <c r="D465"/>
  <c r="C465"/>
  <c r="N464"/>
  <c r="G464"/>
  <c r="F464"/>
  <c r="E464"/>
  <c r="D464"/>
  <c r="C464"/>
  <c r="N463"/>
  <c r="G463"/>
  <c r="F463"/>
  <c r="E463"/>
  <c r="D463"/>
  <c r="C463"/>
  <c r="N462"/>
  <c r="G462"/>
  <c r="F462"/>
  <c r="E462"/>
  <c r="D462"/>
  <c r="C462"/>
  <c r="N461"/>
  <c r="G461"/>
  <c r="F461"/>
  <c r="E461"/>
  <c r="D461"/>
  <c r="C461"/>
  <c r="N460"/>
  <c r="G460"/>
  <c r="F460"/>
  <c r="E460"/>
  <c r="D460"/>
  <c r="C460"/>
  <c r="N459"/>
  <c r="G459"/>
  <c r="F459"/>
  <c r="E459"/>
  <c r="D459"/>
  <c r="C459"/>
  <c r="N458"/>
  <c r="G458"/>
  <c r="F458"/>
  <c r="E458"/>
  <c r="D458"/>
  <c r="C458"/>
  <c r="N457"/>
  <c r="G457"/>
  <c r="F457"/>
  <c r="E457"/>
  <c r="D457"/>
  <c r="C457"/>
  <c r="N456"/>
  <c r="G456"/>
  <c r="F456"/>
  <c r="E456"/>
  <c r="D456"/>
  <c r="C456"/>
  <c r="N455"/>
  <c r="G455"/>
  <c r="F455"/>
  <c r="E455"/>
  <c r="D455"/>
  <c r="C455"/>
  <c r="N454"/>
  <c r="G454"/>
  <c r="F454"/>
  <c r="E454"/>
  <c r="D454"/>
  <c r="C454"/>
  <c r="N453"/>
  <c r="G453"/>
  <c r="F453"/>
  <c r="E453"/>
  <c r="D453"/>
  <c r="C453"/>
  <c r="N452"/>
  <c r="G452"/>
  <c r="F452"/>
  <c r="E452"/>
  <c r="D452"/>
  <c r="C452"/>
  <c r="N451"/>
  <c r="G451"/>
  <c r="F451"/>
  <c r="E451"/>
  <c r="D451"/>
  <c r="C451"/>
  <c r="N450"/>
  <c r="G450"/>
  <c r="F450"/>
  <c r="E450"/>
  <c r="D450"/>
  <c r="C450"/>
  <c r="N449"/>
  <c r="G449"/>
  <c r="F449"/>
  <c r="E449"/>
  <c r="D449"/>
  <c r="C449"/>
  <c r="N448"/>
  <c r="G448"/>
  <c r="F448"/>
  <c r="E448"/>
  <c r="D448"/>
  <c r="C448"/>
  <c r="N447"/>
  <c r="G447"/>
  <c r="F447"/>
  <c r="E447"/>
  <c r="D447"/>
  <c r="C447"/>
  <c r="N446"/>
  <c r="G446"/>
  <c r="F446"/>
  <c r="E446"/>
  <c r="D446"/>
  <c r="C446"/>
  <c r="N445"/>
  <c r="G445"/>
  <c r="F445"/>
  <c r="E445"/>
  <c r="D445"/>
  <c r="C445"/>
  <c r="N444"/>
  <c r="G444"/>
  <c r="F444"/>
  <c r="E444"/>
  <c r="D444"/>
  <c r="C444"/>
  <c r="N443"/>
  <c r="G443"/>
  <c r="F443"/>
  <c r="E443"/>
  <c r="D443"/>
  <c r="C443"/>
  <c r="N442"/>
  <c r="G442"/>
  <c r="F442"/>
  <c r="E442"/>
  <c r="D442"/>
  <c r="C442"/>
  <c r="N441"/>
  <c r="G441"/>
  <c r="F441"/>
  <c r="E441"/>
  <c r="D441"/>
  <c r="C441"/>
  <c r="N440"/>
  <c r="G440"/>
  <c r="F440"/>
  <c r="E440"/>
  <c r="D440"/>
  <c r="C440"/>
  <c r="N439"/>
  <c r="G439"/>
  <c r="F439"/>
  <c r="E439"/>
  <c r="D439"/>
  <c r="C439"/>
  <c r="N438"/>
  <c r="G438"/>
  <c r="F438"/>
  <c r="E438"/>
  <c r="D438"/>
  <c r="C438"/>
  <c r="N437"/>
  <c r="G437"/>
  <c r="F437"/>
  <c r="E437"/>
  <c r="D437"/>
  <c r="C437"/>
  <c r="N436"/>
  <c r="G436"/>
  <c r="F436"/>
  <c r="E436"/>
  <c r="D436"/>
  <c r="C436"/>
  <c r="N435"/>
  <c r="G435"/>
  <c r="F435"/>
  <c r="E435"/>
  <c r="D435"/>
  <c r="C435"/>
  <c r="N434"/>
  <c r="G434"/>
  <c r="F434"/>
  <c r="E434"/>
  <c r="D434"/>
  <c r="C434"/>
  <c r="N433"/>
  <c r="G433"/>
  <c r="F433"/>
  <c r="E433"/>
  <c r="D433"/>
  <c r="C433"/>
  <c r="N432"/>
  <c r="G432"/>
  <c r="F432"/>
  <c r="E432"/>
  <c r="D432"/>
  <c r="C432"/>
  <c r="N431"/>
  <c r="G431"/>
  <c r="F431"/>
  <c r="E431"/>
  <c r="D431"/>
  <c r="C431"/>
  <c r="N430"/>
  <c r="G430"/>
  <c r="F430"/>
  <c r="E430"/>
  <c r="D430"/>
  <c r="C430"/>
  <c r="N429"/>
  <c r="G429"/>
  <c r="F429"/>
  <c r="E429"/>
  <c r="D429"/>
  <c r="C429"/>
  <c r="N428"/>
  <c r="G428"/>
  <c r="F428"/>
  <c r="E428"/>
  <c r="D428"/>
  <c r="C428"/>
  <c r="N427"/>
  <c r="G427"/>
  <c r="F427"/>
  <c r="E427"/>
  <c r="D427"/>
  <c r="C427"/>
  <c r="N426"/>
  <c r="G426"/>
  <c r="F426"/>
  <c r="E426"/>
  <c r="D426"/>
  <c r="C426"/>
  <c r="N425"/>
  <c r="G425"/>
  <c r="F425"/>
  <c r="E425"/>
  <c r="D425"/>
  <c r="C425"/>
  <c r="N424"/>
  <c r="G424"/>
  <c r="F424"/>
  <c r="E424"/>
  <c r="D424"/>
  <c r="C424"/>
  <c r="N423"/>
  <c r="G423"/>
  <c r="F423"/>
  <c r="E423"/>
  <c r="D423"/>
  <c r="C423"/>
  <c r="N422"/>
  <c r="G422"/>
  <c r="F422"/>
  <c r="E422"/>
  <c r="D422"/>
  <c r="C422"/>
  <c r="N421"/>
  <c r="G421"/>
  <c r="F421"/>
  <c r="E421"/>
  <c r="D421"/>
  <c r="C421"/>
  <c r="N420"/>
  <c r="G420"/>
  <c r="F420"/>
  <c r="E420"/>
  <c r="D420"/>
  <c r="C420"/>
  <c r="N419"/>
  <c r="G419"/>
  <c r="F419"/>
  <c r="E419"/>
  <c r="D419"/>
  <c r="C419"/>
  <c r="N418"/>
  <c r="G418"/>
  <c r="F418"/>
  <c r="E418"/>
  <c r="D418"/>
  <c r="C418"/>
  <c r="N417"/>
  <c r="G417"/>
  <c r="F417"/>
  <c r="E417"/>
  <c r="D417"/>
  <c r="C417"/>
  <c r="N416"/>
  <c r="G416"/>
  <c r="F416"/>
  <c r="E416"/>
  <c r="D416"/>
  <c r="C416"/>
  <c r="N415"/>
  <c r="G415"/>
  <c r="F415"/>
  <c r="E415"/>
  <c r="D415"/>
  <c r="C415"/>
  <c r="N414"/>
  <c r="G414"/>
  <c r="F414"/>
  <c r="E414"/>
  <c r="D414"/>
  <c r="C414"/>
  <c r="N413"/>
  <c r="G413"/>
  <c r="F413"/>
  <c r="E413"/>
  <c r="D413"/>
  <c r="C413"/>
  <c r="N412"/>
  <c r="G412"/>
  <c r="F412"/>
  <c r="E412"/>
  <c r="D412"/>
  <c r="C412"/>
  <c r="N411"/>
  <c r="G411"/>
  <c r="F411"/>
  <c r="E411"/>
  <c r="D411"/>
  <c r="C411"/>
  <c r="N410"/>
  <c r="G410"/>
  <c r="F410"/>
  <c r="E410"/>
  <c r="D410"/>
  <c r="C410"/>
  <c r="N409"/>
  <c r="G409"/>
  <c r="F409"/>
  <c r="E409"/>
  <c r="D409"/>
  <c r="C409"/>
  <c r="N408"/>
  <c r="G408"/>
  <c r="F408"/>
  <c r="E408"/>
  <c r="D408"/>
  <c r="C408"/>
  <c r="N407"/>
  <c r="G407"/>
  <c r="F407"/>
  <c r="E407"/>
  <c r="D407"/>
  <c r="C407"/>
  <c r="N406"/>
  <c r="G406"/>
  <c r="F406"/>
  <c r="E406"/>
  <c r="D406"/>
  <c r="C406"/>
  <c r="N405"/>
  <c r="G405"/>
  <c r="F405"/>
  <c r="E405"/>
  <c r="D405"/>
  <c r="C405"/>
  <c r="N404"/>
  <c r="G404"/>
  <c r="F404"/>
  <c r="E404"/>
  <c r="D404"/>
  <c r="C404"/>
  <c r="N403"/>
  <c r="G403"/>
  <c r="F403"/>
  <c r="E403"/>
  <c r="D403"/>
  <c r="C403"/>
  <c r="N402"/>
  <c r="G402"/>
  <c r="F402"/>
  <c r="E402"/>
  <c r="D402"/>
  <c r="C402"/>
  <c r="N401"/>
  <c r="G401"/>
  <c r="F401"/>
  <c r="E401"/>
  <c r="D401"/>
  <c r="C401"/>
  <c r="N400"/>
  <c r="G400"/>
  <c r="F400"/>
  <c r="E400"/>
  <c r="D400"/>
  <c r="C400"/>
  <c r="N399"/>
  <c r="G399"/>
  <c r="F399"/>
  <c r="E399"/>
  <c r="D399"/>
  <c r="C399"/>
  <c r="N398"/>
  <c r="G398"/>
  <c r="F398"/>
  <c r="E398"/>
  <c r="D398"/>
  <c r="C398"/>
  <c r="N397"/>
  <c r="G397"/>
  <c r="F397"/>
  <c r="E397"/>
  <c r="D397"/>
  <c r="C397"/>
  <c r="N396"/>
  <c r="G396"/>
  <c r="F396"/>
  <c r="E396"/>
  <c r="D396"/>
  <c r="C396"/>
  <c r="N395"/>
  <c r="G395"/>
  <c r="F395"/>
  <c r="E395"/>
  <c r="D395"/>
  <c r="C395"/>
  <c r="N394"/>
  <c r="G394"/>
  <c r="F394"/>
  <c r="E394"/>
  <c r="D394"/>
  <c r="C394"/>
  <c r="N393"/>
  <c r="G393"/>
  <c r="F393"/>
  <c r="E393"/>
  <c r="D393"/>
  <c r="C393"/>
  <c r="N392"/>
  <c r="G392"/>
  <c r="F392"/>
  <c r="E392"/>
  <c r="D392"/>
  <c r="C392"/>
  <c r="N391"/>
  <c r="G391"/>
  <c r="F391"/>
  <c r="E391"/>
  <c r="D391"/>
  <c r="C391"/>
  <c r="N390"/>
  <c r="G390"/>
  <c r="F390"/>
  <c r="E390"/>
  <c r="D390"/>
  <c r="C390"/>
  <c r="N389"/>
  <c r="G389"/>
  <c r="F389"/>
  <c r="E389"/>
  <c r="D389"/>
  <c r="C389"/>
  <c r="N388"/>
  <c r="G388"/>
  <c r="F388"/>
  <c r="E388"/>
  <c r="D388"/>
  <c r="C388"/>
  <c r="N387"/>
  <c r="G387"/>
  <c r="F387"/>
  <c r="E387"/>
  <c r="D387"/>
  <c r="C387"/>
  <c r="N386"/>
  <c r="G386"/>
  <c r="F386"/>
  <c r="E386"/>
  <c r="D386"/>
  <c r="C386"/>
  <c r="N385"/>
  <c r="G385"/>
  <c r="F385"/>
  <c r="E385"/>
  <c r="D385"/>
  <c r="C385"/>
  <c r="N384"/>
  <c r="G384"/>
  <c r="F384"/>
  <c r="E384"/>
  <c r="D384"/>
  <c r="C384"/>
  <c r="N383"/>
  <c r="G383"/>
  <c r="F383"/>
  <c r="E383"/>
  <c r="D383"/>
  <c r="C383"/>
  <c r="N382"/>
  <c r="G382"/>
  <c r="F382"/>
  <c r="E382"/>
  <c r="D382"/>
  <c r="C382"/>
  <c r="N381"/>
  <c r="G381"/>
  <c r="F381"/>
  <c r="E381"/>
  <c r="D381"/>
  <c r="C381"/>
  <c r="N380"/>
  <c r="G380"/>
  <c r="F380"/>
  <c r="E380"/>
  <c r="D380"/>
  <c r="C380"/>
  <c r="N379"/>
  <c r="G379"/>
  <c r="F379"/>
  <c r="E379"/>
  <c r="D379"/>
  <c r="C379"/>
  <c r="N378"/>
  <c r="G378"/>
  <c r="F378"/>
  <c r="E378"/>
  <c r="D378"/>
  <c r="C378"/>
  <c r="N377"/>
  <c r="G377"/>
  <c r="F377"/>
  <c r="E377"/>
  <c r="D377"/>
  <c r="C377"/>
  <c r="N376"/>
  <c r="G376"/>
  <c r="F376"/>
  <c r="E376"/>
  <c r="D376"/>
  <c r="C376"/>
  <c r="N375"/>
  <c r="G375"/>
  <c r="F375"/>
  <c r="E375"/>
  <c r="D375"/>
  <c r="C375"/>
  <c r="N374"/>
  <c r="G374"/>
  <c r="F374"/>
  <c r="E374"/>
  <c r="D374"/>
  <c r="C374"/>
  <c r="N373"/>
  <c r="G373"/>
  <c r="F373"/>
  <c r="E373"/>
  <c r="D373"/>
  <c r="C373"/>
  <c r="N372"/>
  <c r="G372"/>
  <c r="F372"/>
  <c r="E372"/>
  <c r="D372"/>
  <c r="C372"/>
  <c r="N371"/>
  <c r="G371"/>
  <c r="F371"/>
  <c r="E371"/>
  <c r="D371"/>
  <c r="C371"/>
  <c r="N370"/>
  <c r="G370"/>
  <c r="F370"/>
  <c r="E370"/>
  <c r="D370"/>
  <c r="C370"/>
  <c r="N369"/>
  <c r="G369"/>
  <c r="F369"/>
  <c r="E369"/>
  <c r="D369"/>
  <c r="C369"/>
  <c r="N368"/>
  <c r="G368"/>
  <c r="F368"/>
  <c r="E368"/>
  <c r="D368"/>
  <c r="C368"/>
  <c r="N367"/>
  <c r="G367"/>
  <c r="F367"/>
  <c r="E367"/>
  <c r="D367"/>
  <c r="C367"/>
  <c r="N366"/>
  <c r="G366"/>
  <c r="F366"/>
  <c r="E366"/>
  <c r="D366"/>
  <c r="C366"/>
  <c r="N365"/>
  <c r="G365"/>
  <c r="F365"/>
  <c r="E365"/>
  <c r="D365"/>
  <c r="C365"/>
  <c r="N364"/>
  <c r="G364"/>
  <c r="F364"/>
  <c r="E364"/>
  <c r="D364"/>
  <c r="C364"/>
  <c r="N363"/>
  <c r="G363"/>
  <c r="F363"/>
  <c r="E363"/>
  <c r="D363"/>
  <c r="C363"/>
  <c r="N362"/>
  <c r="G362"/>
  <c r="F362"/>
  <c r="E362"/>
  <c r="D362"/>
  <c r="C362"/>
  <c r="N361"/>
  <c r="G361"/>
  <c r="F361"/>
  <c r="E361"/>
  <c r="D361"/>
  <c r="C361"/>
  <c r="N360"/>
  <c r="G360"/>
  <c r="F360"/>
  <c r="E360"/>
  <c r="D360"/>
  <c r="C360"/>
  <c r="N359"/>
  <c r="G359"/>
  <c r="F359"/>
  <c r="E359"/>
  <c r="D359"/>
  <c r="C359"/>
  <c r="N358"/>
  <c r="G358"/>
  <c r="F358"/>
  <c r="E358"/>
  <c r="D358"/>
  <c r="C358"/>
  <c r="N357"/>
  <c r="G357"/>
  <c r="F357"/>
  <c r="E357"/>
  <c r="D357"/>
  <c r="C357"/>
  <c r="N356"/>
  <c r="G356"/>
  <c r="F356"/>
  <c r="E356"/>
  <c r="D356"/>
  <c r="C356"/>
  <c r="N355"/>
  <c r="G355"/>
  <c r="F355"/>
  <c r="E355"/>
  <c r="D355"/>
  <c r="C355"/>
  <c r="N354"/>
  <c r="G354"/>
  <c r="F354"/>
  <c r="E354"/>
  <c r="D354"/>
  <c r="C354"/>
  <c r="N353"/>
  <c r="G353"/>
  <c r="F353"/>
  <c r="E353"/>
  <c r="D353"/>
  <c r="C353"/>
  <c r="N352"/>
  <c r="G352"/>
  <c r="F352"/>
  <c r="E352"/>
  <c r="D352"/>
  <c r="C352"/>
  <c r="N351"/>
  <c r="G351"/>
  <c r="F351"/>
  <c r="E351"/>
  <c r="D351"/>
  <c r="C351"/>
  <c r="N350"/>
  <c r="G350"/>
  <c r="F350"/>
  <c r="E350"/>
  <c r="D350"/>
  <c r="C350"/>
  <c r="N349"/>
  <c r="G349"/>
  <c r="F349"/>
  <c r="E349"/>
  <c r="D349"/>
  <c r="C349"/>
  <c r="N348"/>
  <c r="G348"/>
  <c r="F348"/>
  <c r="E348"/>
  <c r="D348"/>
  <c r="C348"/>
  <c r="N347"/>
  <c r="G347"/>
  <c r="F347"/>
  <c r="E347"/>
  <c r="D347"/>
  <c r="C347"/>
  <c r="N346"/>
  <c r="G346"/>
  <c r="F346"/>
  <c r="E346"/>
  <c r="D346"/>
  <c r="C346"/>
  <c r="N345"/>
  <c r="G345"/>
  <c r="F345"/>
  <c r="E345"/>
  <c r="D345"/>
  <c r="C345"/>
  <c r="N344"/>
  <c r="G344"/>
  <c r="F344"/>
  <c r="E344"/>
  <c r="D344"/>
  <c r="C344"/>
  <c r="N343"/>
  <c r="G343"/>
  <c r="F343"/>
  <c r="E343"/>
  <c r="D343"/>
  <c r="C343"/>
  <c r="N342"/>
  <c r="G342"/>
  <c r="F342"/>
  <c r="E342"/>
  <c r="D342"/>
  <c r="C342"/>
  <c r="N341"/>
  <c r="G341"/>
  <c r="F341"/>
  <c r="E341"/>
  <c r="D341"/>
  <c r="C341"/>
  <c r="N340"/>
  <c r="G340"/>
  <c r="F340"/>
  <c r="E340"/>
  <c r="D340"/>
  <c r="C340"/>
  <c r="N339"/>
  <c r="G339"/>
  <c r="F339"/>
  <c r="E339"/>
  <c r="D339"/>
  <c r="C339"/>
  <c r="N338"/>
  <c r="G338"/>
  <c r="F338"/>
  <c r="E338"/>
  <c r="D338"/>
  <c r="C338"/>
  <c r="N337"/>
  <c r="G337"/>
  <c r="F337"/>
  <c r="E337"/>
  <c r="D337"/>
  <c r="C337"/>
  <c r="N336"/>
  <c r="G336"/>
  <c r="F336"/>
  <c r="E336"/>
  <c r="D336"/>
  <c r="C336"/>
  <c r="N335"/>
  <c r="G335"/>
  <c r="F335"/>
  <c r="E335"/>
  <c r="D335"/>
  <c r="C335"/>
  <c r="N334"/>
  <c r="G334"/>
  <c r="F334"/>
  <c r="E334"/>
  <c r="D334"/>
  <c r="C334"/>
  <c r="N333"/>
  <c r="G333"/>
  <c r="F333"/>
  <c r="E333"/>
  <c r="D333"/>
  <c r="C333"/>
  <c r="N332"/>
  <c r="G332"/>
  <c r="F332"/>
  <c r="E332"/>
  <c r="D332"/>
  <c r="C332"/>
  <c r="N331"/>
  <c r="G331"/>
  <c r="F331"/>
  <c r="E331"/>
  <c r="D331"/>
  <c r="C331"/>
  <c r="N330"/>
  <c r="G330"/>
  <c r="F330"/>
  <c r="E330"/>
  <c r="D330"/>
  <c r="C330"/>
  <c r="N329"/>
  <c r="G329"/>
  <c r="F329"/>
  <c r="E329"/>
  <c r="D329"/>
  <c r="C329"/>
  <c r="N328"/>
  <c r="G328"/>
  <c r="F328"/>
  <c r="E328"/>
  <c r="D328"/>
  <c r="C328"/>
  <c r="N327"/>
  <c r="G327"/>
  <c r="F327"/>
  <c r="E327"/>
  <c r="D327"/>
  <c r="C327"/>
  <c r="N326"/>
  <c r="G326"/>
  <c r="F326"/>
  <c r="E326"/>
  <c r="D326"/>
  <c r="C326"/>
  <c r="N325"/>
  <c r="G325"/>
  <c r="F325"/>
  <c r="E325"/>
  <c r="D325"/>
  <c r="C325"/>
  <c r="N324"/>
  <c r="G324"/>
  <c r="F324"/>
  <c r="E324"/>
  <c r="D324"/>
  <c r="C324"/>
  <c r="N323"/>
  <c r="G323"/>
  <c r="F323"/>
  <c r="E323"/>
  <c r="D323"/>
  <c r="C323"/>
  <c r="N322"/>
  <c r="G322"/>
  <c r="F322"/>
  <c r="E322"/>
  <c r="D322"/>
  <c r="C322"/>
  <c r="N321"/>
  <c r="G321"/>
  <c r="F321"/>
  <c r="E321"/>
  <c r="D321"/>
  <c r="C321"/>
  <c r="N320"/>
  <c r="G320"/>
  <c r="F320"/>
  <c r="E320"/>
  <c r="D320"/>
  <c r="C320"/>
  <c r="N319"/>
  <c r="G319"/>
  <c r="F319"/>
  <c r="E319"/>
  <c r="D319"/>
  <c r="C319"/>
  <c r="N318"/>
  <c r="G318"/>
  <c r="F318"/>
  <c r="E318"/>
  <c r="D318"/>
  <c r="C318"/>
  <c r="N317"/>
  <c r="G317"/>
  <c r="F317"/>
  <c r="E317"/>
  <c r="D317"/>
  <c r="C317"/>
  <c r="N316"/>
  <c r="G316"/>
  <c r="F316"/>
  <c r="E316"/>
  <c r="D316"/>
  <c r="C316"/>
  <c r="N315"/>
  <c r="G315"/>
  <c r="F315"/>
  <c r="E315"/>
  <c r="D315"/>
  <c r="C315"/>
  <c r="N314"/>
  <c r="G314"/>
  <c r="F314"/>
  <c r="E314"/>
  <c r="D314"/>
  <c r="C314"/>
  <c r="N313"/>
  <c r="G313"/>
  <c r="F313"/>
  <c r="E313"/>
  <c r="D313"/>
  <c r="C313"/>
  <c r="N312"/>
  <c r="G312"/>
  <c r="F312"/>
  <c r="E312"/>
  <c r="D312"/>
  <c r="C312"/>
  <c r="N311"/>
  <c r="G311"/>
  <c r="F311"/>
  <c r="E311"/>
  <c r="D311"/>
  <c r="C311"/>
  <c r="N310"/>
  <c r="G310"/>
  <c r="F310"/>
  <c r="E310"/>
  <c r="D310"/>
  <c r="C310"/>
  <c r="N309"/>
  <c r="G309"/>
  <c r="F309"/>
  <c r="E309"/>
  <c r="D309"/>
  <c r="C309"/>
  <c r="N308"/>
  <c r="G308"/>
  <c r="F308"/>
  <c r="E308"/>
  <c r="D308"/>
  <c r="C308"/>
  <c r="N307"/>
  <c r="G307"/>
  <c r="F307"/>
  <c r="E307"/>
  <c r="D307"/>
  <c r="C307"/>
  <c r="N306"/>
  <c r="G306"/>
  <c r="F306"/>
  <c r="E306"/>
  <c r="D306"/>
  <c r="C306"/>
  <c r="N305"/>
  <c r="G305"/>
  <c r="F305"/>
  <c r="E305"/>
  <c r="D305"/>
  <c r="C305"/>
  <c r="N304"/>
  <c r="G304"/>
  <c r="F304"/>
  <c r="E304"/>
  <c r="D304"/>
  <c r="C304"/>
  <c r="N303"/>
  <c r="G303"/>
  <c r="F303"/>
  <c r="E303"/>
  <c r="D303"/>
  <c r="C303"/>
  <c r="N302"/>
  <c r="G302"/>
  <c r="F302"/>
  <c r="E302"/>
  <c r="D302"/>
  <c r="C302"/>
  <c r="N301"/>
  <c r="G301"/>
  <c r="F301"/>
  <c r="E301"/>
  <c r="D301"/>
  <c r="C301"/>
  <c r="N300"/>
  <c r="G300"/>
  <c r="F300"/>
  <c r="E300"/>
  <c r="D300"/>
  <c r="C300"/>
  <c r="N299"/>
  <c r="G299"/>
  <c r="F299"/>
  <c r="E299"/>
  <c r="D299"/>
  <c r="C299"/>
  <c r="N298"/>
  <c r="G298"/>
  <c r="F298"/>
  <c r="E298"/>
  <c r="D298"/>
  <c r="C298"/>
  <c r="N297"/>
  <c r="G297"/>
  <c r="F297"/>
  <c r="E297"/>
  <c r="D297"/>
  <c r="C297"/>
  <c r="N296"/>
  <c r="G296"/>
  <c r="F296"/>
  <c r="E296"/>
  <c r="D296"/>
  <c r="C296"/>
  <c r="N295"/>
  <c r="G295"/>
  <c r="F295"/>
  <c r="E295"/>
  <c r="D295"/>
  <c r="C295"/>
  <c r="N294"/>
  <c r="G294"/>
  <c r="F294"/>
  <c r="E294"/>
  <c r="D294"/>
  <c r="C294"/>
  <c r="N293"/>
  <c r="G293"/>
  <c r="F293"/>
  <c r="E293"/>
  <c r="D293"/>
  <c r="C293"/>
  <c r="N292"/>
  <c r="G292"/>
  <c r="F292"/>
  <c r="E292"/>
  <c r="D292"/>
  <c r="C292"/>
  <c r="N291"/>
  <c r="G291"/>
  <c r="F291"/>
  <c r="E291"/>
  <c r="D291"/>
  <c r="C291"/>
  <c r="N290"/>
  <c r="G290"/>
  <c r="F290"/>
  <c r="E290"/>
  <c r="D290"/>
  <c r="C290"/>
  <c r="N289"/>
  <c r="G289"/>
  <c r="F289"/>
  <c r="E289"/>
  <c r="D289"/>
  <c r="C289"/>
  <c r="N288"/>
  <c r="G288"/>
  <c r="F288"/>
  <c r="E288"/>
  <c r="D288"/>
  <c r="C288"/>
  <c r="N287"/>
  <c r="G287"/>
  <c r="F287"/>
  <c r="E287"/>
  <c r="D287"/>
  <c r="C287"/>
  <c r="N286"/>
  <c r="G286"/>
  <c r="F286"/>
  <c r="E286"/>
  <c r="D286"/>
  <c r="C286"/>
  <c r="N285"/>
  <c r="G285"/>
  <c r="F285"/>
  <c r="E285"/>
  <c r="D285"/>
  <c r="C285"/>
  <c r="N284"/>
  <c r="G284"/>
  <c r="F284"/>
  <c r="E284"/>
  <c r="D284"/>
  <c r="C284"/>
  <c r="N283"/>
  <c r="G283"/>
  <c r="F283"/>
  <c r="E283"/>
  <c r="D283"/>
  <c r="C283"/>
  <c r="N282"/>
  <c r="G282"/>
  <c r="F282"/>
  <c r="E282"/>
  <c r="D282"/>
  <c r="C282"/>
  <c r="N281"/>
  <c r="G281"/>
  <c r="F281"/>
  <c r="E281"/>
  <c r="D281"/>
  <c r="C281"/>
  <c r="N280"/>
  <c r="G280"/>
  <c r="F280"/>
  <c r="E280"/>
  <c r="D280"/>
  <c r="C280"/>
  <c r="N279"/>
  <c r="G279"/>
  <c r="F279"/>
  <c r="E279"/>
  <c r="D279"/>
  <c r="C279"/>
  <c r="N278"/>
  <c r="G278"/>
  <c r="F278"/>
  <c r="E278"/>
  <c r="D278"/>
  <c r="C278"/>
  <c r="N277"/>
  <c r="G277"/>
  <c r="F277"/>
  <c r="E277"/>
  <c r="D277"/>
  <c r="C277"/>
  <c r="N276"/>
  <c r="G276"/>
  <c r="F276"/>
  <c r="E276"/>
  <c r="D276"/>
  <c r="C276"/>
  <c r="N275"/>
  <c r="G275"/>
  <c r="F275"/>
  <c r="E275"/>
  <c r="D275"/>
  <c r="C275"/>
  <c r="N274"/>
  <c r="G274"/>
  <c r="F274"/>
  <c r="E274"/>
  <c r="D274"/>
  <c r="C274"/>
  <c r="N273"/>
  <c r="G273"/>
  <c r="F273"/>
  <c r="E273"/>
  <c r="D273"/>
  <c r="C273"/>
  <c r="N272"/>
  <c r="G272"/>
  <c r="F272"/>
  <c r="E272"/>
  <c r="D272"/>
  <c r="C272"/>
  <c r="N271"/>
  <c r="G271"/>
  <c r="F271"/>
  <c r="E271"/>
  <c r="D271"/>
  <c r="C271"/>
  <c r="N270"/>
  <c r="G270"/>
  <c r="F270"/>
  <c r="E270"/>
  <c r="D270"/>
  <c r="C270"/>
  <c r="N269"/>
  <c r="G269"/>
  <c r="F269"/>
  <c r="E269"/>
  <c r="D269"/>
  <c r="C269"/>
  <c r="N268"/>
  <c r="G268"/>
  <c r="F268"/>
  <c r="E268"/>
  <c r="D268"/>
  <c r="C268"/>
  <c r="N267"/>
  <c r="G267"/>
  <c r="F267"/>
  <c r="E267"/>
  <c r="D267"/>
  <c r="C267"/>
  <c r="N266"/>
  <c r="G266"/>
  <c r="F266"/>
  <c r="E266"/>
  <c r="D266"/>
  <c r="C266"/>
  <c r="N265"/>
  <c r="G265"/>
  <c r="F265"/>
  <c r="E265"/>
  <c r="D265"/>
  <c r="C265"/>
  <c r="N264"/>
  <c r="G264"/>
  <c r="F264"/>
  <c r="E264"/>
  <c r="D264"/>
  <c r="C264"/>
  <c r="N263"/>
  <c r="G263"/>
  <c r="F263"/>
  <c r="E263"/>
  <c r="D263"/>
  <c r="C263"/>
  <c r="N262"/>
  <c r="G262"/>
  <c r="F262"/>
  <c r="E262"/>
  <c r="D262"/>
  <c r="C262"/>
  <c r="N261"/>
  <c r="G261"/>
  <c r="F261"/>
  <c r="E261"/>
  <c r="D261"/>
  <c r="C261"/>
  <c r="N260"/>
  <c r="G260"/>
  <c r="F260"/>
  <c r="E260"/>
  <c r="D260"/>
  <c r="C260"/>
  <c r="N259"/>
  <c r="G259"/>
  <c r="F259"/>
  <c r="E259"/>
  <c r="D259"/>
  <c r="C259"/>
  <c r="N258"/>
  <c r="G258"/>
  <c r="F258"/>
  <c r="E258"/>
  <c r="D258"/>
  <c r="C258"/>
  <c r="N257"/>
  <c r="G257"/>
  <c r="F257"/>
  <c r="E257"/>
  <c r="D257"/>
  <c r="C257"/>
  <c r="N256"/>
  <c r="G256"/>
  <c r="F256"/>
  <c r="E256"/>
  <c r="D256"/>
  <c r="C256"/>
  <c r="N255"/>
  <c r="G255"/>
  <c r="F255"/>
  <c r="E255"/>
  <c r="D255"/>
  <c r="C255"/>
  <c r="N254"/>
  <c r="G254"/>
  <c r="F254"/>
  <c r="E254"/>
  <c r="D254"/>
  <c r="C254"/>
  <c r="N253"/>
  <c r="G253"/>
  <c r="F253"/>
  <c r="E253"/>
  <c r="D253"/>
  <c r="C253"/>
  <c r="N252"/>
  <c r="G252"/>
  <c r="F252"/>
  <c r="E252"/>
  <c r="D252"/>
  <c r="C252"/>
  <c r="N251"/>
  <c r="G251"/>
  <c r="F251"/>
  <c r="E251"/>
  <c r="D251"/>
  <c r="C251"/>
  <c r="N250"/>
  <c r="G250"/>
  <c r="F250"/>
  <c r="E250"/>
  <c r="D250"/>
  <c r="C250"/>
  <c r="N249"/>
  <c r="G249"/>
  <c r="F249"/>
  <c r="E249"/>
  <c r="D249"/>
  <c r="C249"/>
  <c r="N248"/>
  <c r="G248"/>
  <c r="F248"/>
  <c r="E248"/>
  <c r="D248"/>
  <c r="C248"/>
  <c r="N247"/>
  <c r="G247"/>
  <c r="F247"/>
  <c r="E247"/>
  <c r="D247"/>
  <c r="C247"/>
  <c r="N246"/>
  <c r="G246"/>
  <c r="F246"/>
  <c r="E246"/>
  <c r="D246"/>
  <c r="C246"/>
  <c r="N245"/>
  <c r="G245"/>
  <c r="F245"/>
  <c r="E245"/>
  <c r="D245"/>
  <c r="C245"/>
  <c r="N244"/>
  <c r="G244"/>
  <c r="F244"/>
  <c r="E244"/>
  <c r="D244"/>
  <c r="C244"/>
  <c r="N243"/>
  <c r="G243"/>
  <c r="F243"/>
  <c r="E243"/>
  <c r="D243"/>
  <c r="C243"/>
  <c r="N242"/>
  <c r="G242"/>
  <c r="F242"/>
  <c r="E242"/>
  <c r="D242"/>
  <c r="C242"/>
  <c r="N241"/>
  <c r="G241"/>
  <c r="F241"/>
  <c r="E241"/>
  <c r="D241"/>
  <c r="C241"/>
  <c r="N240"/>
  <c r="G240"/>
  <c r="F240"/>
  <c r="E240"/>
  <c r="D240"/>
  <c r="C240"/>
  <c r="N239"/>
  <c r="G239"/>
  <c r="F239"/>
  <c r="E239"/>
  <c r="D239"/>
  <c r="C239"/>
  <c r="N238"/>
  <c r="G238"/>
  <c r="F238"/>
  <c r="E238"/>
  <c r="D238"/>
  <c r="C238"/>
  <c r="N237"/>
  <c r="G237"/>
  <c r="F237"/>
  <c r="E237"/>
  <c r="D237"/>
  <c r="C237"/>
  <c r="N236"/>
  <c r="G236"/>
  <c r="F236"/>
  <c r="E236"/>
  <c r="D236"/>
  <c r="C236"/>
  <c r="N235"/>
  <c r="G235"/>
  <c r="F235"/>
  <c r="E235"/>
  <c r="D235"/>
  <c r="C235"/>
  <c r="N234"/>
  <c r="G234"/>
  <c r="F234"/>
  <c r="E234"/>
  <c r="D234"/>
  <c r="C234"/>
  <c r="N233"/>
  <c r="G233"/>
  <c r="F233"/>
  <c r="E233"/>
  <c r="D233"/>
  <c r="C233"/>
  <c r="N232"/>
  <c r="G232"/>
  <c r="F232"/>
  <c r="E232"/>
  <c r="D232"/>
  <c r="C232"/>
  <c r="N231"/>
  <c r="G231"/>
  <c r="F231"/>
  <c r="E231"/>
  <c r="D231"/>
  <c r="C231"/>
  <c r="N230"/>
  <c r="G230"/>
  <c r="F230"/>
  <c r="E230"/>
  <c r="D230"/>
  <c r="C230"/>
  <c r="N229"/>
  <c r="G229"/>
  <c r="F229"/>
  <c r="E229"/>
  <c r="D229"/>
  <c r="C229"/>
  <c r="N228"/>
  <c r="G228"/>
  <c r="F228"/>
  <c r="E228"/>
  <c r="D228"/>
  <c r="C228"/>
  <c r="N227"/>
  <c r="G227"/>
  <c r="F227"/>
  <c r="E227"/>
  <c r="D227"/>
  <c r="C227"/>
  <c r="N226"/>
  <c r="G226"/>
  <c r="F226"/>
  <c r="E226"/>
  <c r="D226"/>
  <c r="C226"/>
  <c r="N225"/>
  <c r="G225"/>
  <c r="F225"/>
  <c r="E225"/>
  <c r="D225"/>
  <c r="C225"/>
  <c r="N224"/>
  <c r="G224"/>
  <c r="F224"/>
  <c r="E224"/>
  <c r="D224"/>
  <c r="C224"/>
  <c r="N223"/>
  <c r="G223"/>
  <c r="F223"/>
  <c r="E223"/>
  <c r="D223"/>
  <c r="C223"/>
  <c r="N222"/>
  <c r="G222"/>
  <c r="F222"/>
  <c r="E222"/>
  <c r="D222"/>
  <c r="C222"/>
  <c r="N221"/>
  <c r="G221"/>
  <c r="F221"/>
  <c r="E221"/>
  <c r="D221"/>
  <c r="C221"/>
  <c r="N220"/>
  <c r="G220"/>
  <c r="F220"/>
  <c r="E220"/>
  <c r="D220"/>
  <c r="C220"/>
  <c r="N219"/>
  <c r="G219"/>
  <c r="F219"/>
  <c r="E219"/>
  <c r="D219"/>
  <c r="C219"/>
  <c r="N218"/>
  <c r="G218"/>
  <c r="F218"/>
  <c r="E218"/>
  <c r="D218"/>
  <c r="C218"/>
  <c r="N217"/>
  <c r="G217"/>
  <c r="F217"/>
  <c r="E217"/>
  <c r="D217"/>
  <c r="C217"/>
  <c r="N216"/>
  <c r="G216"/>
  <c r="F216"/>
  <c r="E216"/>
  <c r="D216"/>
  <c r="C216"/>
  <c r="N215"/>
  <c r="G215"/>
  <c r="F215"/>
  <c r="E215"/>
  <c r="D215"/>
  <c r="C215"/>
  <c r="N214"/>
  <c r="G214"/>
  <c r="F214"/>
  <c r="E214"/>
  <c r="D214"/>
  <c r="C214"/>
  <c r="N213"/>
  <c r="G213"/>
  <c r="F213"/>
  <c r="E213"/>
  <c r="D213"/>
  <c r="C213"/>
  <c r="N212"/>
  <c r="G212"/>
  <c r="F212"/>
  <c r="E212"/>
  <c r="D212"/>
  <c r="C212"/>
  <c r="N211"/>
  <c r="G211"/>
  <c r="F211"/>
  <c r="E211"/>
  <c r="D211"/>
  <c r="C211"/>
  <c r="N210"/>
  <c r="G210"/>
  <c r="F210"/>
  <c r="E210"/>
  <c r="D210"/>
  <c r="C210"/>
  <c r="N209"/>
  <c r="G209"/>
  <c r="F209"/>
  <c r="E209"/>
  <c r="D209"/>
  <c r="C209"/>
  <c r="N208"/>
  <c r="G208"/>
  <c r="F208"/>
  <c r="E208"/>
  <c r="D208"/>
  <c r="C208"/>
  <c r="N207"/>
  <c r="G207"/>
  <c r="F207"/>
  <c r="E207"/>
  <c r="D207"/>
  <c r="C207"/>
  <c r="N206"/>
  <c r="G206"/>
  <c r="F206"/>
  <c r="E206"/>
  <c r="D206"/>
  <c r="C206"/>
  <c r="N205"/>
  <c r="G205"/>
  <c r="F205"/>
  <c r="E205"/>
  <c r="D205"/>
  <c r="C205"/>
  <c r="N204"/>
  <c r="G204"/>
  <c r="F204"/>
  <c r="E204"/>
  <c r="D204"/>
  <c r="C204"/>
  <c r="N203"/>
  <c r="G203"/>
  <c r="F203"/>
  <c r="E203"/>
  <c r="D203"/>
  <c r="C203"/>
  <c r="N202"/>
  <c r="G202"/>
  <c r="F202"/>
  <c r="E202"/>
  <c r="D202"/>
  <c r="C202"/>
  <c r="N201"/>
  <c r="G201"/>
  <c r="F201"/>
  <c r="E201"/>
  <c r="D201"/>
  <c r="C201"/>
  <c r="N200"/>
  <c r="G200"/>
  <c r="F200"/>
  <c r="E200"/>
  <c r="D200"/>
  <c r="C200"/>
  <c r="N199"/>
  <c r="G199"/>
  <c r="F199"/>
  <c r="E199"/>
  <c r="D199"/>
  <c r="C199"/>
  <c r="N198"/>
  <c r="G198"/>
  <c r="F198"/>
  <c r="E198"/>
  <c r="D198"/>
  <c r="C198"/>
  <c r="N197"/>
  <c r="G197"/>
  <c r="F197"/>
  <c r="E197"/>
  <c r="D197"/>
  <c r="C197"/>
  <c r="N196"/>
  <c r="G196"/>
  <c r="F196"/>
  <c r="E196"/>
  <c r="D196"/>
  <c r="C196"/>
  <c r="N195"/>
  <c r="G195"/>
  <c r="F195"/>
  <c r="E195"/>
  <c r="D195"/>
  <c r="C195"/>
  <c r="N194"/>
  <c r="G194"/>
  <c r="F194"/>
  <c r="E194"/>
  <c r="D194"/>
  <c r="C194"/>
  <c r="N193"/>
  <c r="G193"/>
  <c r="F193"/>
  <c r="E193"/>
  <c r="D193"/>
  <c r="C193"/>
  <c r="N192"/>
  <c r="G192"/>
  <c r="F192"/>
  <c r="E192"/>
  <c r="D192"/>
  <c r="C192"/>
  <c r="N191"/>
  <c r="G191"/>
  <c r="F191"/>
  <c r="E191"/>
  <c r="D191"/>
  <c r="C191"/>
  <c r="N190"/>
  <c r="G190"/>
  <c r="F190"/>
  <c r="E190"/>
  <c r="D190"/>
  <c r="C190"/>
  <c r="N189"/>
  <c r="G189"/>
  <c r="F189"/>
  <c r="E189"/>
  <c r="D189"/>
  <c r="C189"/>
  <c r="N188"/>
  <c r="G188"/>
  <c r="F188"/>
  <c r="E188"/>
  <c r="D188"/>
  <c r="C188"/>
  <c r="N187"/>
  <c r="G187"/>
  <c r="F187"/>
  <c r="E187"/>
  <c r="D187"/>
  <c r="C187"/>
  <c r="N186"/>
  <c r="G186"/>
  <c r="F186"/>
  <c r="E186"/>
  <c r="D186"/>
  <c r="C186"/>
  <c r="N185"/>
  <c r="G185"/>
  <c r="F185"/>
  <c r="E185"/>
  <c r="D185"/>
  <c r="C185"/>
  <c r="N184"/>
  <c r="G184"/>
  <c r="F184"/>
  <c r="E184"/>
  <c r="D184"/>
  <c r="C184"/>
  <c r="N183"/>
  <c r="G183"/>
  <c r="F183"/>
  <c r="E183"/>
  <c r="D183"/>
  <c r="C183"/>
  <c r="N182"/>
  <c r="G182"/>
  <c r="F182"/>
  <c r="E182"/>
  <c r="D182"/>
  <c r="C182"/>
  <c r="N181"/>
  <c r="G181"/>
  <c r="F181"/>
  <c r="E181"/>
  <c r="D181"/>
  <c r="C181"/>
  <c r="N180"/>
  <c r="G180"/>
  <c r="F180"/>
  <c r="E180"/>
  <c r="D180"/>
  <c r="C180"/>
  <c r="N179"/>
  <c r="G179"/>
  <c r="F179"/>
  <c r="E179"/>
  <c r="D179"/>
  <c r="C179"/>
  <c r="N178"/>
  <c r="G178"/>
  <c r="F178"/>
  <c r="E178"/>
  <c r="D178"/>
  <c r="C178"/>
  <c r="N177"/>
  <c r="G177"/>
  <c r="F177"/>
  <c r="E177"/>
  <c r="D177"/>
  <c r="C177"/>
  <c r="N176"/>
  <c r="G176"/>
  <c r="F176"/>
  <c r="E176"/>
  <c r="D176"/>
  <c r="C176"/>
  <c r="N175"/>
  <c r="G175"/>
  <c r="F175"/>
  <c r="E175"/>
  <c r="D175"/>
  <c r="C175"/>
  <c r="N174"/>
  <c r="G174"/>
  <c r="F174"/>
  <c r="E174"/>
  <c r="D174"/>
  <c r="C174"/>
  <c r="N173"/>
  <c r="G173"/>
  <c r="F173"/>
  <c r="E173"/>
  <c r="D173"/>
  <c r="C173"/>
  <c r="N172"/>
  <c r="G172"/>
  <c r="F172"/>
  <c r="E172"/>
  <c r="D172"/>
  <c r="C172"/>
  <c r="N171"/>
  <c r="G171"/>
  <c r="F171"/>
  <c r="E171"/>
  <c r="D171"/>
  <c r="C171"/>
  <c r="N170"/>
  <c r="G170"/>
  <c r="F170"/>
  <c r="E170"/>
  <c r="D170"/>
  <c r="C170"/>
  <c r="N169"/>
  <c r="G169"/>
  <c r="F169"/>
  <c r="E169"/>
  <c r="D169"/>
  <c r="C169"/>
  <c r="N168"/>
  <c r="G168"/>
  <c r="F168"/>
  <c r="E168"/>
  <c r="D168"/>
  <c r="C168"/>
  <c r="N167"/>
  <c r="G167"/>
  <c r="F167"/>
  <c r="E167"/>
  <c r="D167"/>
  <c r="C167"/>
  <c r="N166"/>
  <c r="G166"/>
  <c r="F166"/>
  <c r="E166"/>
  <c r="D166"/>
  <c r="C166"/>
  <c r="N165"/>
  <c r="G165"/>
  <c r="F165"/>
  <c r="E165"/>
  <c r="D165"/>
  <c r="C165"/>
  <c r="N164"/>
  <c r="G164"/>
  <c r="F164"/>
  <c r="E164"/>
  <c r="D164"/>
  <c r="C164"/>
  <c r="N163"/>
  <c r="G163"/>
  <c r="F163"/>
  <c r="E163"/>
  <c r="D163"/>
  <c r="C163"/>
  <c r="N162"/>
  <c r="G162"/>
  <c r="F162"/>
  <c r="E162"/>
  <c r="D162"/>
  <c r="C162"/>
  <c r="N161"/>
  <c r="G161"/>
  <c r="F161"/>
  <c r="E161"/>
  <c r="D161"/>
  <c r="C161"/>
  <c r="N160"/>
  <c r="G160"/>
  <c r="F160"/>
  <c r="E160"/>
  <c r="D160"/>
  <c r="C160"/>
  <c r="N159"/>
  <c r="G159"/>
  <c r="F159"/>
  <c r="E159"/>
  <c r="D159"/>
  <c r="C159"/>
  <c r="N158"/>
  <c r="G158"/>
  <c r="F158"/>
  <c r="E158"/>
  <c r="D158"/>
  <c r="C158"/>
  <c r="N157"/>
  <c r="G157"/>
  <c r="F157"/>
  <c r="E157"/>
  <c r="D157"/>
  <c r="C157"/>
  <c r="N156"/>
  <c r="G156"/>
  <c r="F156"/>
  <c r="E156"/>
  <c r="D156"/>
  <c r="C156"/>
  <c r="N155"/>
  <c r="G155"/>
  <c r="F155"/>
  <c r="E155"/>
  <c r="D155"/>
  <c r="C155"/>
  <c r="N154"/>
  <c r="G154"/>
  <c r="F154"/>
  <c r="E154"/>
  <c r="D154"/>
  <c r="C154"/>
  <c r="N153"/>
  <c r="G153"/>
  <c r="F153"/>
  <c r="E153"/>
  <c r="D153"/>
  <c r="C153"/>
  <c r="N152"/>
  <c r="G152"/>
  <c r="F152"/>
  <c r="E152"/>
  <c r="D152"/>
  <c r="C152"/>
  <c r="N151"/>
  <c r="G151"/>
  <c r="F151"/>
  <c r="E151"/>
  <c r="D151"/>
  <c r="C151"/>
  <c r="N150"/>
  <c r="G150"/>
  <c r="F150"/>
  <c r="E150"/>
  <c r="D150"/>
  <c r="C150"/>
  <c r="N149"/>
  <c r="G149"/>
  <c r="F149"/>
  <c r="E149"/>
  <c r="D149"/>
  <c r="C149"/>
  <c r="N148"/>
  <c r="G148"/>
  <c r="F148"/>
  <c r="E148"/>
  <c r="D148"/>
  <c r="C148"/>
  <c r="N147"/>
  <c r="G147"/>
  <c r="F147"/>
  <c r="E147"/>
  <c r="D147"/>
  <c r="C147"/>
  <c r="N146"/>
  <c r="G146"/>
  <c r="F146"/>
  <c r="E146"/>
  <c r="D146"/>
  <c r="C146"/>
  <c r="N145"/>
  <c r="G145"/>
  <c r="F145"/>
  <c r="E145"/>
  <c r="D145"/>
  <c r="C145"/>
  <c r="N144"/>
  <c r="G144"/>
  <c r="F144"/>
  <c r="E144"/>
  <c r="D144"/>
  <c r="C144"/>
  <c r="N143"/>
  <c r="G143"/>
  <c r="F143"/>
  <c r="E143"/>
  <c r="D143"/>
  <c r="C143"/>
  <c r="N142"/>
  <c r="G142"/>
  <c r="F142"/>
  <c r="E142"/>
  <c r="D142"/>
  <c r="C142"/>
  <c r="N141"/>
  <c r="G141"/>
  <c r="F141"/>
  <c r="E141"/>
  <c r="D141"/>
  <c r="C141"/>
  <c r="N140"/>
  <c r="G140"/>
  <c r="F140"/>
  <c r="E140"/>
  <c r="D140"/>
  <c r="C140"/>
  <c r="N139"/>
  <c r="G139"/>
  <c r="F139"/>
  <c r="E139"/>
  <c r="D139"/>
  <c r="C139"/>
  <c r="N138"/>
  <c r="G138"/>
  <c r="F138"/>
  <c r="E138"/>
  <c r="D138"/>
  <c r="C138"/>
  <c r="N137"/>
  <c r="G137"/>
  <c r="F137"/>
  <c r="E137"/>
  <c r="D137"/>
  <c r="C137"/>
  <c r="N136"/>
  <c r="G136"/>
  <c r="F136"/>
  <c r="E136"/>
  <c r="D136"/>
  <c r="C136"/>
  <c r="N135"/>
  <c r="G135"/>
  <c r="F135"/>
  <c r="E135"/>
  <c r="D135"/>
  <c r="C135"/>
  <c r="N134"/>
  <c r="G134"/>
  <c r="F134"/>
  <c r="E134"/>
  <c r="D134"/>
  <c r="C134"/>
  <c r="N133"/>
  <c r="G133"/>
  <c r="F133"/>
  <c r="E133"/>
  <c r="D133"/>
  <c r="C133"/>
  <c r="N132"/>
  <c r="G132"/>
  <c r="F132"/>
  <c r="E132"/>
  <c r="D132"/>
  <c r="C132"/>
  <c r="N131"/>
  <c r="G131"/>
  <c r="F131"/>
  <c r="E131"/>
  <c r="D131"/>
  <c r="C131"/>
  <c r="N130"/>
  <c r="G130"/>
  <c r="F130"/>
  <c r="E130"/>
  <c r="D130"/>
  <c r="C130"/>
  <c r="N129"/>
  <c r="G129"/>
  <c r="F129"/>
  <c r="E129"/>
  <c r="D129"/>
  <c r="C129"/>
  <c r="N128"/>
  <c r="G128"/>
  <c r="F128"/>
  <c r="E128"/>
  <c r="D128"/>
  <c r="C128"/>
  <c r="N127"/>
  <c r="G127"/>
  <c r="F127"/>
  <c r="E127"/>
  <c r="D127"/>
  <c r="C127"/>
  <c r="N126"/>
  <c r="G126"/>
  <c r="F126"/>
  <c r="E126"/>
  <c r="D126"/>
  <c r="C126"/>
  <c r="N125"/>
  <c r="G125"/>
  <c r="F125"/>
  <c r="E125"/>
  <c r="D125"/>
  <c r="C125"/>
  <c r="N124"/>
  <c r="G124"/>
  <c r="F124"/>
  <c r="E124"/>
  <c r="D124"/>
  <c r="C124"/>
  <c r="N123"/>
  <c r="G123"/>
  <c r="F123"/>
  <c r="E123"/>
  <c r="D123"/>
  <c r="C123"/>
  <c r="N122"/>
  <c r="G122"/>
  <c r="F122"/>
  <c r="E122"/>
  <c r="D122"/>
  <c r="C122"/>
  <c r="N121"/>
  <c r="G121"/>
  <c r="F121"/>
  <c r="E121"/>
  <c r="D121"/>
  <c r="C121"/>
  <c r="N120"/>
  <c r="G120"/>
  <c r="F120"/>
  <c r="E120"/>
  <c r="D120"/>
  <c r="C120"/>
  <c r="N119"/>
  <c r="G119"/>
  <c r="F119"/>
  <c r="E119"/>
  <c r="D119"/>
  <c r="C119"/>
  <c r="N118"/>
  <c r="G118"/>
  <c r="F118"/>
  <c r="E118"/>
  <c r="D118"/>
  <c r="C118"/>
  <c r="N117"/>
  <c r="G117"/>
  <c r="F117"/>
  <c r="E117"/>
  <c r="D117"/>
  <c r="C117"/>
  <c r="N116"/>
  <c r="G116"/>
  <c r="F116"/>
  <c r="E116"/>
  <c r="D116"/>
  <c r="C116"/>
  <c r="N115"/>
  <c r="G115"/>
  <c r="F115"/>
  <c r="E115"/>
  <c r="D115"/>
  <c r="C115"/>
  <c r="N114"/>
  <c r="G114"/>
  <c r="F114"/>
  <c r="E114"/>
  <c r="D114"/>
  <c r="C114"/>
  <c r="N113"/>
  <c r="G113"/>
  <c r="F113"/>
  <c r="E113"/>
  <c r="D113"/>
  <c r="C113"/>
  <c r="N112"/>
  <c r="G112"/>
  <c r="F112"/>
  <c r="E112"/>
  <c r="D112"/>
  <c r="C112"/>
  <c r="N111"/>
  <c r="G111"/>
  <c r="F111"/>
  <c r="E111"/>
  <c r="D111"/>
  <c r="C111"/>
  <c r="N110"/>
  <c r="G110"/>
  <c r="F110"/>
  <c r="E110"/>
  <c r="D110"/>
  <c r="C110"/>
  <c r="N109"/>
  <c r="G109"/>
  <c r="F109"/>
  <c r="E109"/>
  <c r="D109"/>
  <c r="C109"/>
  <c r="N108"/>
  <c r="G108"/>
  <c r="F108"/>
  <c r="E108"/>
  <c r="D108"/>
  <c r="C108"/>
  <c r="N107"/>
  <c r="G107"/>
  <c r="F107"/>
  <c r="E107"/>
  <c r="D107"/>
  <c r="C107"/>
  <c r="N106"/>
  <c r="G106"/>
  <c r="F106"/>
  <c r="E106"/>
  <c r="D106"/>
  <c r="C106"/>
  <c r="N105"/>
  <c r="G105"/>
  <c r="F105"/>
  <c r="E105"/>
  <c r="D105"/>
  <c r="C105"/>
  <c r="N104"/>
  <c r="G104"/>
  <c r="F104"/>
  <c r="E104"/>
  <c r="D104"/>
  <c r="C104"/>
  <c r="N103"/>
  <c r="G103"/>
  <c r="F103"/>
  <c r="E103"/>
  <c r="D103"/>
  <c r="C103"/>
  <c r="N102"/>
  <c r="G102"/>
  <c r="F102"/>
  <c r="E102"/>
  <c r="D102"/>
  <c r="C102"/>
  <c r="N101"/>
  <c r="G101"/>
  <c r="F101"/>
  <c r="E101"/>
  <c r="D101"/>
  <c r="C101"/>
  <c r="N100"/>
  <c r="G100"/>
  <c r="F100"/>
  <c r="E100"/>
  <c r="D100"/>
  <c r="C100"/>
  <c r="N99"/>
  <c r="G99"/>
  <c r="F99"/>
  <c r="E99"/>
  <c r="D99"/>
  <c r="C99"/>
  <c r="N98"/>
  <c r="G98"/>
  <c r="F98"/>
  <c r="E98"/>
  <c r="D98"/>
  <c r="C98"/>
  <c r="N97"/>
  <c r="G97"/>
  <c r="F97"/>
  <c r="E97"/>
  <c r="D97"/>
  <c r="C97"/>
  <c r="N96"/>
  <c r="G96"/>
  <c r="F96"/>
  <c r="E96"/>
  <c r="D96"/>
  <c r="C96"/>
  <c r="N95"/>
  <c r="G95"/>
  <c r="F95"/>
  <c r="E95"/>
  <c r="D95"/>
  <c r="C95"/>
  <c r="N94"/>
  <c r="G94"/>
  <c r="F94"/>
  <c r="E94"/>
  <c r="D94"/>
  <c r="C94"/>
  <c r="N93"/>
  <c r="G93"/>
  <c r="F93"/>
  <c r="E93"/>
  <c r="D93"/>
  <c r="C93"/>
  <c r="N92"/>
  <c r="G92"/>
  <c r="F92"/>
  <c r="E92"/>
  <c r="D92"/>
  <c r="C92"/>
  <c r="N91"/>
  <c r="G91"/>
  <c r="F91"/>
  <c r="E91"/>
  <c r="D91"/>
  <c r="C91"/>
  <c r="N90"/>
  <c r="G90"/>
  <c r="F90"/>
  <c r="E90"/>
  <c r="D90"/>
  <c r="C90"/>
  <c r="N89"/>
  <c r="G89"/>
  <c r="F89"/>
  <c r="E89"/>
  <c r="D89"/>
  <c r="C89"/>
  <c r="N88"/>
  <c r="G88"/>
  <c r="F88"/>
  <c r="E88"/>
  <c r="D88"/>
  <c r="C88"/>
  <c r="N87"/>
  <c r="G87"/>
  <c r="F87"/>
  <c r="E87"/>
  <c r="D87"/>
  <c r="C87"/>
  <c r="N86"/>
  <c r="G86"/>
  <c r="F86"/>
  <c r="E86"/>
  <c r="D86"/>
  <c r="C86"/>
  <c r="N85"/>
  <c r="G85"/>
  <c r="F85"/>
  <c r="E85"/>
  <c r="D85"/>
  <c r="C85"/>
  <c r="N84"/>
  <c r="G84"/>
  <c r="F84"/>
  <c r="E84"/>
  <c r="D84"/>
  <c r="C84"/>
  <c r="N83"/>
  <c r="G83"/>
  <c r="F83"/>
  <c r="E83"/>
  <c r="D83"/>
  <c r="C83"/>
  <c r="N82"/>
  <c r="G82"/>
  <c r="F82"/>
  <c r="E82"/>
  <c r="D82"/>
  <c r="C82"/>
  <c r="N81"/>
  <c r="G81"/>
  <c r="F81"/>
  <c r="E81"/>
  <c r="D81"/>
  <c r="C81"/>
  <c r="N80"/>
  <c r="G80"/>
  <c r="F80"/>
  <c r="E80"/>
  <c r="D80"/>
  <c r="C80"/>
  <c r="N79"/>
  <c r="G79"/>
  <c r="F79"/>
  <c r="E79"/>
  <c r="D79"/>
  <c r="C79"/>
  <c r="N78"/>
  <c r="G78"/>
  <c r="F78"/>
  <c r="E78"/>
  <c r="D78"/>
  <c r="C78"/>
  <c r="N77"/>
  <c r="G77"/>
  <c r="F77"/>
  <c r="E77"/>
  <c r="D77"/>
  <c r="C77"/>
  <c r="N76"/>
  <c r="G76"/>
  <c r="F76"/>
  <c r="E76"/>
  <c r="D76"/>
  <c r="C76"/>
  <c r="N75"/>
  <c r="G75"/>
  <c r="F75"/>
  <c r="E75"/>
  <c r="D75"/>
  <c r="C75"/>
  <c r="N74"/>
  <c r="G74"/>
  <c r="F74"/>
  <c r="E74"/>
  <c r="D74"/>
  <c r="C74"/>
  <c r="N73"/>
  <c r="G73"/>
  <c r="F73"/>
  <c r="E73"/>
  <c r="D73"/>
  <c r="C73"/>
  <c r="N72"/>
  <c r="G72"/>
  <c r="F72"/>
  <c r="E72"/>
  <c r="D72"/>
  <c r="C72"/>
  <c r="N71"/>
  <c r="G71"/>
  <c r="F71"/>
  <c r="E71"/>
  <c r="D71"/>
  <c r="C71"/>
  <c r="N70"/>
  <c r="G70"/>
  <c r="F70"/>
  <c r="E70"/>
  <c r="D70"/>
  <c r="C70"/>
  <c r="N69"/>
  <c r="G69"/>
  <c r="F69"/>
  <c r="E69"/>
  <c r="D69"/>
  <c r="C69"/>
  <c r="N68"/>
  <c r="G68"/>
  <c r="F68"/>
  <c r="E68"/>
  <c r="D68"/>
  <c r="C68"/>
  <c r="N67"/>
  <c r="G67"/>
  <c r="F67"/>
  <c r="E67"/>
  <c r="D67"/>
  <c r="C67"/>
  <c r="N66"/>
  <c r="G66"/>
  <c r="F66"/>
  <c r="E66"/>
  <c r="D66"/>
  <c r="C66"/>
  <c r="N65"/>
  <c r="G65"/>
  <c r="F65"/>
  <c r="E65"/>
  <c r="D65"/>
  <c r="C65"/>
  <c r="N64"/>
  <c r="G64"/>
  <c r="F64"/>
  <c r="E64"/>
  <c r="D64"/>
  <c r="C64"/>
  <c r="N63"/>
  <c r="G63"/>
  <c r="F63"/>
  <c r="E63"/>
  <c r="D63"/>
  <c r="C63"/>
  <c r="N62"/>
  <c r="G62"/>
  <c r="F62"/>
  <c r="E62"/>
  <c r="D62"/>
  <c r="C62"/>
  <c r="N61"/>
  <c r="G61"/>
  <c r="F61"/>
  <c r="E61"/>
  <c r="D61"/>
  <c r="C61"/>
  <c r="N60"/>
  <c r="G60"/>
  <c r="F60"/>
  <c r="E60"/>
  <c r="D60"/>
  <c r="C60"/>
  <c r="N59"/>
  <c r="G59"/>
  <c r="F59"/>
  <c r="E59"/>
  <c r="D59"/>
  <c r="C59"/>
  <c r="N58"/>
  <c r="G58"/>
  <c r="F58"/>
  <c r="E58"/>
  <c r="D58"/>
  <c r="C58"/>
  <c r="N57"/>
  <c r="G57"/>
  <c r="F57"/>
  <c r="E57"/>
  <c r="D57"/>
  <c r="C57"/>
  <c r="N56"/>
  <c r="G56"/>
  <c r="F56"/>
  <c r="E56"/>
  <c r="D56"/>
  <c r="C56"/>
  <c r="N55"/>
  <c r="G55"/>
  <c r="F55"/>
  <c r="E55"/>
  <c r="D55"/>
  <c r="C55"/>
  <c r="N54"/>
  <c r="G54"/>
  <c r="F54"/>
  <c r="E54"/>
  <c r="D54"/>
  <c r="C54"/>
  <c r="N53"/>
  <c r="G53"/>
  <c r="F53"/>
  <c r="E53"/>
  <c r="D53"/>
  <c r="C53"/>
  <c r="N52"/>
  <c r="G52"/>
  <c r="F52"/>
  <c r="E52"/>
  <c r="D52"/>
  <c r="C52"/>
  <c r="N51"/>
  <c r="G51"/>
  <c r="F51"/>
  <c r="E51"/>
  <c r="D51"/>
  <c r="C51"/>
  <c r="N50"/>
  <c r="G50"/>
  <c r="F50"/>
  <c r="E50"/>
  <c r="D50"/>
  <c r="C50"/>
  <c r="N49"/>
  <c r="G49"/>
  <c r="F49"/>
  <c r="E49"/>
  <c r="D49"/>
  <c r="C49"/>
  <c r="N48"/>
  <c r="G48"/>
  <c r="F48"/>
  <c r="E48"/>
  <c r="D48"/>
  <c r="C48"/>
  <c r="N47"/>
  <c r="G47"/>
  <c r="F47"/>
  <c r="E47"/>
  <c r="D47"/>
  <c r="C47"/>
  <c r="N46"/>
  <c r="G46"/>
  <c r="F46"/>
  <c r="E46"/>
  <c r="D46"/>
  <c r="C46"/>
  <c r="N45"/>
  <c r="G45"/>
  <c r="F45"/>
  <c r="E45"/>
  <c r="D45"/>
  <c r="C45"/>
  <c r="N44"/>
  <c r="G44"/>
  <c r="F44"/>
  <c r="E44"/>
  <c r="D44"/>
  <c r="C44"/>
  <c r="N43"/>
  <c r="G43"/>
  <c r="F43"/>
  <c r="E43"/>
  <c r="D43"/>
  <c r="C43"/>
  <c r="N42"/>
  <c r="G42"/>
  <c r="F42"/>
  <c r="E42"/>
  <c r="D42"/>
  <c r="C42"/>
  <c r="N41"/>
  <c r="G41"/>
  <c r="F41"/>
  <c r="E41"/>
  <c r="D41"/>
  <c r="C41"/>
  <c r="N40"/>
  <c r="G40"/>
  <c r="F40"/>
  <c r="E40"/>
  <c r="D40"/>
  <c r="C40"/>
  <c r="N39"/>
  <c r="G39"/>
  <c r="F39"/>
  <c r="E39"/>
  <c r="D39"/>
  <c r="C39"/>
  <c r="N38"/>
  <c r="G38"/>
  <c r="F38"/>
  <c r="E38"/>
  <c r="D38"/>
  <c r="C38"/>
  <c r="N37"/>
  <c r="G37"/>
  <c r="F37"/>
  <c r="E37"/>
  <c r="D37"/>
  <c r="C37"/>
  <c r="N36"/>
  <c r="G36"/>
  <c r="F36"/>
  <c r="E36"/>
  <c r="D36"/>
  <c r="C36"/>
  <c r="N35"/>
  <c r="G35"/>
  <c r="F35"/>
  <c r="E35"/>
  <c r="D35"/>
  <c r="C35"/>
  <c r="N34"/>
  <c r="G34"/>
  <c r="F34"/>
  <c r="E34"/>
  <c r="D34"/>
  <c r="C34"/>
  <c r="N33"/>
  <c r="G33"/>
  <c r="F33"/>
  <c r="E33"/>
  <c r="D33"/>
  <c r="C33"/>
  <c r="N32"/>
  <c r="G32"/>
  <c r="F32"/>
  <c r="E32"/>
  <c r="D32"/>
  <c r="C32"/>
  <c r="N31"/>
  <c r="G31"/>
  <c r="F31"/>
  <c r="E31"/>
  <c r="D31"/>
  <c r="C31"/>
  <c r="N30"/>
  <c r="G30"/>
  <c r="F30"/>
  <c r="E30"/>
  <c r="D30"/>
  <c r="C30"/>
  <c r="N29"/>
  <c r="G29"/>
  <c r="F29"/>
  <c r="E29"/>
  <c r="D29"/>
  <c r="C29"/>
  <c r="N28"/>
  <c r="G28"/>
  <c r="F28"/>
  <c r="E28"/>
  <c r="D28"/>
  <c r="C28"/>
  <c r="N27"/>
  <c r="G27"/>
  <c r="F27"/>
  <c r="E27"/>
  <c r="D27"/>
  <c r="C27"/>
  <c r="N26"/>
  <c r="G26"/>
  <c r="F26"/>
  <c r="E26"/>
  <c r="D26"/>
  <c r="C26"/>
  <c r="N25"/>
  <c r="G25"/>
  <c r="F25"/>
  <c r="E25"/>
  <c r="D25"/>
  <c r="C25"/>
  <c r="N24"/>
  <c r="G24"/>
  <c r="F24"/>
  <c r="E24"/>
  <c r="D24"/>
  <c r="C24"/>
  <c r="N23"/>
  <c r="G23"/>
  <c r="F23"/>
  <c r="E23"/>
  <c r="D23"/>
  <c r="C23"/>
  <c r="N22"/>
  <c r="G22"/>
  <c r="F22"/>
  <c r="E22"/>
  <c r="D22"/>
  <c r="C22"/>
  <c r="N21"/>
  <c r="G21"/>
  <c r="F21"/>
  <c r="E21"/>
  <c r="D21"/>
  <c r="C21"/>
  <c r="N20"/>
  <c r="G20"/>
  <c r="F20"/>
  <c r="E20"/>
  <c r="D20"/>
  <c r="C20"/>
  <c r="N19"/>
  <c r="G19"/>
  <c r="F19"/>
  <c r="E19"/>
  <c r="D19"/>
  <c r="C19"/>
  <c r="N18"/>
  <c r="G18"/>
  <c r="F18"/>
  <c r="E18"/>
  <c r="D18"/>
  <c r="C18"/>
  <c r="N17"/>
  <c r="G17"/>
  <c r="F17"/>
  <c r="E17"/>
  <c r="D17"/>
  <c r="C17"/>
  <c r="N16"/>
  <c r="G16"/>
  <c r="F16"/>
  <c r="E16"/>
  <c r="D16"/>
  <c r="C16"/>
  <c r="N15"/>
  <c r="G15"/>
  <c r="F15"/>
  <c r="E15"/>
  <c r="D15"/>
  <c r="C15"/>
  <c r="N14"/>
  <c r="G14"/>
  <c r="F14"/>
  <c r="E14"/>
  <c r="D14"/>
  <c r="C14"/>
  <c r="N13"/>
  <c r="G13"/>
  <c r="F13"/>
  <c r="E13"/>
  <c r="D13"/>
  <c r="C13"/>
  <c r="N12"/>
  <c r="G12"/>
  <c r="F12"/>
  <c r="E12"/>
  <c r="D12"/>
  <c r="C12"/>
  <c r="N11"/>
  <c r="G11"/>
  <c r="F11"/>
  <c r="E11"/>
  <c r="D11"/>
  <c r="C11"/>
  <c r="N10"/>
  <c r="G10"/>
  <c r="F10"/>
  <c r="E10"/>
  <c r="D10"/>
  <c r="C10"/>
  <c r="N9"/>
  <c r="G9"/>
  <c r="F9"/>
  <c r="E9"/>
  <c r="D9"/>
  <c r="C9"/>
  <c r="N8"/>
  <c r="G8"/>
  <c r="F8"/>
  <c r="E8"/>
  <c r="D8"/>
  <c r="C8"/>
  <c r="N7"/>
  <c r="G7"/>
  <c r="F7"/>
  <c r="E7"/>
  <c r="D7"/>
  <c r="C7"/>
  <c r="N6"/>
  <c r="G6"/>
  <c r="F6"/>
  <c r="E6"/>
  <c r="D6"/>
  <c r="C6"/>
  <c r="N5"/>
  <c r="G5"/>
  <c r="F5"/>
  <c r="E5"/>
  <c r="D5"/>
  <c r="C5"/>
  <c r="N4"/>
  <c r="G4"/>
  <c r="F4"/>
  <c r="E4"/>
  <c r="D4"/>
  <c r="C4"/>
  <c r="B64" i="13" l="1"/>
  <c r="A64"/>
  <c r="B55"/>
  <c r="A55"/>
  <c r="B45"/>
  <c r="A45"/>
  <c r="B41"/>
  <c r="A41"/>
  <c r="B39"/>
  <c r="A39"/>
  <c r="B36"/>
  <c r="A36"/>
  <c r="B34"/>
  <c r="A34"/>
  <c r="B25"/>
  <c r="A25"/>
  <c r="B17"/>
  <c r="A17"/>
  <c r="B9"/>
  <c r="A9"/>
  <c r="B4"/>
  <c r="A4"/>
  <c r="B3"/>
  <c r="A3"/>
  <c r="V34" i="1" l="1"/>
  <c r="D1585" i="17" l="1"/>
  <c r="D1582"/>
  <c r="D1577"/>
  <c r="D1563"/>
  <c r="D483"/>
  <c r="D1522"/>
  <c r="D1560"/>
  <c r="D1508"/>
  <c r="D1362"/>
  <c r="D1469"/>
  <c r="D1559"/>
  <c r="D1558"/>
  <c r="D1300"/>
  <c r="D1548"/>
  <c r="D1547"/>
  <c r="D1189"/>
  <c r="D1546"/>
  <c r="D1545"/>
  <c r="D1544"/>
  <c r="D1090"/>
  <c r="D1500"/>
  <c r="D1498"/>
  <c r="D1377"/>
  <c r="D1358"/>
  <c r="D1164"/>
  <c r="D1281"/>
  <c r="D1152"/>
  <c r="D1118"/>
  <c r="D1299"/>
  <c r="D1055"/>
  <c r="D661"/>
  <c r="D1530"/>
  <c r="D1531"/>
  <c r="D1529"/>
  <c r="D1528"/>
  <c r="D1525"/>
  <c r="D1527"/>
  <c r="D1526"/>
  <c r="D1523"/>
  <c r="D1512"/>
  <c r="D1521"/>
  <c r="D1516"/>
  <c r="D1520"/>
  <c r="D1423"/>
  <c r="D1519"/>
  <c r="D1524"/>
  <c r="D1515"/>
  <c r="D1517"/>
  <c r="D1514"/>
  <c r="D1518"/>
  <c r="D1513"/>
  <c r="D1459"/>
  <c r="D1510"/>
  <c r="D1557"/>
  <c r="D1556"/>
  <c r="D1492"/>
  <c r="D1511"/>
  <c r="D1502"/>
  <c r="D1504"/>
  <c r="D1501"/>
  <c r="D1507"/>
  <c r="D1503"/>
  <c r="D1484"/>
  <c r="D1506"/>
  <c r="D1490"/>
  <c r="D1509"/>
  <c r="D1479"/>
  <c r="D1495"/>
  <c r="D1499"/>
  <c r="D1505"/>
  <c r="D1481"/>
  <c r="D1378"/>
  <c r="D1483"/>
  <c r="D1494"/>
  <c r="D1475"/>
  <c r="D1489"/>
  <c r="D1493"/>
  <c r="D1497"/>
  <c r="D1496"/>
  <c r="D1485"/>
  <c r="D1480"/>
  <c r="D1488"/>
  <c r="D1473"/>
  <c r="D1477"/>
  <c r="D1482"/>
  <c r="D1454"/>
  <c r="D1478"/>
  <c r="D1491"/>
  <c r="D1370"/>
  <c r="D1487"/>
  <c r="D1383"/>
  <c r="D1543"/>
  <c r="D1474"/>
  <c r="D1472"/>
  <c r="D1465"/>
  <c r="D1467"/>
  <c r="D1419"/>
  <c r="D1468"/>
  <c r="D1464"/>
  <c r="D1486"/>
  <c r="D1476"/>
  <c r="D1399"/>
  <c r="D1466"/>
  <c r="D1542"/>
  <c r="D1438"/>
  <c r="D1555"/>
  <c r="D1462"/>
  <c r="D1442"/>
  <c r="D1453"/>
  <c r="D1428"/>
  <c r="D1390"/>
  <c r="D1452"/>
  <c r="D1457"/>
  <c r="D1403"/>
  <c r="D1364"/>
  <c r="D1446"/>
  <c r="D1355"/>
  <c r="D1449"/>
  <c r="D1463"/>
  <c r="D1460"/>
  <c r="D1470"/>
  <c r="D1417"/>
  <c r="D1450"/>
  <c r="D1435"/>
  <c r="D1441"/>
  <c r="D1448"/>
  <c r="D1333"/>
  <c r="D1456"/>
  <c r="D1405"/>
  <c r="D1444"/>
  <c r="D1451"/>
  <c r="D1443"/>
  <c r="D1049"/>
  <c r="D1398"/>
  <c r="D1416"/>
  <c r="D1433"/>
  <c r="D1430"/>
  <c r="D1440"/>
  <c r="D1418"/>
  <c r="D1194"/>
  <c r="D1429"/>
  <c r="D1326"/>
  <c r="D1335"/>
  <c r="D1439"/>
  <c r="D1422"/>
  <c r="D1424"/>
  <c r="D1437"/>
  <c r="D1426"/>
  <c r="D1415"/>
  <c r="D1408"/>
  <c r="D1366"/>
  <c r="D1275"/>
  <c r="D1455"/>
  <c r="D1369"/>
  <c r="D1425"/>
  <c r="D1347"/>
  <c r="D1392"/>
  <c r="D1391"/>
  <c r="D1396"/>
  <c r="D1357"/>
  <c r="D1434"/>
  <c r="D1420"/>
  <c r="D1436"/>
  <c r="D1365"/>
  <c r="D1407"/>
  <c r="D1388"/>
  <c r="D1393"/>
  <c r="D1395"/>
  <c r="D1431"/>
  <c r="D1410"/>
  <c r="D1343"/>
  <c r="D1385"/>
  <c r="D1373"/>
  <c r="D1372"/>
  <c r="D1458"/>
  <c r="D1411"/>
  <c r="D1541"/>
  <c r="D1389"/>
  <c r="D1386"/>
  <c r="D1387"/>
  <c r="D1414"/>
  <c r="D1394"/>
  <c r="D1412"/>
  <c r="D1397"/>
  <c r="D1432"/>
  <c r="D472"/>
  <c r="D1375"/>
  <c r="D1402"/>
  <c r="D1409"/>
  <c r="D1384"/>
  <c r="D1400"/>
  <c r="D1233"/>
  <c r="D784"/>
  <c r="D1329"/>
  <c r="D1421"/>
  <c r="D1327"/>
  <c r="D1356"/>
  <c r="D1406"/>
  <c r="D1332"/>
  <c r="D1401"/>
  <c r="D1351"/>
  <c r="D1368"/>
  <c r="D1382"/>
  <c r="D1129"/>
  <c r="D1290"/>
  <c r="D1404"/>
  <c r="D1342"/>
  <c r="D1289"/>
  <c r="D1554"/>
  <c r="D1328"/>
  <c r="D1334"/>
  <c r="D1317"/>
  <c r="D1359"/>
  <c r="D1363"/>
  <c r="D1352"/>
  <c r="D1234"/>
  <c r="D1360"/>
  <c r="D1376"/>
  <c r="D1181"/>
  <c r="D1295"/>
  <c r="D1447"/>
  <c r="D1337"/>
  <c r="D1220"/>
  <c r="D1283"/>
  <c r="D1153"/>
  <c r="D1350"/>
  <c r="D1330"/>
  <c r="D1341"/>
  <c r="D1349"/>
  <c r="D1427"/>
  <c r="D1294"/>
  <c r="D1374"/>
  <c r="D1322"/>
  <c r="D1380"/>
  <c r="D1253"/>
  <c r="D1315"/>
  <c r="D1336"/>
  <c r="D1267"/>
  <c r="D1314"/>
  <c r="D1305"/>
  <c r="D1321"/>
  <c r="D1344"/>
  <c r="D901"/>
  <c r="D1325"/>
  <c r="D1413"/>
  <c r="D1379"/>
  <c r="D1324"/>
  <c r="D1254"/>
  <c r="D1346"/>
  <c r="D1312"/>
  <c r="D1371"/>
  <c r="D1306"/>
  <c r="D1248"/>
  <c r="D1169"/>
  <c r="D1308"/>
  <c r="D1298"/>
  <c r="D1292"/>
  <c r="D1296"/>
  <c r="D1241"/>
  <c r="D1249"/>
  <c r="D1310"/>
  <c r="D1316"/>
  <c r="D1340"/>
  <c r="D1361"/>
  <c r="D1157"/>
  <c r="D1313"/>
  <c r="D1354"/>
  <c r="D1282"/>
  <c r="D1155"/>
  <c r="D1242"/>
  <c r="D1260"/>
  <c r="D1303"/>
  <c r="D1353"/>
  <c r="D1339"/>
  <c r="D1244"/>
  <c r="D1331"/>
  <c r="D1238"/>
  <c r="D1255"/>
  <c r="D1225"/>
  <c r="D1293"/>
  <c r="D1445"/>
  <c r="D1271"/>
  <c r="D1367"/>
  <c r="D1278"/>
  <c r="D1323"/>
  <c r="D1245"/>
  <c r="D1263"/>
  <c r="D1309"/>
  <c r="D1287"/>
  <c r="D628"/>
  <c r="D1348"/>
  <c r="D1319"/>
  <c r="D1265"/>
  <c r="D1231"/>
  <c r="D1553"/>
  <c r="D1302"/>
  <c r="D1227"/>
  <c r="D1236"/>
  <c r="D1311"/>
  <c r="D1221"/>
  <c r="D1320"/>
  <c r="D1259"/>
  <c r="D1285"/>
  <c r="D1381"/>
  <c r="D1304"/>
  <c r="D1256"/>
  <c r="D1307"/>
  <c r="D1257"/>
  <c r="D1261"/>
  <c r="D1268"/>
  <c r="D1291"/>
  <c r="D1272"/>
  <c r="D1198"/>
  <c r="D1258"/>
  <c r="D1540"/>
  <c r="D1206"/>
  <c r="D1279"/>
  <c r="D1216"/>
  <c r="D1273"/>
  <c r="D1224"/>
  <c r="D1277"/>
  <c r="D1345"/>
  <c r="D1174"/>
  <c r="D1270"/>
  <c r="D1318"/>
  <c r="D1262"/>
  <c r="D978"/>
  <c r="D1199"/>
  <c r="D1166"/>
  <c r="D1276"/>
  <c r="D1237"/>
  <c r="D1175"/>
  <c r="D1274"/>
  <c r="D1120"/>
  <c r="D1222"/>
  <c r="D1251"/>
  <c r="D813"/>
  <c r="D1219"/>
  <c r="D1207"/>
  <c r="D1246"/>
  <c r="D1197"/>
  <c r="D1171"/>
  <c r="D1079"/>
  <c r="D844"/>
  <c r="D1170"/>
  <c r="D1185"/>
  <c r="D1075"/>
  <c r="D834"/>
  <c r="D1266"/>
  <c r="D1269"/>
  <c r="D1202"/>
  <c r="D1064"/>
  <c r="D1213"/>
  <c r="D1297"/>
  <c r="D1288"/>
  <c r="D1252"/>
  <c r="D1250"/>
  <c r="D1243"/>
  <c r="D1284"/>
  <c r="D1188"/>
  <c r="D1203"/>
  <c r="D1215"/>
  <c r="D1016"/>
  <c r="D1069"/>
  <c r="D1096"/>
  <c r="D1193"/>
  <c r="D1091"/>
  <c r="D1132"/>
  <c r="D1133"/>
  <c r="D1192"/>
  <c r="D1201"/>
  <c r="D1235"/>
  <c r="D1154"/>
  <c r="D1539"/>
  <c r="D1131"/>
  <c r="D1301"/>
  <c r="D1247"/>
  <c r="D1150"/>
  <c r="D1226"/>
  <c r="D1229"/>
  <c r="D1130"/>
  <c r="D1117"/>
  <c r="D1223"/>
  <c r="D1182"/>
  <c r="D1190"/>
  <c r="D1204"/>
  <c r="D1168"/>
  <c r="D1045"/>
  <c r="D1173"/>
  <c r="D1212"/>
  <c r="D1112"/>
  <c r="D1122"/>
  <c r="D1217"/>
  <c r="D1178"/>
  <c r="D1183"/>
  <c r="D1138"/>
  <c r="D1240"/>
  <c r="D1142"/>
  <c r="D1163"/>
  <c r="D1160"/>
  <c r="D1208"/>
  <c r="D1156"/>
  <c r="D1228"/>
  <c r="D1161"/>
  <c r="D1232"/>
  <c r="D1159"/>
  <c r="D1196"/>
  <c r="D1214"/>
  <c r="D1151"/>
  <c r="D1158"/>
  <c r="D682"/>
  <c r="D1210"/>
  <c r="D1082"/>
  <c r="D1092"/>
  <c r="D1099"/>
  <c r="D1143"/>
  <c r="D1102"/>
  <c r="D1286"/>
  <c r="D1141"/>
  <c r="D1211"/>
  <c r="D1209"/>
  <c r="D1180"/>
  <c r="D1149"/>
  <c r="D1187"/>
  <c r="D1137"/>
  <c r="D880"/>
  <c r="D1134"/>
  <c r="D1172"/>
  <c r="D1144"/>
  <c r="D1081"/>
  <c r="D1338"/>
  <c r="D1103"/>
  <c r="D1087"/>
  <c r="D1239"/>
  <c r="D1195"/>
  <c r="D990"/>
  <c r="D1119"/>
  <c r="D1140"/>
  <c r="D1097"/>
  <c r="D1072"/>
  <c r="D1139"/>
  <c r="D1071"/>
  <c r="D1125"/>
  <c r="D1146"/>
  <c r="D1116"/>
  <c r="D1264"/>
  <c r="D791"/>
  <c r="D1205"/>
  <c r="D1061"/>
  <c r="D1176"/>
  <c r="D1100"/>
  <c r="D1124"/>
  <c r="D1077"/>
  <c r="D1538"/>
  <c r="D1165"/>
  <c r="D974"/>
  <c r="D1098"/>
  <c r="D982"/>
  <c r="D1200"/>
  <c r="D1089"/>
  <c r="D1085"/>
  <c r="D963"/>
  <c r="D987"/>
  <c r="D1114"/>
  <c r="D1023"/>
  <c r="D1083"/>
  <c r="D1218"/>
  <c r="D1135"/>
  <c r="D1109"/>
  <c r="D1280"/>
  <c r="D1147"/>
  <c r="D907"/>
  <c r="D733"/>
  <c r="D1107"/>
  <c r="D961"/>
  <c r="D1184"/>
  <c r="D1126"/>
  <c r="D1104"/>
  <c r="D989"/>
  <c r="D893"/>
  <c r="D1053"/>
  <c r="D1145"/>
  <c r="D1123"/>
  <c r="D1044"/>
  <c r="D1108"/>
  <c r="D1128"/>
  <c r="D1021"/>
  <c r="D809"/>
  <c r="D1191"/>
  <c r="D971"/>
  <c r="D1106"/>
  <c r="D1105"/>
  <c r="D864"/>
  <c r="D1043"/>
  <c r="D1070"/>
  <c r="D1127"/>
  <c r="D1062"/>
  <c r="D683"/>
  <c r="D1167"/>
  <c r="D930"/>
  <c r="D926"/>
  <c r="D1013"/>
  <c r="D1179"/>
  <c r="D1073"/>
  <c r="D1136"/>
  <c r="D1066"/>
  <c r="D828"/>
  <c r="D1088"/>
  <c r="D1031"/>
  <c r="D1041"/>
  <c r="D841"/>
  <c r="D1093"/>
  <c r="D1148"/>
  <c r="D1111"/>
  <c r="D1537"/>
  <c r="D1058"/>
  <c r="D1042"/>
  <c r="D1029"/>
  <c r="D855"/>
  <c r="D955"/>
  <c r="D984"/>
  <c r="D945"/>
  <c r="D1094"/>
  <c r="D1003"/>
  <c r="D1177"/>
  <c r="D942"/>
  <c r="D1039"/>
  <c r="D1046"/>
  <c r="D1037"/>
  <c r="D1008"/>
  <c r="D1067"/>
  <c r="D1032"/>
  <c r="D1057"/>
  <c r="D1038"/>
  <c r="D1028"/>
  <c r="D1115"/>
  <c r="D1005"/>
  <c r="D968"/>
  <c r="D851"/>
  <c r="D1025"/>
  <c r="D1536"/>
  <c r="D845"/>
  <c r="D1113"/>
  <c r="D406"/>
  <c r="D932"/>
  <c r="D868"/>
  <c r="D981"/>
  <c r="D1048"/>
  <c r="D1110"/>
  <c r="D1014"/>
  <c r="D1011"/>
  <c r="D1035"/>
  <c r="D1086"/>
  <c r="D1054"/>
  <c r="D952"/>
  <c r="D906"/>
  <c r="D994"/>
  <c r="D1052"/>
  <c r="D1060"/>
  <c r="D1080"/>
  <c r="D947"/>
  <c r="D1012"/>
  <c r="D938"/>
  <c r="D1015"/>
  <c r="D1076"/>
  <c r="D1033"/>
  <c r="D997"/>
  <c r="D1162"/>
  <c r="D1056"/>
  <c r="D1022"/>
  <c r="D1019"/>
  <c r="D1009"/>
  <c r="D1101"/>
  <c r="D1000"/>
  <c r="D1007"/>
  <c r="D1020"/>
  <c r="D993"/>
  <c r="D998"/>
  <c r="D935"/>
  <c r="D999"/>
  <c r="D929"/>
  <c r="D482"/>
  <c r="D966"/>
  <c r="D889"/>
  <c r="D1552"/>
  <c r="D1010"/>
  <c r="D604"/>
  <c r="D1068"/>
  <c r="D964"/>
  <c r="D1078"/>
  <c r="D1024"/>
  <c r="D976"/>
  <c r="D1059"/>
  <c r="D969"/>
  <c r="D933"/>
  <c r="D743"/>
  <c r="D1002"/>
  <c r="D940"/>
  <c r="D916"/>
  <c r="D1063"/>
  <c r="D884"/>
  <c r="D951"/>
  <c r="D925"/>
  <c r="D1551"/>
  <c r="D802"/>
  <c r="D936"/>
  <c r="D1034"/>
  <c r="D1040"/>
  <c r="D1036"/>
  <c r="D892"/>
  <c r="D1030"/>
  <c r="D941"/>
  <c r="D461"/>
  <c r="D840"/>
  <c r="D1084"/>
  <c r="D988"/>
  <c r="D911"/>
  <c r="D850"/>
  <c r="D996"/>
  <c r="D962"/>
  <c r="D983"/>
  <c r="D1535"/>
  <c r="D970"/>
  <c r="D980"/>
  <c r="D1004"/>
  <c r="D1550"/>
  <c r="D1027"/>
  <c r="D1001"/>
  <c r="D848"/>
  <c r="D759"/>
  <c r="D1051"/>
  <c r="D860"/>
  <c r="D957"/>
  <c r="D836"/>
  <c r="D781"/>
  <c r="D927"/>
  <c r="D1065"/>
  <c r="D914"/>
  <c r="D979"/>
  <c r="D944"/>
  <c r="D985"/>
  <c r="D1074"/>
  <c r="D991"/>
  <c r="D812"/>
  <c r="D752"/>
  <c r="D905"/>
  <c r="D1095"/>
  <c r="D821"/>
  <c r="D782"/>
  <c r="D946"/>
  <c r="D960"/>
  <c r="D972"/>
  <c r="D1006"/>
  <c r="D973"/>
  <c r="D1230"/>
  <c r="D977"/>
  <c r="D934"/>
  <c r="D931"/>
  <c r="D992"/>
  <c r="D1017"/>
  <c r="D953"/>
  <c r="D922"/>
  <c r="D593"/>
  <c r="D778"/>
  <c r="D921"/>
  <c r="D920"/>
  <c r="D891"/>
  <c r="D887"/>
  <c r="D939"/>
  <c r="D896"/>
  <c r="D975"/>
  <c r="D917"/>
  <c r="D904"/>
  <c r="D664"/>
  <c r="D959"/>
  <c r="D1047"/>
  <c r="D886"/>
  <c r="D800"/>
  <c r="D867"/>
  <c r="D897"/>
  <c r="D954"/>
  <c r="D995"/>
  <c r="D890"/>
  <c r="D822"/>
  <c r="D777"/>
  <c r="D918"/>
  <c r="D950"/>
  <c r="D967"/>
  <c r="D767"/>
  <c r="D854"/>
  <c r="D728"/>
  <c r="D846"/>
  <c r="D909"/>
  <c r="D919"/>
  <c r="D739"/>
  <c r="D895"/>
  <c r="D1534"/>
  <c r="D937"/>
  <c r="D943"/>
  <c r="D1186"/>
  <c r="D801"/>
  <c r="D879"/>
  <c r="D948"/>
  <c r="D956"/>
  <c r="D873"/>
  <c r="D965"/>
  <c r="D1026"/>
  <c r="D883"/>
  <c r="D515"/>
  <c r="D908"/>
  <c r="D825"/>
  <c r="D675"/>
  <c r="D849"/>
  <c r="D1018"/>
  <c r="D776"/>
  <c r="D1471"/>
  <c r="D923"/>
  <c r="D875"/>
  <c r="D859"/>
  <c r="D709"/>
  <c r="D882"/>
  <c r="D758"/>
  <c r="D1050"/>
  <c r="D949"/>
  <c r="D915"/>
  <c r="D754"/>
  <c r="D871"/>
  <c r="D621"/>
  <c r="D924"/>
  <c r="D787"/>
  <c r="D677"/>
  <c r="D902"/>
  <c r="D928"/>
  <c r="D832"/>
  <c r="D761"/>
  <c r="D885"/>
  <c r="D912"/>
  <c r="D870"/>
  <c r="D729"/>
  <c r="D888"/>
  <c r="D830"/>
  <c r="D958"/>
  <c r="D881"/>
  <c r="D861"/>
  <c r="D790"/>
  <c r="D722"/>
  <c r="D770"/>
  <c r="D765"/>
  <c r="D839"/>
  <c r="D622"/>
  <c r="D872"/>
  <c r="D704"/>
  <c r="D494"/>
  <c r="D480"/>
  <c r="D786"/>
  <c r="D847"/>
  <c r="D807"/>
  <c r="D818"/>
  <c r="D727"/>
  <c r="D738"/>
  <c r="D1533"/>
  <c r="D454"/>
  <c r="D805"/>
  <c r="D804"/>
  <c r="D742"/>
  <c r="D876"/>
  <c r="D810"/>
  <c r="D697"/>
  <c r="D793"/>
  <c r="D986"/>
  <c r="D815"/>
  <c r="D690"/>
  <c r="D715"/>
  <c r="D856"/>
  <c r="D747"/>
  <c r="D900"/>
  <c r="D771"/>
  <c r="D817"/>
  <c r="D863"/>
  <c r="D827"/>
  <c r="D874"/>
  <c r="D877"/>
  <c r="D699"/>
  <c r="D780"/>
  <c r="D779"/>
  <c r="D833"/>
  <c r="D852"/>
  <c r="D862"/>
  <c r="D894"/>
  <c r="D829"/>
  <c r="D826"/>
  <c r="D899"/>
  <c r="D707"/>
  <c r="D811"/>
  <c r="D819"/>
  <c r="D762"/>
  <c r="D913"/>
  <c r="D783"/>
  <c r="D869"/>
  <c r="D865"/>
  <c r="D853"/>
  <c r="D808"/>
  <c r="D282"/>
  <c r="D838"/>
  <c r="D789"/>
  <c r="D689"/>
  <c r="D816"/>
  <c r="D798"/>
  <c r="D700"/>
  <c r="D718"/>
  <c r="D555"/>
  <c r="D755"/>
  <c r="D824"/>
  <c r="D714"/>
  <c r="D903"/>
  <c r="D412"/>
  <c r="D820"/>
  <c r="D745"/>
  <c r="D857"/>
  <c r="D1121"/>
  <c r="D692"/>
  <c r="D814"/>
  <c r="D413"/>
  <c r="D1461"/>
  <c r="D806"/>
  <c r="D629"/>
  <c r="D842"/>
  <c r="D910"/>
  <c r="D831"/>
  <c r="D785"/>
  <c r="D734"/>
  <c r="D686"/>
  <c r="D676"/>
  <c r="D878"/>
  <c r="D672"/>
  <c r="D650"/>
  <c r="D858"/>
  <c r="D685"/>
  <c r="D452"/>
  <c r="D763"/>
  <c r="D679"/>
  <c r="D726"/>
  <c r="D823"/>
  <c r="D774"/>
  <c r="D898"/>
  <c r="D794"/>
  <c r="D757"/>
  <c r="D736"/>
  <c r="D595"/>
  <c r="D638"/>
  <c r="D642"/>
  <c r="D720"/>
  <c r="D646"/>
  <c r="D735"/>
  <c r="D698"/>
  <c r="D769"/>
  <c r="D837"/>
  <c r="D750"/>
  <c r="D751"/>
  <c r="D796"/>
  <c r="D866"/>
  <c r="D404"/>
  <c r="D589"/>
  <c r="D723"/>
  <c r="D799"/>
  <c r="D772"/>
  <c r="D711"/>
  <c r="D397"/>
  <c r="D591"/>
  <c r="D680"/>
  <c r="D570"/>
  <c r="D775"/>
  <c r="D731"/>
  <c r="D724"/>
  <c r="D673"/>
  <c r="D835"/>
  <c r="D427"/>
  <c r="D792"/>
  <c r="D730"/>
  <c r="D744"/>
  <c r="D684"/>
  <c r="D702"/>
  <c r="D655"/>
  <c r="D620"/>
  <c r="D713"/>
  <c r="D795"/>
  <c r="D716"/>
  <c r="D489"/>
  <c r="D556"/>
  <c r="D656"/>
  <c r="D732"/>
  <c r="D695"/>
  <c r="D773"/>
  <c r="D843"/>
  <c r="D665"/>
  <c r="D657"/>
  <c r="D670"/>
  <c r="D803"/>
  <c r="D488"/>
  <c r="D693"/>
  <c r="D601"/>
  <c r="D746"/>
  <c r="D696"/>
  <c r="D214"/>
  <c r="D543"/>
  <c r="D797"/>
  <c r="D717"/>
  <c r="D688"/>
  <c r="D687"/>
  <c r="D725"/>
  <c r="D788"/>
  <c r="D756"/>
  <c r="D662"/>
  <c r="D647"/>
  <c r="D444"/>
  <c r="D239"/>
  <c r="D431"/>
  <c r="D640"/>
  <c r="D578"/>
  <c r="D651"/>
  <c r="D249"/>
  <c r="D748"/>
  <c r="D648"/>
  <c r="D528"/>
  <c r="D705"/>
  <c r="D649"/>
  <c r="D691"/>
  <c r="D633"/>
  <c r="D668"/>
  <c r="D403"/>
  <c r="D674"/>
  <c r="D701"/>
  <c r="D532"/>
  <c r="D594"/>
  <c r="D710"/>
  <c r="D764"/>
  <c r="D760"/>
  <c r="D706"/>
  <c r="D658"/>
  <c r="D669"/>
  <c r="D438"/>
  <c r="D610"/>
  <c r="D737"/>
  <c r="D643"/>
  <c r="D576"/>
  <c r="D667"/>
  <c r="D703"/>
  <c r="D641"/>
  <c r="D681"/>
  <c r="D617"/>
  <c r="D627"/>
  <c r="D602"/>
  <c r="D625"/>
  <c r="D659"/>
  <c r="D753"/>
  <c r="D568"/>
  <c r="D740"/>
  <c r="D636"/>
  <c r="D501"/>
  <c r="D631"/>
  <c r="D653"/>
  <c r="D708"/>
  <c r="D671"/>
  <c r="D626"/>
  <c r="D525"/>
  <c r="D328"/>
  <c r="D766"/>
  <c r="D566"/>
  <c r="D592"/>
  <c r="D509"/>
  <c r="D768"/>
  <c r="D554"/>
  <c r="D637"/>
  <c r="D663"/>
  <c r="D577"/>
  <c r="D536"/>
  <c r="D588"/>
  <c r="D519"/>
  <c r="D600"/>
  <c r="D606"/>
  <c r="D611"/>
  <c r="D666"/>
  <c r="D557"/>
  <c r="D639"/>
  <c r="D523"/>
  <c r="D471"/>
  <c r="D712"/>
  <c r="D615"/>
  <c r="D645"/>
  <c r="D614"/>
  <c r="D635"/>
  <c r="D652"/>
  <c r="D630"/>
  <c r="D512"/>
  <c r="D524"/>
  <c r="D619"/>
  <c r="D612"/>
  <c r="D490"/>
  <c r="D613"/>
  <c r="D562"/>
  <c r="D518"/>
  <c r="D590"/>
  <c r="D491"/>
  <c r="D583"/>
  <c r="D580"/>
  <c r="D585"/>
  <c r="D485"/>
  <c r="D721"/>
  <c r="D455"/>
  <c r="D616"/>
  <c r="D694"/>
  <c r="D678"/>
  <c r="D521"/>
  <c r="D544"/>
  <c r="D623"/>
  <c r="D534"/>
  <c r="D563"/>
  <c r="D749"/>
  <c r="D477"/>
  <c r="D442"/>
  <c r="D533"/>
  <c r="D634"/>
  <c r="D372"/>
  <c r="D579"/>
  <c r="D654"/>
  <c r="D608"/>
  <c r="D542"/>
  <c r="D514"/>
  <c r="D346"/>
  <c r="D741"/>
  <c r="D632"/>
  <c r="D603"/>
  <c r="D605"/>
  <c r="D550"/>
  <c r="D609"/>
  <c r="D581"/>
  <c r="D516"/>
  <c r="D510"/>
  <c r="D575"/>
  <c r="D584"/>
  <c r="D531"/>
  <c r="D507"/>
  <c r="D599"/>
  <c r="D502"/>
  <c r="D607"/>
  <c r="D520"/>
  <c r="D288"/>
  <c r="D538"/>
  <c r="D564"/>
  <c r="D500"/>
  <c r="D559"/>
  <c r="D719"/>
  <c r="D598"/>
  <c r="D565"/>
  <c r="D540"/>
  <c r="D417"/>
  <c r="D618"/>
  <c r="D424"/>
  <c r="D508"/>
  <c r="D456"/>
  <c r="D527"/>
  <c r="D423"/>
  <c r="D567"/>
  <c r="D582"/>
  <c r="D364"/>
  <c r="D425"/>
  <c r="D443"/>
  <c r="D572"/>
  <c r="D458"/>
  <c r="D587"/>
  <c r="D535"/>
  <c r="D493"/>
  <c r="D530"/>
  <c r="D447"/>
  <c r="D445"/>
  <c r="D558"/>
  <c r="D545"/>
  <c r="D437"/>
  <c r="D541"/>
  <c r="D505"/>
  <c r="D377"/>
  <c r="D473"/>
  <c r="D236"/>
  <c r="D429"/>
  <c r="D574"/>
  <c r="D318"/>
  <c r="D529"/>
  <c r="D551"/>
  <c r="D553"/>
  <c r="D478"/>
  <c r="D597"/>
  <c r="D539"/>
  <c r="D189"/>
  <c r="D387"/>
  <c r="D422"/>
  <c r="D395"/>
  <c r="D486"/>
  <c r="D561"/>
  <c r="D498"/>
  <c r="D549"/>
  <c r="D569"/>
  <c r="D439"/>
  <c r="D526"/>
  <c r="D537"/>
  <c r="D191"/>
  <c r="D547"/>
  <c r="D552"/>
  <c r="D499"/>
  <c r="D503"/>
  <c r="D517"/>
  <c r="D389"/>
  <c r="D522"/>
  <c r="D506"/>
  <c r="D392"/>
  <c r="D573"/>
  <c r="D316"/>
  <c r="D263"/>
  <c r="D475"/>
  <c r="D354"/>
  <c r="D349"/>
  <c r="D496"/>
  <c r="D469"/>
  <c r="D466"/>
  <c r="D416"/>
  <c r="D290"/>
  <c r="D492"/>
  <c r="D624"/>
  <c r="D596"/>
  <c r="D487"/>
  <c r="D451"/>
  <c r="D391"/>
  <c r="D367"/>
  <c r="D430"/>
  <c r="D586"/>
  <c r="D186"/>
  <c r="D311"/>
  <c r="D329"/>
  <c r="D419"/>
  <c r="D481"/>
  <c r="D227"/>
  <c r="D476"/>
  <c r="D511"/>
  <c r="D459"/>
  <c r="D356"/>
  <c r="D436"/>
  <c r="D513"/>
  <c r="D434"/>
  <c r="D428"/>
  <c r="D560"/>
  <c r="D474"/>
  <c r="D441"/>
  <c r="D465"/>
  <c r="D339"/>
  <c r="D463"/>
  <c r="D396"/>
  <c r="D341"/>
  <c r="D468"/>
  <c r="D484"/>
  <c r="D379"/>
  <c r="D504"/>
  <c r="D351"/>
  <c r="D462"/>
  <c r="D644"/>
  <c r="D495"/>
  <c r="D435"/>
  <c r="D446"/>
  <c r="D571"/>
  <c r="D116"/>
  <c r="D373"/>
  <c r="D548"/>
  <c r="D398"/>
  <c r="D448"/>
  <c r="D380"/>
  <c r="D215"/>
  <c r="D432"/>
  <c r="D386"/>
  <c r="D393"/>
  <c r="D207"/>
  <c r="D449"/>
  <c r="D460"/>
  <c r="D426"/>
  <c r="D244"/>
  <c r="D257"/>
  <c r="D457"/>
  <c r="D266"/>
  <c r="D217"/>
  <c r="D407"/>
  <c r="D385"/>
  <c r="D440"/>
  <c r="D348"/>
  <c r="D410"/>
  <c r="D378"/>
  <c r="D464"/>
  <c r="D415"/>
  <c r="D374"/>
  <c r="D400"/>
  <c r="D411"/>
  <c r="D229"/>
  <c r="D358"/>
  <c r="D546"/>
  <c r="D211"/>
  <c r="D420"/>
  <c r="D219"/>
  <c r="D304"/>
  <c r="D352"/>
  <c r="D470"/>
  <c r="D421"/>
  <c r="D306"/>
  <c r="D369"/>
  <c r="D497"/>
  <c r="D319"/>
  <c r="D409"/>
  <c r="D347"/>
  <c r="D308"/>
  <c r="D287"/>
  <c r="D375"/>
  <c r="D314"/>
  <c r="D394"/>
  <c r="D479"/>
  <c r="D326"/>
  <c r="D453"/>
  <c r="D408"/>
  <c r="D359"/>
  <c r="D222"/>
  <c r="D199"/>
  <c r="D362"/>
  <c r="D399"/>
  <c r="D338"/>
  <c r="D450"/>
  <c r="D302"/>
  <c r="D284"/>
  <c r="D1549"/>
  <c r="D361"/>
  <c r="D383"/>
  <c r="D388"/>
  <c r="D418"/>
  <c r="D127"/>
  <c r="D366"/>
  <c r="D323"/>
  <c r="D315"/>
  <c r="D365"/>
  <c r="D309"/>
  <c r="D291"/>
  <c r="D376"/>
  <c r="D360"/>
  <c r="D178"/>
  <c r="D433"/>
  <c r="D167"/>
  <c r="D382"/>
  <c r="D275"/>
  <c r="D292"/>
  <c r="D268"/>
  <c r="D336"/>
  <c r="D390"/>
  <c r="D467"/>
  <c r="D212"/>
  <c r="D357"/>
  <c r="D363"/>
  <c r="D327"/>
  <c r="D405"/>
  <c r="D370"/>
  <c r="D332"/>
  <c r="D231"/>
  <c r="D350"/>
  <c r="D333"/>
  <c r="D296"/>
  <c r="D344"/>
  <c r="D184"/>
  <c r="D226"/>
  <c r="D141"/>
  <c r="D234"/>
  <c r="D353"/>
  <c r="D321"/>
  <c r="D355"/>
  <c r="D242"/>
  <c r="D381"/>
  <c r="D297"/>
  <c r="D165"/>
  <c r="D335"/>
  <c r="D301"/>
  <c r="D312"/>
  <c r="D247"/>
  <c r="D220"/>
  <c r="D280"/>
  <c r="D294"/>
  <c r="D345"/>
  <c r="D243"/>
  <c r="D289"/>
  <c r="D402"/>
  <c r="D330"/>
  <c r="D187"/>
  <c r="D320"/>
  <c r="D233"/>
  <c r="D270"/>
  <c r="D209"/>
  <c r="D307"/>
  <c r="D325"/>
  <c r="D368"/>
  <c r="D1532"/>
  <c r="D253"/>
  <c r="D342"/>
  <c r="D401"/>
  <c r="D305"/>
  <c r="D660"/>
  <c r="D248"/>
  <c r="D142"/>
  <c r="D298"/>
  <c r="D85"/>
  <c r="D196"/>
  <c r="D337"/>
  <c r="D192"/>
  <c r="D371"/>
  <c r="D201"/>
  <c r="D334"/>
  <c r="D414"/>
  <c r="D299"/>
  <c r="D269"/>
  <c r="D324"/>
  <c r="D117"/>
  <c r="D173"/>
  <c r="D230"/>
  <c r="D250"/>
  <c r="D258"/>
  <c r="D313"/>
  <c r="D160"/>
  <c r="D322"/>
  <c r="D264"/>
  <c r="D285"/>
  <c r="D183"/>
  <c r="D260"/>
  <c r="D283"/>
  <c r="D79"/>
  <c r="D154"/>
  <c r="D265"/>
  <c r="D208"/>
  <c r="D310"/>
  <c r="D95"/>
  <c r="D225"/>
  <c r="D168"/>
  <c r="D277"/>
  <c r="D246"/>
  <c r="D293"/>
  <c r="D281"/>
  <c r="D218"/>
  <c r="D252"/>
  <c r="D278"/>
  <c r="D256"/>
  <c r="D120"/>
  <c r="D271"/>
  <c r="D147"/>
  <c r="D232"/>
  <c r="D317"/>
  <c r="D126"/>
  <c r="D286"/>
  <c r="D340"/>
  <c r="D149"/>
  <c r="D331"/>
  <c r="D343"/>
  <c r="D259"/>
  <c r="D384"/>
  <c r="D262"/>
  <c r="D161"/>
  <c r="D240"/>
  <c r="D300"/>
  <c r="D190"/>
  <c r="D261"/>
  <c r="D237"/>
  <c r="D279"/>
  <c r="D110"/>
  <c r="D241"/>
  <c r="D235"/>
  <c r="D303"/>
  <c r="D176"/>
  <c r="D182"/>
  <c r="D195"/>
  <c r="D175"/>
  <c r="D224"/>
  <c r="D272"/>
  <c r="D135"/>
  <c r="D255"/>
  <c r="D98"/>
  <c r="D228"/>
  <c r="D245"/>
  <c r="D177"/>
  <c r="D254"/>
  <c r="D197"/>
  <c r="D166"/>
  <c r="D153"/>
  <c r="D203"/>
  <c r="D89"/>
  <c r="D204"/>
  <c r="D188"/>
  <c r="D162"/>
  <c r="D202"/>
  <c r="D140"/>
  <c r="D238"/>
  <c r="D213"/>
  <c r="D198"/>
  <c r="D216"/>
  <c r="D181"/>
  <c r="D267"/>
  <c r="D128"/>
  <c r="D136"/>
  <c r="D274"/>
  <c r="D102"/>
  <c r="D206"/>
  <c r="D131"/>
  <c r="D221"/>
  <c r="D144"/>
  <c r="D171"/>
  <c r="D179"/>
  <c r="D156"/>
  <c r="D138"/>
  <c r="D107"/>
  <c r="D180"/>
  <c r="D295"/>
  <c r="D99"/>
  <c r="D273"/>
  <c r="D139"/>
  <c r="D193"/>
  <c r="D108"/>
  <c r="D172"/>
  <c r="D133"/>
  <c r="D123"/>
  <c r="D86"/>
  <c r="D114"/>
  <c r="D163"/>
  <c r="D276"/>
  <c r="D205"/>
  <c r="D148"/>
  <c r="D145"/>
  <c r="D251"/>
  <c r="D151"/>
  <c r="D146"/>
  <c r="D158"/>
  <c r="D80"/>
  <c r="D185"/>
  <c r="D84"/>
  <c r="D169"/>
  <c r="D150"/>
  <c r="D152"/>
  <c r="D194"/>
  <c r="D223"/>
  <c r="D122"/>
  <c r="D210"/>
  <c r="D170"/>
  <c r="D157"/>
  <c r="D69"/>
  <c r="D60"/>
  <c r="D87"/>
  <c r="D81"/>
  <c r="D143"/>
  <c r="D109"/>
  <c r="D134"/>
  <c r="D155"/>
  <c r="D132"/>
  <c r="D106"/>
  <c r="D130"/>
  <c r="D200"/>
  <c r="D124"/>
  <c r="D104"/>
  <c r="D137"/>
  <c r="D112"/>
  <c r="D164"/>
  <c r="D58"/>
  <c r="D75"/>
  <c r="D118"/>
  <c r="D111"/>
  <c r="D115"/>
  <c r="D83"/>
  <c r="D159"/>
  <c r="D100"/>
  <c r="D129"/>
  <c r="D72"/>
  <c r="D88"/>
  <c r="D66"/>
  <c r="D97"/>
  <c r="D119"/>
  <c r="D121"/>
  <c r="D76"/>
  <c r="D93"/>
  <c r="D103"/>
  <c r="D94"/>
  <c r="D63"/>
  <c r="D62"/>
  <c r="D70"/>
  <c r="D125"/>
  <c r="D174"/>
  <c r="D77"/>
  <c r="D96"/>
  <c r="D59"/>
  <c r="D82"/>
  <c r="D101"/>
  <c r="D71"/>
  <c r="D105"/>
  <c r="D33"/>
  <c r="D65"/>
  <c r="D92"/>
  <c r="D54"/>
  <c r="D91"/>
  <c r="D53"/>
  <c r="D90"/>
  <c r="D73"/>
  <c r="D78"/>
  <c r="D113"/>
  <c r="D61"/>
  <c r="D56"/>
  <c r="D51"/>
  <c r="D19"/>
  <c r="D46"/>
  <c r="D48"/>
  <c r="D49"/>
  <c r="D74"/>
  <c r="D42"/>
  <c r="D55"/>
  <c r="D21"/>
  <c r="D68"/>
  <c r="D64"/>
  <c r="D47"/>
  <c r="D67"/>
  <c r="D57"/>
  <c r="D37"/>
  <c r="D39"/>
  <c r="D41"/>
  <c r="D14"/>
  <c r="D45"/>
  <c r="D30"/>
  <c r="D44"/>
  <c r="D16"/>
  <c r="D43"/>
  <c r="D38"/>
  <c r="D17"/>
  <c r="D27"/>
  <c r="D50"/>
  <c r="D36"/>
  <c r="D32"/>
  <c r="D35"/>
  <c r="D25"/>
  <c r="D18"/>
  <c r="D34"/>
  <c r="D31"/>
  <c r="D52"/>
  <c r="D40"/>
  <c r="D28"/>
  <c r="D9"/>
  <c r="D20"/>
  <c r="D29"/>
  <c r="D22"/>
  <c r="D23"/>
  <c r="D26"/>
  <c r="D10"/>
  <c r="D24"/>
  <c r="D7"/>
  <c r="D15"/>
  <c r="D13"/>
  <c r="D12"/>
  <c r="D11"/>
  <c r="D6"/>
  <c r="D8"/>
  <c r="D5"/>
  <c r="D4"/>
  <c r="D3"/>
  <c r="D2"/>
  <c r="A3" i="15"/>
  <c r="A2"/>
  <c r="A7824" i="13" l="1"/>
  <c r="B7823"/>
  <c r="A7823"/>
  <c r="B7822"/>
  <c r="A7822"/>
  <c r="B7821"/>
  <c r="A7821"/>
  <c r="B7820"/>
  <c r="A7820"/>
  <c r="B7819"/>
  <c r="A7819"/>
  <c r="B7818"/>
  <c r="A7818"/>
  <c r="B7817"/>
  <c r="A7817"/>
  <c r="B7816"/>
  <c r="A7816"/>
  <c r="B7815"/>
  <c r="A7815"/>
  <c r="B7814"/>
  <c r="A7814"/>
  <c r="B7813"/>
  <c r="A7813"/>
  <c r="B7812"/>
  <c r="A7812"/>
  <c r="B7811"/>
  <c r="A7811"/>
  <c r="B7810"/>
  <c r="A7810"/>
  <c r="B7809"/>
  <c r="A7809"/>
  <c r="B7808"/>
  <c r="A7808"/>
  <c r="B7807"/>
  <c r="A7807"/>
  <c r="B7806"/>
  <c r="A7806"/>
  <c r="B7805"/>
  <c r="A7805"/>
  <c r="B7804"/>
  <c r="A7804"/>
  <c r="B7803"/>
  <c r="A7803"/>
  <c r="B7802"/>
  <c r="A7802"/>
  <c r="B7801"/>
  <c r="A7801"/>
  <c r="B7800"/>
  <c r="A7800"/>
  <c r="B7799"/>
  <c r="A7799"/>
  <c r="B7798"/>
  <c r="A7798"/>
  <c r="B7797"/>
  <c r="A7797"/>
  <c r="B7796"/>
  <c r="A7796"/>
  <c r="B7795"/>
  <c r="A7795"/>
  <c r="B7794"/>
  <c r="A7794"/>
  <c r="B7793"/>
  <c r="A7793"/>
  <c r="B7792"/>
  <c r="A7792"/>
  <c r="B7791"/>
  <c r="A7791"/>
  <c r="B7790"/>
  <c r="A7790"/>
  <c r="B7789"/>
  <c r="A7789"/>
  <c r="B7788"/>
  <c r="A7788"/>
  <c r="B7787"/>
  <c r="A7787"/>
  <c r="B7786"/>
  <c r="A7786"/>
  <c r="B7785"/>
  <c r="A7785"/>
  <c r="B7784"/>
  <c r="A7784"/>
  <c r="B7783"/>
  <c r="A7783"/>
  <c r="B7782"/>
  <c r="A7782"/>
  <c r="B7781"/>
  <c r="A7781"/>
  <c r="B7780"/>
  <c r="A7780"/>
  <c r="B7779"/>
  <c r="A7779"/>
  <c r="B7778"/>
  <c r="A7778"/>
  <c r="B7777"/>
  <c r="A7777"/>
  <c r="B7776"/>
  <c r="A7776"/>
  <c r="B7775"/>
  <c r="A7775"/>
  <c r="B7774"/>
  <c r="A7774"/>
  <c r="B7773"/>
  <c r="A7773"/>
  <c r="B7772"/>
  <c r="A7772"/>
  <c r="B7771"/>
  <c r="A7771"/>
  <c r="B7770"/>
  <c r="A7770"/>
  <c r="B7769"/>
  <c r="A7769"/>
  <c r="B7768"/>
  <c r="A7768"/>
  <c r="B7767"/>
  <c r="A7767"/>
  <c r="B7766"/>
  <c r="A7766"/>
  <c r="B7765"/>
  <c r="A7765"/>
  <c r="B7764"/>
  <c r="A7764"/>
  <c r="B7763"/>
  <c r="A7763"/>
  <c r="B7762"/>
  <c r="A7762"/>
  <c r="B7761"/>
  <c r="A7761"/>
  <c r="B7760"/>
  <c r="A7760"/>
  <c r="B7759"/>
  <c r="A7759"/>
  <c r="B7758"/>
  <c r="A7758"/>
  <c r="B7757"/>
  <c r="A7757"/>
  <c r="B7756"/>
  <c r="A7756"/>
  <c r="B7755"/>
  <c r="A7755"/>
  <c r="B7754"/>
  <c r="A7754"/>
  <c r="B7753"/>
  <c r="A7753"/>
  <c r="B7752"/>
  <c r="A7752"/>
  <c r="B7751"/>
  <c r="A7751"/>
  <c r="B7750"/>
  <c r="A7750"/>
  <c r="B7749"/>
  <c r="A7749"/>
  <c r="B7748"/>
  <c r="A7748"/>
  <c r="B7747"/>
  <c r="A7747"/>
  <c r="B7746"/>
  <c r="A7746"/>
  <c r="B7745"/>
  <c r="A7745"/>
  <c r="B7744"/>
  <c r="A7744"/>
  <c r="B7743"/>
  <c r="A7743"/>
  <c r="B7742"/>
  <c r="A7742"/>
  <c r="B7741"/>
  <c r="A7741"/>
  <c r="B7740"/>
  <c r="A7740"/>
  <c r="B7739"/>
  <c r="A7739"/>
  <c r="B7738"/>
  <c r="A7738"/>
  <c r="B7737"/>
  <c r="A7737"/>
  <c r="B7736"/>
  <c r="A7736"/>
  <c r="B7735"/>
  <c r="A7735"/>
  <c r="B7734"/>
  <c r="A7734"/>
  <c r="B7733"/>
  <c r="A7733"/>
  <c r="B7732"/>
  <c r="A7732"/>
  <c r="B7731"/>
  <c r="A7731"/>
  <c r="B7730"/>
  <c r="A7730"/>
  <c r="B7729"/>
  <c r="A7729"/>
  <c r="B7728"/>
  <c r="A7728"/>
  <c r="B7727"/>
  <c r="A7727"/>
  <c r="B7726"/>
  <c r="A7726"/>
  <c r="B7725"/>
  <c r="A7725"/>
  <c r="B7724"/>
  <c r="A7724"/>
  <c r="B7723"/>
  <c r="A7723"/>
  <c r="B7722"/>
  <c r="A7722"/>
  <c r="B7721"/>
  <c r="A7721"/>
  <c r="B7720"/>
  <c r="A7720"/>
  <c r="B7719"/>
  <c r="A7719"/>
  <c r="B7718"/>
  <c r="A7718"/>
  <c r="B7717"/>
  <c r="A7717"/>
  <c r="B7716"/>
  <c r="A7716"/>
  <c r="B7715"/>
  <c r="A7715"/>
  <c r="B7714"/>
  <c r="A7714"/>
  <c r="B7713"/>
  <c r="A7713"/>
  <c r="B7712"/>
  <c r="A7712"/>
  <c r="B7711"/>
  <c r="A7711"/>
  <c r="B7710"/>
  <c r="A7710"/>
  <c r="B7709"/>
  <c r="A7709"/>
  <c r="B7708"/>
  <c r="A7708"/>
  <c r="B7707"/>
  <c r="A7707"/>
  <c r="B7706"/>
  <c r="A7706"/>
  <c r="B7705"/>
  <c r="A7705"/>
  <c r="B7704"/>
  <c r="A7704"/>
  <c r="B7703"/>
  <c r="A7703"/>
  <c r="B7702"/>
  <c r="A7702"/>
  <c r="B7701"/>
  <c r="A7701"/>
  <c r="B7700"/>
  <c r="A7700"/>
  <c r="B7699"/>
  <c r="A7699"/>
  <c r="B7698"/>
  <c r="A7698"/>
  <c r="B7697"/>
  <c r="A7697"/>
  <c r="B7696"/>
  <c r="A7696"/>
  <c r="B7695"/>
  <c r="A7695"/>
  <c r="B7694"/>
  <c r="A7694"/>
  <c r="B7693"/>
  <c r="A7693"/>
  <c r="B7692"/>
  <c r="A7692"/>
  <c r="B7691"/>
  <c r="A7691"/>
  <c r="B7690"/>
  <c r="A7690"/>
  <c r="B7689"/>
  <c r="A7689"/>
  <c r="B7688"/>
  <c r="A7688"/>
  <c r="B7687"/>
  <c r="A7687"/>
  <c r="B7686"/>
  <c r="A7686"/>
  <c r="B7685"/>
  <c r="A7685"/>
  <c r="B7684"/>
  <c r="A7684"/>
  <c r="B7683"/>
  <c r="A7683"/>
  <c r="B7682"/>
  <c r="A7682"/>
  <c r="B7681"/>
  <c r="A7681"/>
  <c r="B7680"/>
  <c r="A7680"/>
  <c r="B7679"/>
  <c r="A7679"/>
  <c r="B7678"/>
  <c r="A7678"/>
  <c r="B7677"/>
  <c r="A7677"/>
  <c r="B7676"/>
  <c r="A7676"/>
  <c r="B7675"/>
  <c r="A7675"/>
  <c r="B7674"/>
  <c r="A7674"/>
  <c r="B7673"/>
  <c r="A7673"/>
  <c r="B7672"/>
  <c r="A7672"/>
  <c r="B7671"/>
  <c r="A7671"/>
  <c r="B7670"/>
  <c r="A7670"/>
  <c r="B7669"/>
  <c r="A7669"/>
  <c r="B7668"/>
  <c r="A7668"/>
  <c r="B7667"/>
  <c r="A7667"/>
  <c r="B7666"/>
  <c r="A7666"/>
  <c r="B7665"/>
  <c r="A7665"/>
  <c r="B7664"/>
  <c r="A7664"/>
  <c r="B7663"/>
  <c r="A7663"/>
  <c r="B7662"/>
  <c r="A7662"/>
  <c r="B7661"/>
  <c r="A7661"/>
  <c r="B7660"/>
  <c r="A7660"/>
  <c r="B7659"/>
  <c r="A7659"/>
  <c r="B7658"/>
  <c r="A7658"/>
  <c r="B7657"/>
  <c r="A7657"/>
  <c r="B7656"/>
  <c r="A7656"/>
  <c r="B7655"/>
  <c r="A7655"/>
  <c r="B7654"/>
  <c r="A7654"/>
  <c r="B7653"/>
  <c r="A7653"/>
  <c r="B7652"/>
  <c r="A7652"/>
  <c r="B7651"/>
  <c r="A7651"/>
  <c r="B7650"/>
  <c r="A7650"/>
  <c r="B7649"/>
  <c r="A7649"/>
  <c r="B7648"/>
  <c r="A7648"/>
  <c r="B7647"/>
  <c r="A7647"/>
  <c r="B7646"/>
  <c r="A7646"/>
  <c r="B7645"/>
  <c r="A7645"/>
  <c r="B7644"/>
  <c r="A7644"/>
  <c r="B7643"/>
  <c r="A7643"/>
  <c r="B7642"/>
  <c r="A7642"/>
  <c r="B7641"/>
  <c r="A7641"/>
  <c r="B7640"/>
  <c r="A7640"/>
  <c r="B7639"/>
  <c r="A7639"/>
  <c r="B7638"/>
  <c r="A7638"/>
  <c r="B7637"/>
  <c r="A7637"/>
  <c r="B7636"/>
  <c r="A7636"/>
  <c r="B7635"/>
  <c r="A7635"/>
  <c r="B7634"/>
  <c r="A7634"/>
  <c r="B7633"/>
  <c r="A7633"/>
  <c r="B7632"/>
  <c r="A7632"/>
  <c r="B7631"/>
  <c r="A7631"/>
  <c r="B7630"/>
  <c r="A7630"/>
  <c r="B7629"/>
  <c r="A7629"/>
  <c r="B7628"/>
  <c r="A7628"/>
  <c r="B7627"/>
  <c r="A7627"/>
  <c r="B7626"/>
  <c r="A7626"/>
  <c r="B7625"/>
  <c r="A7625"/>
  <c r="B7624"/>
  <c r="A7624"/>
  <c r="B7623"/>
  <c r="A7623"/>
  <c r="B7622"/>
  <c r="A7622"/>
  <c r="B7621"/>
  <c r="A7621"/>
  <c r="B7620"/>
  <c r="A7620"/>
  <c r="B7619"/>
  <c r="A7619"/>
  <c r="B7618"/>
  <c r="A7618"/>
  <c r="B7617"/>
  <c r="A7617"/>
  <c r="B7616"/>
  <c r="A7616"/>
  <c r="B7615"/>
  <c r="A7615"/>
  <c r="B7614"/>
  <c r="A7614"/>
  <c r="B7613"/>
  <c r="A7613"/>
  <c r="B7612"/>
  <c r="A7612"/>
  <c r="B7611"/>
  <c r="A7611"/>
  <c r="B7610"/>
  <c r="A7610"/>
  <c r="B7609"/>
  <c r="A7609"/>
  <c r="B7608"/>
  <c r="A7608"/>
  <c r="B7607"/>
  <c r="A7607"/>
  <c r="B7606"/>
  <c r="A7606"/>
  <c r="B7605"/>
  <c r="A7605"/>
  <c r="B7604"/>
  <c r="A7604"/>
  <c r="B7603"/>
  <c r="A7603"/>
  <c r="B7602"/>
  <c r="A7602"/>
  <c r="B7601"/>
  <c r="A7601"/>
  <c r="B7600"/>
  <c r="A7600"/>
  <c r="B7599"/>
  <c r="A7599"/>
  <c r="B7598"/>
  <c r="A7598"/>
  <c r="B7597"/>
  <c r="A7597"/>
  <c r="B7596"/>
  <c r="A7596"/>
  <c r="B7595"/>
  <c r="A7595"/>
  <c r="B7594"/>
  <c r="A7594"/>
  <c r="B7593"/>
  <c r="A7593"/>
  <c r="B7592"/>
  <c r="A7592"/>
  <c r="B7591"/>
  <c r="A7591"/>
  <c r="B7590"/>
  <c r="A7590"/>
  <c r="B7589"/>
  <c r="A7589"/>
  <c r="B7588"/>
  <c r="A7588"/>
  <c r="B7587"/>
  <c r="A7587"/>
  <c r="B7586"/>
  <c r="A7586"/>
  <c r="B7585"/>
  <c r="A7585"/>
  <c r="B7584"/>
  <c r="A7584"/>
  <c r="B7583"/>
  <c r="A7583"/>
  <c r="B7582"/>
  <c r="A7582"/>
  <c r="B7581"/>
  <c r="A7581"/>
  <c r="B7580"/>
  <c r="A7580"/>
  <c r="B7579"/>
  <c r="A7579"/>
  <c r="B7578"/>
  <c r="A7578"/>
  <c r="B7577"/>
  <c r="A7577"/>
  <c r="B7576"/>
  <c r="A7576"/>
  <c r="B7575"/>
  <c r="A7575"/>
  <c r="B7574"/>
  <c r="A7574"/>
  <c r="B7573"/>
  <c r="A7573"/>
  <c r="B7572"/>
  <c r="A7572"/>
  <c r="B7571"/>
  <c r="A7571"/>
  <c r="B7570"/>
  <c r="A7570"/>
  <c r="B7569"/>
  <c r="A7569"/>
  <c r="B7568"/>
  <c r="A7568"/>
  <c r="B7567"/>
  <c r="A7567"/>
  <c r="B7566"/>
  <c r="A7566"/>
  <c r="B7565"/>
  <c r="A7565"/>
  <c r="B7564"/>
  <c r="A7564"/>
  <c r="B7563"/>
  <c r="A7563"/>
  <c r="B7562"/>
  <c r="A7562"/>
  <c r="B7561"/>
  <c r="A7561"/>
  <c r="B7560"/>
  <c r="A7560"/>
  <c r="B7559"/>
  <c r="A7559"/>
  <c r="B7558"/>
  <c r="A7558"/>
  <c r="B7557"/>
  <c r="A7557"/>
  <c r="B7556"/>
  <c r="A7556"/>
  <c r="B7555"/>
  <c r="A7555"/>
  <c r="B7554"/>
  <c r="A7554"/>
  <c r="B7553"/>
  <c r="A7553"/>
  <c r="B7552"/>
  <c r="A7552"/>
  <c r="B7551"/>
  <c r="A7551"/>
  <c r="B7550"/>
  <c r="A7550"/>
  <c r="B7549"/>
  <c r="A7549"/>
  <c r="B7548"/>
  <c r="A7548"/>
  <c r="B7547"/>
  <c r="A7547"/>
  <c r="B7546"/>
  <c r="A7546"/>
  <c r="B7545"/>
  <c r="A7545"/>
  <c r="B7544"/>
  <c r="A7544"/>
  <c r="B7543"/>
  <c r="A7543"/>
  <c r="B7542"/>
  <c r="A7542"/>
  <c r="B7541"/>
  <c r="A7541"/>
  <c r="B7540"/>
  <c r="A7540"/>
  <c r="B7539"/>
  <c r="A7539"/>
  <c r="B7538"/>
  <c r="A7538"/>
  <c r="B7537"/>
  <c r="A7537"/>
  <c r="B7536"/>
  <c r="A7536"/>
  <c r="B7535"/>
  <c r="A7535"/>
  <c r="B7534"/>
  <c r="A7534"/>
  <c r="B7533"/>
  <c r="A7533"/>
  <c r="B7532"/>
  <c r="A7532"/>
  <c r="B7531"/>
  <c r="A7531"/>
  <c r="B7530"/>
  <c r="A7530"/>
  <c r="B7529"/>
  <c r="A7529"/>
  <c r="B7528"/>
  <c r="A7528"/>
  <c r="B7527"/>
  <c r="A7527"/>
  <c r="B7526"/>
  <c r="A7526"/>
  <c r="B7525"/>
  <c r="A7525"/>
  <c r="B7524"/>
  <c r="A7524"/>
  <c r="B7523"/>
  <c r="A7523"/>
  <c r="B7522"/>
  <c r="A7522"/>
  <c r="B7521"/>
  <c r="A7521"/>
  <c r="B7520"/>
  <c r="A7520"/>
  <c r="B7519"/>
  <c r="A7519"/>
  <c r="B7518"/>
  <c r="A7518"/>
  <c r="B7517"/>
  <c r="A7517"/>
  <c r="B7516"/>
  <c r="A7516"/>
  <c r="B7515"/>
  <c r="A7515"/>
  <c r="B7514"/>
  <c r="A7514"/>
  <c r="B7513"/>
  <c r="A7513"/>
  <c r="B7512"/>
  <c r="A7512"/>
  <c r="B7511"/>
  <c r="A7511"/>
  <c r="B7510"/>
  <c r="A7510"/>
  <c r="B7509"/>
  <c r="A7509"/>
  <c r="B7508"/>
  <c r="A7508"/>
  <c r="B7507"/>
  <c r="A7507"/>
  <c r="B7506"/>
  <c r="A7506"/>
  <c r="B7505"/>
  <c r="A7505"/>
  <c r="B7504"/>
  <c r="A7504"/>
  <c r="B7503"/>
  <c r="A7503"/>
  <c r="B7502"/>
  <c r="A7502"/>
  <c r="B7501"/>
  <c r="A7501"/>
  <c r="B7500"/>
  <c r="A7500"/>
  <c r="B7499"/>
  <c r="A7499"/>
  <c r="B7498"/>
  <c r="A7498"/>
  <c r="B7497"/>
  <c r="A7497"/>
  <c r="B7496"/>
  <c r="A7496"/>
  <c r="B7495"/>
  <c r="A7495"/>
  <c r="B7494"/>
  <c r="A7494"/>
  <c r="B7493"/>
  <c r="A7493"/>
  <c r="B7492"/>
  <c r="A7492"/>
  <c r="B7491"/>
  <c r="A7491"/>
  <c r="B7490"/>
  <c r="A7490"/>
  <c r="B7489"/>
  <c r="A7489"/>
  <c r="B7488"/>
  <c r="A7488"/>
  <c r="B7487"/>
  <c r="A7487"/>
  <c r="B7486"/>
  <c r="A7486"/>
  <c r="B7485"/>
  <c r="A7485"/>
  <c r="B7484"/>
  <c r="A7484"/>
  <c r="B7483"/>
  <c r="A7483"/>
  <c r="B7482"/>
  <c r="A7482"/>
  <c r="B7481"/>
  <c r="A7481"/>
  <c r="B7480"/>
  <c r="A7480"/>
  <c r="B7479"/>
  <c r="A7479"/>
  <c r="B7478"/>
  <c r="A7478"/>
  <c r="B7477"/>
  <c r="A7477"/>
  <c r="B7476"/>
  <c r="A7476"/>
  <c r="B7475"/>
  <c r="A7475"/>
  <c r="B7474"/>
  <c r="A7474"/>
  <c r="B7473"/>
  <c r="A7473"/>
  <c r="B7472"/>
  <c r="A7472"/>
  <c r="B7471"/>
  <c r="A7471"/>
  <c r="B7470"/>
  <c r="A7470"/>
  <c r="B7469"/>
  <c r="A7469"/>
  <c r="B7468"/>
  <c r="A7468"/>
  <c r="B7467"/>
  <c r="A7467"/>
  <c r="B7466"/>
  <c r="A7466"/>
  <c r="B7465"/>
  <c r="A7465"/>
  <c r="B7464"/>
  <c r="A7464"/>
  <c r="B7463"/>
  <c r="A7463"/>
  <c r="B7462"/>
  <c r="A7462"/>
  <c r="B7461"/>
  <c r="A7461"/>
  <c r="B7460"/>
  <c r="A7460"/>
  <c r="B7459"/>
  <c r="A7459"/>
  <c r="B7458"/>
  <c r="A7458"/>
  <c r="B7457"/>
  <c r="A7457"/>
  <c r="B7456"/>
  <c r="A7456"/>
  <c r="B7455"/>
  <c r="A7455"/>
  <c r="B7454"/>
  <c r="A7454"/>
  <c r="B7453"/>
  <c r="A7453"/>
  <c r="B7452"/>
  <c r="A7452"/>
  <c r="B7451"/>
  <c r="A7451"/>
  <c r="B7450"/>
  <c r="A7450"/>
  <c r="B7449"/>
  <c r="A7449"/>
  <c r="B7448"/>
  <c r="A7448"/>
  <c r="B7447"/>
  <c r="A7447"/>
  <c r="B7446"/>
  <c r="A7446"/>
  <c r="B7445"/>
  <c r="A7445"/>
  <c r="B7444"/>
  <c r="A7444"/>
  <c r="B7443"/>
  <c r="A7443"/>
  <c r="B7442"/>
  <c r="A7442"/>
  <c r="B7441"/>
  <c r="A7441"/>
  <c r="B7440"/>
  <c r="A7440"/>
  <c r="B7439"/>
  <c r="A7439"/>
  <c r="B7438"/>
  <c r="A7438"/>
  <c r="B7437"/>
  <c r="A7437"/>
  <c r="B7436"/>
  <c r="A7436"/>
  <c r="B7435"/>
  <c r="A7435"/>
  <c r="B7434"/>
  <c r="A7434"/>
  <c r="B7433"/>
  <c r="A7433"/>
  <c r="B7432"/>
  <c r="A7432"/>
  <c r="B7431"/>
  <c r="A7431"/>
  <c r="B7430"/>
  <c r="A7430"/>
  <c r="B7429"/>
  <c r="A7429"/>
  <c r="B7428"/>
  <c r="A7428"/>
  <c r="B7427"/>
  <c r="A7427"/>
  <c r="B7426"/>
  <c r="A7426"/>
  <c r="B7425"/>
  <c r="A7425"/>
  <c r="B7424"/>
  <c r="A7424"/>
  <c r="B7423"/>
  <c r="A7423"/>
  <c r="B7422"/>
  <c r="A7422"/>
  <c r="B7421"/>
  <c r="A7421"/>
  <c r="B7420"/>
  <c r="A7420"/>
  <c r="B7419"/>
  <c r="A7419"/>
  <c r="B7418"/>
  <c r="A7418"/>
  <c r="B7417"/>
  <c r="A7417"/>
  <c r="B7416"/>
  <c r="A7416"/>
  <c r="B7415"/>
  <c r="A7415"/>
  <c r="B7414"/>
  <c r="A7414"/>
  <c r="B7413"/>
  <c r="A7413"/>
  <c r="B7412"/>
  <c r="A7412"/>
  <c r="B7411"/>
  <c r="A7411"/>
  <c r="B7410"/>
  <c r="A7410"/>
  <c r="B7409"/>
  <c r="A7409"/>
  <c r="B7408"/>
  <c r="A7408"/>
  <c r="B7407"/>
  <c r="A7407"/>
  <c r="B7406"/>
  <c r="A7406"/>
  <c r="B7405"/>
  <c r="A7405"/>
  <c r="B7404"/>
  <c r="A7404"/>
  <c r="B7403"/>
  <c r="A7403"/>
  <c r="B7402"/>
  <c r="A7402"/>
  <c r="B7401"/>
  <c r="A7401"/>
  <c r="B7400"/>
  <c r="A7400"/>
  <c r="B7399"/>
  <c r="A7399"/>
  <c r="B7398"/>
  <c r="A7398"/>
  <c r="B7397"/>
  <c r="A7397"/>
  <c r="B7396"/>
  <c r="A7396"/>
  <c r="B7395"/>
  <c r="A7395"/>
  <c r="B7394"/>
  <c r="A7394"/>
  <c r="B7393"/>
  <c r="A7393"/>
  <c r="B7392"/>
  <c r="A7392"/>
  <c r="B7391"/>
  <c r="A7391"/>
  <c r="B7390"/>
  <c r="A7390"/>
  <c r="B7389"/>
  <c r="A7389"/>
  <c r="B7388"/>
  <c r="A7388"/>
  <c r="B7387"/>
  <c r="A7387"/>
  <c r="B7386"/>
  <c r="A7386"/>
  <c r="B7385"/>
  <c r="A7385"/>
  <c r="B7384"/>
  <c r="A7384"/>
  <c r="B7383"/>
  <c r="A7383"/>
  <c r="B7382"/>
  <c r="A7382"/>
  <c r="B7381"/>
  <c r="A7381"/>
  <c r="B7380"/>
  <c r="A7380"/>
  <c r="B7379"/>
  <c r="A7379"/>
  <c r="B7378"/>
  <c r="A7378"/>
  <c r="B7377"/>
  <c r="A7377"/>
  <c r="B7376"/>
  <c r="A7376"/>
  <c r="B7375"/>
  <c r="A7375"/>
  <c r="B7374"/>
  <c r="A7374"/>
  <c r="B7373"/>
  <c r="A7373"/>
  <c r="B7372"/>
  <c r="A7372"/>
  <c r="B7371"/>
  <c r="A7371"/>
  <c r="B7370"/>
  <c r="A7370"/>
  <c r="B7369"/>
  <c r="A7369"/>
  <c r="B7368"/>
  <c r="A7368"/>
  <c r="B7367"/>
  <c r="A7367"/>
  <c r="B7366"/>
  <c r="A7366"/>
  <c r="B7365"/>
  <c r="A7365"/>
  <c r="B7364"/>
  <c r="A7364"/>
  <c r="B7363"/>
  <c r="A7363"/>
  <c r="B7362"/>
  <c r="A7362"/>
  <c r="B7361"/>
  <c r="A7361"/>
  <c r="B7360"/>
  <c r="A7360"/>
  <c r="B7359"/>
  <c r="A7359"/>
  <c r="B7358"/>
  <c r="A7358"/>
  <c r="B7357"/>
  <c r="A7357"/>
  <c r="B7356"/>
  <c r="A7356"/>
  <c r="B7355"/>
  <c r="A7355"/>
  <c r="B7354"/>
  <c r="A7354"/>
  <c r="B7353"/>
  <c r="A7353"/>
  <c r="B7352"/>
  <c r="A7352"/>
  <c r="B7351"/>
  <c r="A7351"/>
  <c r="B7350"/>
  <c r="A7350"/>
  <c r="B7349"/>
  <c r="A7349"/>
  <c r="B7348"/>
  <c r="A7348"/>
  <c r="B7347"/>
  <c r="A7347"/>
  <c r="B7346"/>
  <c r="A7346"/>
  <c r="B7345"/>
  <c r="A7345"/>
  <c r="B7344"/>
  <c r="A7344"/>
  <c r="B7343"/>
  <c r="A7343"/>
  <c r="B7342"/>
  <c r="A7342"/>
  <c r="B7341"/>
  <c r="A7341"/>
  <c r="B7340"/>
  <c r="A7340"/>
  <c r="B7339"/>
  <c r="A7339"/>
  <c r="B7338"/>
  <c r="A7338"/>
  <c r="B7337"/>
  <c r="A7337"/>
  <c r="B7336"/>
  <c r="A7336"/>
  <c r="B7335"/>
  <c r="A7335"/>
  <c r="B7334"/>
  <c r="A7334"/>
  <c r="B7333"/>
  <c r="A7333"/>
  <c r="B7332"/>
  <c r="A7332"/>
  <c r="B7331"/>
  <c r="A7331"/>
  <c r="B7330"/>
  <c r="A7330"/>
  <c r="B7329"/>
  <c r="A7329"/>
  <c r="B7328"/>
  <c r="A7328"/>
  <c r="B7327"/>
  <c r="A7327"/>
  <c r="B7326"/>
  <c r="A7326"/>
  <c r="B7325"/>
  <c r="A7325"/>
  <c r="B7324"/>
  <c r="A7324"/>
  <c r="B7323"/>
  <c r="A7323"/>
  <c r="B7322"/>
  <c r="A7322"/>
  <c r="B7321"/>
  <c r="A7321"/>
  <c r="B7320"/>
  <c r="A7320"/>
  <c r="B7319"/>
  <c r="A7319"/>
  <c r="B7318"/>
  <c r="A7318"/>
  <c r="B7317"/>
  <c r="A7317"/>
  <c r="B7316"/>
  <c r="A7316"/>
  <c r="B7315"/>
  <c r="A7315"/>
  <c r="B7314"/>
  <c r="A7314"/>
  <c r="B7313"/>
  <c r="A7313"/>
  <c r="B7312"/>
  <c r="A7312"/>
  <c r="B7311"/>
  <c r="A7311"/>
  <c r="B7310"/>
  <c r="A7310"/>
  <c r="B7309"/>
  <c r="A7309"/>
  <c r="B7308"/>
  <c r="A7308"/>
  <c r="B7307"/>
  <c r="A7307"/>
  <c r="B7306"/>
  <c r="A7306"/>
  <c r="B7305"/>
  <c r="A7305"/>
  <c r="B7304"/>
  <c r="A7304"/>
  <c r="B7303"/>
  <c r="A7303"/>
  <c r="B7302"/>
  <c r="A7302"/>
  <c r="B7301"/>
  <c r="A7301"/>
  <c r="B7300"/>
  <c r="A7300"/>
  <c r="B7299"/>
  <c r="A7299"/>
  <c r="B7298"/>
  <c r="A7298"/>
  <c r="B7297"/>
  <c r="A7297"/>
  <c r="B7296"/>
  <c r="A7296"/>
  <c r="B7295"/>
  <c r="A7295"/>
  <c r="B7294"/>
  <c r="A7294"/>
  <c r="B7293"/>
  <c r="A7293"/>
  <c r="B7292"/>
  <c r="A7292"/>
  <c r="B7291"/>
  <c r="A7291"/>
  <c r="B7290"/>
  <c r="A7290"/>
  <c r="B7289"/>
  <c r="A7289"/>
  <c r="B7288"/>
  <c r="A7288"/>
  <c r="B7287"/>
  <c r="A7287"/>
  <c r="B7286"/>
  <c r="A7286"/>
  <c r="B7285"/>
  <c r="A7285"/>
  <c r="B7284"/>
  <c r="A7284"/>
  <c r="B7283"/>
  <c r="A7283"/>
  <c r="B7282"/>
  <c r="A7282"/>
  <c r="B7281"/>
  <c r="A7281"/>
  <c r="B7280"/>
  <c r="A7280"/>
  <c r="B7279"/>
  <c r="A7279"/>
  <c r="B7278"/>
  <c r="A7278"/>
  <c r="B7277"/>
  <c r="A7277"/>
  <c r="B7276"/>
  <c r="A7276"/>
  <c r="B7275"/>
  <c r="A7275"/>
  <c r="B7274"/>
  <c r="A7274"/>
  <c r="B7273"/>
  <c r="A7273"/>
  <c r="B7272"/>
  <c r="A7272"/>
  <c r="B7271"/>
  <c r="A7271"/>
  <c r="B7270"/>
  <c r="A7270"/>
  <c r="B7269"/>
  <c r="A7269"/>
  <c r="B7268"/>
  <c r="A7268"/>
  <c r="B7267"/>
  <c r="A7267"/>
  <c r="B7266"/>
  <c r="A7266"/>
  <c r="B7265"/>
  <c r="A7265"/>
  <c r="B7264"/>
  <c r="A7264"/>
  <c r="B7263"/>
  <c r="A7263"/>
  <c r="B7262"/>
  <c r="A7262"/>
  <c r="B7261"/>
  <c r="A7261"/>
  <c r="B7260"/>
  <c r="A7260"/>
  <c r="B7259"/>
  <c r="A7259"/>
  <c r="B7258"/>
  <c r="A7258"/>
  <c r="B7257"/>
  <c r="A7257"/>
  <c r="B7256"/>
  <c r="A7256"/>
  <c r="B7255"/>
  <c r="A7255"/>
  <c r="B7254"/>
  <c r="A7254"/>
  <c r="B7253"/>
  <c r="A7253"/>
  <c r="B7252"/>
  <c r="A7252"/>
  <c r="B7251"/>
  <c r="A7251"/>
  <c r="B7250"/>
  <c r="A7250"/>
  <c r="B7249"/>
  <c r="A7249"/>
  <c r="B7248"/>
  <c r="A7248"/>
  <c r="B7247"/>
  <c r="A7247"/>
  <c r="B7246"/>
  <c r="A7246"/>
  <c r="B7245"/>
  <c r="A7245"/>
  <c r="B7244"/>
  <c r="A7244"/>
  <c r="B7243"/>
  <c r="A7243"/>
  <c r="B7242"/>
  <c r="A7242"/>
  <c r="B7241"/>
  <c r="A7241"/>
  <c r="B7240"/>
  <c r="A7240"/>
  <c r="B7239"/>
  <c r="A7239"/>
  <c r="B7238"/>
  <c r="A7238"/>
  <c r="B7237"/>
  <c r="A7237"/>
  <c r="B7236"/>
  <c r="A7236"/>
  <c r="B7235"/>
  <c r="A7235"/>
  <c r="B7234"/>
  <c r="A7234"/>
  <c r="B7233"/>
  <c r="A7233"/>
  <c r="B7232"/>
  <c r="A7232"/>
  <c r="B7231"/>
  <c r="A7231"/>
  <c r="B7230"/>
  <c r="A7230"/>
  <c r="B7229"/>
  <c r="A7229"/>
  <c r="B7228"/>
  <c r="A7228"/>
  <c r="B7227"/>
  <c r="A7227"/>
  <c r="B7226"/>
  <c r="A7226"/>
  <c r="B7225"/>
  <c r="A7225"/>
  <c r="B7224"/>
  <c r="A7224"/>
  <c r="B7223"/>
  <c r="A7223"/>
  <c r="B7222"/>
  <c r="A7222"/>
  <c r="B7221"/>
  <c r="A7221"/>
  <c r="B7220"/>
  <c r="A7220"/>
  <c r="B7219"/>
  <c r="A7219"/>
  <c r="B7218"/>
  <c r="A7218"/>
  <c r="B7217"/>
  <c r="A7217"/>
  <c r="B7216"/>
  <c r="A7216"/>
  <c r="B7215"/>
  <c r="A7215"/>
  <c r="B7214"/>
  <c r="A7214"/>
  <c r="B7213"/>
  <c r="A7213"/>
  <c r="B7212"/>
  <c r="A7212"/>
  <c r="B7211"/>
  <c r="A7211"/>
  <c r="B7210"/>
  <c r="A7210"/>
  <c r="B7209"/>
  <c r="A7209"/>
  <c r="B7208"/>
  <c r="A7208"/>
  <c r="B7207"/>
  <c r="A7207"/>
  <c r="B7206"/>
  <c r="A7206"/>
  <c r="B7205"/>
  <c r="A7205"/>
  <c r="B7204"/>
  <c r="A7204"/>
  <c r="B7203"/>
  <c r="A7203"/>
  <c r="B7202"/>
  <c r="A7202"/>
  <c r="B7201"/>
  <c r="A7201"/>
  <c r="B7200"/>
  <c r="A7200"/>
  <c r="B7199"/>
  <c r="A7199"/>
  <c r="B7198"/>
  <c r="A7198"/>
  <c r="B7197"/>
  <c r="A7197"/>
  <c r="B7196"/>
  <c r="A7196"/>
  <c r="B7195"/>
  <c r="A7195"/>
  <c r="B7194"/>
  <c r="A7194"/>
  <c r="B7193"/>
  <c r="A7193"/>
  <c r="B7192"/>
  <c r="A7192"/>
  <c r="B7191"/>
  <c r="A7191"/>
  <c r="B7190"/>
  <c r="A7190"/>
  <c r="B7189"/>
  <c r="A7189"/>
  <c r="B7188"/>
  <c r="A7188"/>
  <c r="B7187"/>
  <c r="A7187"/>
  <c r="B7186"/>
  <c r="A7186"/>
  <c r="B7185"/>
  <c r="A7185"/>
  <c r="B7184"/>
  <c r="A7184"/>
  <c r="B7183"/>
  <c r="A7183"/>
  <c r="B7182"/>
  <c r="A7182"/>
  <c r="B7181"/>
  <c r="A7181"/>
  <c r="B7180"/>
  <c r="A7180"/>
  <c r="B7179"/>
  <c r="A7179"/>
  <c r="B7178"/>
  <c r="A7178"/>
  <c r="B7177"/>
  <c r="A7177"/>
  <c r="B7176"/>
  <c r="A7176"/>
  <c r="B7175"/>
  <c r="A7175"/>
  <c r="B7174"/>
  <c r="A7174"/>
  <c r="B7173"/>
  <c r="A7173"/>
  <c r="B7172"/>
  <c r="A7172"/>
  <c r="B7171"/>
  <c r="A7171"/>
  <c r="B7170"/>
  <c r="A7170"/>
  <c r="B7169"/>
  <c r="A7169"/>
  <c r="B7168"/>
  <c r="A7168"/>
  <c r="B7167"/>
  <c r="A7167"/>
  <c r="B7166"/>
  <c r="A7166"/>
  <c r="B7165"/>
  <c r="A7165"/>
  <c r="B7164"/>
  <c r="A7164"/>
  <c r="B7163"/>
  <c r="A7163"/>
  <c r="B7162"/>
  <c r="A7162"/>
  <c r="B7161"/>
  <c r="A7161"/>
  <c r="B7160"/>
  <c r="A7160"/>
  <c r="B7159"/>
  <c r="A7159"/>
  <c r="B7158"/>
  <c r="A7158"/>
  <c r="B7157"/>
  <c r="A7157"/>
  <c r="B7156"/>
  <c r="A7156"/>
  <c r="B7155"/>
  <c r="A7155"/>
  <c r="B7154"/>
  <c r="A7154"/>
  <c r="B7153"/>
  <c r="A7153"/>
  <c r="B7152"/>
  <c r="A7152"/>
  <c r="B7151"/>
  <c r="A7151"/>
  <c r="B7150"/>
  <c r="A7150"/>
  <c r="B7149"/>
  <c r="A7149"/>
  <c r="B7148"/>
  <c r="A7148"/>
  <c r="B7147"/>
  <c r="A7147"/>
  <c r="B7146"/>
  <c r="A7146"/>
  <c r="B7145"/>
  <c r="A7145"/>
  <c r="B7144"/>
  <c r="A7144"/>
  <c r="B7143"/>
  <c r="A7143"/>
  <c r="B7142"/>
  <c r="A7142"/>
  <c r="B7141"/>
  <c r="A7141"/>
  <c r="B7140"/>
  <c r="A7140"/>
  <c r="B7139"/>
  <c r="A7139"/>
  <c r="B7138"/>
  <c r="A7138"/>
  <c r="B7137"/>
  <c r="A7137"/>
  <c r="B7136"/>
  <c r="A7136"/>
  <c r="B7135"/>
  <c r="A7135"/>
  <c r="B7134"/>
  <c r="A7134"/>
  <c r="B7133"/>
  <c r="A7133"/>
  <c r="B7132"/>
  <c r="A7132"/>
  <c r="B7131"/>
  <c r="A7131"/>
  <c r="B7130"/>
  <c r="A7130"/>
  <c r="B7129"/>
  <c r="A7129"/>
  <c r="B7128"/>
  <c r="A7128"/>
  <c r="B7127"/>
  <c r="A7127"/>
  <c r="B7126"/>
  <c r="A7126"/>
  <c r="B7125"/>
  <c r="A7125"/>
  <c r="B7124"/>
  <c r="A7124"/>
  <c r="B7123"/>
  <c r="A7123"/>
  <c r="B7122"/>
  <c r="A7122"/>
  <c r="B7121"/>
  <c r="A7121"/>
  <c r="B7120"/>
  <c r="A7120"/>
  <c r="B7119"/>
  <c r="A7119"/>
  <c r="B7118"/>
  <c r="A7118"/>
  <c r="B7117"/>
  <c r="A7117"/>
  <c r="B7116"/>
  <c r="A7116"/>
  <c r="B7115"/>
  <c r="A7115"/>
  <c r="B7114"/>
  <c r="A7114"/>
  <c r="B7113"/>
  <c r="A7113"/>
  <c r="B7112"/>
  <c r="A7112"/>
  <c r="B7111"/>
  <c r="A7111"/>
  <c r="B7110"/>
  <c r="A7110"/>
  <c r="B7109"/>
  <c r="A7109"/>
  <c r="B7108"/>
  <c r="A7108"/>
  <c r="B7107"/>
  <c r="A7107"/>
  <c r="B7106"/>
  <c r="A7106"/>
  <c r="B7105"/>
  <c r="A7105"/>
  <c r="B7104"/>
  <c r="A7104"/>
  <c r="B7103"/>
  <c r="A7103"/>
  <c r="B7102"/>
  <c r="A7102"/>
  <c r="B7101"/>
  <c r="A7101"/>
  <c r="B7100"/>
  <c r="A7100"/>
  <c r="B7099"/>
  <c r="A7099"/>
  <c r="B7098"/>
  <c r="A7098"/>
  <c r="B7097"/>
  <c r="A7097"/>
  <c r="B7096"/>
  <c r="A7096"/>
  <c r="B7095"/>
  <c r="A7095"/>
  <c r="B7094"/>
  <c r="A7094"/>
  <c r="B7093"/>
  <c r="A7093"/>
  <c r="B7092"/>
  <c r="A7092"/>
  <c r="B7091"/>
  <c r="A7091"/>
  <c r="B7090"/>
  <c r="A7090"/>
  <c r="B7089"/>
  <c r="A7089"/>
  <c r="B7088"/>
  <c r="A7088"/>
  <c r="B7087"/>
  <c r="A7087"/>
  <c r="B7086"/>
  <c r="A7086"/>
  <c r="B7085"/>
  <c r="A7085"/>
  <c r="B7084"/>
  <c r="A7084"/>
  <c r="B7083"/>
  <c r="A7083"/>
  <c r="B7082"/>
  <c r="A7082"/>
  <c r="B7081"/>
  <c r="A7081"/>
  <c r="B7080"/>
  <c r="A7080"/>
  <c r="B7079"/>
  <c r="A7079"/>
  <c r="B7078"/>
  <c r="A7078"/>
  <c r="B7077"/>
  <c r="A7077"/>
  <c r="B7076"/>
  <c r="A7076"/>
  <c r="B7075"/>
  <c r="A7075"/>
  <c r="B7074"/>
  <c r="A7074"/>
  <c r="B7073"/>
  <c r="A7073"/>
  <c r="B7072"/>
  <c r="A7072"/>
  <c r="B7071"/>
  <c r="A7071"/>
  <c r="B7070"/>
  <c r="A7070"/>
  <c r="B7069"/>
  <c r="A7069"/>
  <c r="B7068"/>
  <c r="A7068"/>
  <c r="B7067"/>
  <c r="A7067"/>
  <c r="B7066"/>
  <c r="A7066"/>
  <c r="B7065"/>
  <c r="A7065"/>
  <c r="B7064"/>
  <c r="A7064"/>
  <c r="B7063"/>
  <c r="A7063"/>
  <c r="B7062"/>
  <c r="A7062"/>
  <c r="B7061"/>
  <c r="A7061"/>
  <c r="B7060"/>
  <c r="A7060"/>
  <c r="B7059"/>
  <c r="A7059"/>
  <c r="B7058"/>
  <c r="A7058"/>
  <c r="B7057"/>
  <c r="A7057"/>
  <c r="B7056"/>
  <c r="A7056"/>
  <c r="B7055"/>
  <c r="A7055"/>
  <c r="B7054"/>
  <c r="A7054"/>
  <c r="B7053"/>
  <c r="A7053"/>
  <c r="B7052"/>
  <c r="A7052"/>
  <c r="B7051"/>
  <c r="A7051"/>
  <c r="B7050"/>
  <c r="A7050"/>
  <c r="B7049"/>
  <c r="A7049"/>
  <c r="B7048"/>
  <c r="A7048"/>
  <c r="B7047"/>
  <c r="A7047"/>
  <c r="B7046"/>
  <c r="A7046"/>
  <c r="B7045"/>
  <c r="A7045"/>
  <c r="B7044"/>
  <c r="A7044"/>
  <c r="B7043"/>
  <c r="A7043"/>
  <c r="B7042"/>
  <c r="A7042"/>
  <c r="B7041"/>
  <c r="A7041"/>
  <c r="B7040"/>
  <c r="A7040"/>
  <c r="B7039"/>
  <c r="A7039"/>
  <c r="B7038"/>
  <c r="A7038"/>
  <c r="B7037"/>
  <c r="A7037"/>
  <c r="B7036"/>
  <c r="A7036"/>
  <c r="B7035"/>
  <c r="A7035"/>
  <c r="B7034"/>
  <c r="A7034"/>
  <c r="B7033"/>
  <c r="A7033"/>
  <c r="B7032"/>
  <c r="A7032"/>
  <c r="B7031"/>
  <c r="A7031"/>
  <c r="B7030"/>
  <c r="A7030"/>
  <c r="B7029"/>
  <c r="A7029"/>
  <c r="B7028"/>
  <c r="A7028"/>
  <c r="B7027"/>
  <c r="A7027"/>
  <c r="B7026"/>
  <c r="A7026"/>
  <c r="B7025"/>
  <c r="A7025"/>
  <c r="B7024"/>
  <c r="A7024"/>
  <c r="B7023"/>
  <c r="A7023"/>
  <c r="B7022"/>
  <c r="A7022"/>
  <c r="B7021"/>
  <c r="A7021"/>
  <c r="B7020"/>
  <c r="A7020"/>
  <c r="B7019"/>
  <c r="A7019"/>
  <c r="B7018"/>
  <c r="A7018"/>
  <c r="B7017"/>
  <c r="A7017"/>
  <c r="B7016"/>
  <c r="A7016"/>
  <c r="B7015"/>
  <c r="A7015"/>
  <c r="B7014"/>
  <c r="A7014"/>
  <c r="B7013"/>
  <c r="A7013"/>
  <c r="B7012"/>
  <c r="A7012"/>
  <c r="B7011"/>
  <c r="A7011"/>
  <c r="B7010"/>
  <c r="A7010"/>
  <c r="B7009"/>
  <c r="A7009"/>
  <c r="B7008"/>
  <c r="A7008"/>
  <c r="B7007"/>
  <c r="A7007"/>
  <c r="B7006"/>
  <c r="A7006"/>
  <c r="B7005"/>
  <c r="A7005"/>
  <c r="B7004"/>
  <c r="A7004"/>
  <c r="B7003"/>
  <c r="A7003"/>
  <c r="B7002"/>
  <c r="A7002"/>
  <c r="B7001"/>
  <c r="A7001"/>
  <c r="B7000"/>
  <c r="A7000"/>
  <c r="B6999"/>
  <c r="A6999"/>
  <c r="B6998"/>
  <c r="A6998"/>
  <c r="B6997"/>
  <c r="A6997"/>
  <c r="B6996"/>
  <c r="A6996"/>
  <c r="B6995"/>
  <c r="A6995"/>
  <c r="B6994"/>
  <c r="A6994"/>
  <c r="B6993"/>
  <c r="A6993"/>
  <c r="B6992"/>
  <c r="A6992"/>
  <c r="B6991"/>
  <c r="A6991"/>
  <c r="B6990"/>
  <c r="A6990"/>
  <c r="B6989"/>
  <c r="A6989"/>
  <c r="B6988"/>
  <c r="A6988"/>
  <c r="B6987"/>
  <c r="A6987"/>
  <c r="B6986"/>
  <c r="A6986"/>
  <c r="B6985"/>
  <c r="A6985"/>
  <c r="B6984"/>
  <c r="A6984"/>
  <c r="B6983"/>
  <c r="A6983"/>
  <c r="B6982"/>
  <c r="A6982"/>
  <c r="B6981"/>
  <c r="A6981"/>
  <c r="B6980"/>
  <c r="A6980"/>
  <c r="B6979"/>
  <c r="A6979"/>
  <c r="B6978"/>
  <c r="A6978"/>
  <c r="B6977"/>
  <c r="A6977"/>
  <c r="B6976"/>
  <c r="A6976"/>
  <c r="B6975"/>
  <c r="A6975"/>
  <c r="B6974"/>
  <c r="A6974"/>
  <c r="B6973"/>
  <c r="A6973"/>
  <c r="B6972"/>
  <c r="A6972"/>
  <c r="B6971"/>
  <c r="A6971"/>
  <c r="B6970"/>
  <c r="A6970"/>
  <c r="B6969"/>
  <c r="A6969"/>
  <c r="B6968"/>
  <c r="A6968"/>
  <c r="B6967"/>
  <c r="A6967"/>
  <c r="B6966"/>
  <c r="A6966"/>
  <c r="B6965"/>
  <c r="A6965"/>
  <c r="B6964"/>
  <c r="A6964"/>
  <c r="B6963"/>
  <c r="A6963"/>
  <c r="B6962"/>
  <c r="A6962"/>
  <c r="B6961"/>
  <c r="A6961"/>
  <c r="B6960"/>
  <c r="A6960"/>
  <c r="B6959"/>
  <c r="A6959"/>
  <c r="B6958"/>
  <c r="A6958"/>
  <c r="B6957"/>
  <c r="A6957"/>
  <c r="B6956"/>
  <c r="A6956"/>
  <c r="B6955"/>
  <c r="A6955"/>
  <c r="B6954"/>
  <c r="A6954"/>
  <c r="B6953"/>
  <c r="A6953"/>
  <c r="B6952"/>
  <c r="A6952"/>
  <c r="B6951"/>
  <c r="A6951"/>
  <c r="B6950"/>
  <c r="A6950"/>
  <c r="B6949"/>
  <c r="A6949"/>
  <c r="B6948"/>
  <c r="A6948"/>
  <c r="B6947"/>
  <c r="A6947"/>
  <c r="B6946"/>
  <c r="A6946"/>
  <c r="B6945"/>
  <c r="A6945"/>
  <c r="B6944"/>
  <c r="A6944"/>
  <c r="B6943"/>
  <c r="A6943"/>
  <c r="B6942"/>
  <c r="A6942"/>
  <c r="B6941"/>
  <c r="A6941"/>
  <c r="B6940"/>
  <c r="A6940"/>
  <c r="B6939"/>
  <c r="A6939"/>
  <c r="B6938"/>
  <c r="A6938"/>
  <c r="B6937"/>
  <c r="A6937"/>
  <c r="B6936"/>
  <c r="A6936"/>
  <c r="B6935"/>
  <c r="A6935"/>
  <c r="B6934"/>
  <c r="A6934"/>
  <c r="B6933"/>
  <c r="A6933"/>
  <c r="B6932"/>
  <c r="A6932"/>
  <c r="B6931"/>
  <c r="A6931"/>
  <c r="B6930"/>
  <c r="A6930"/>
  <c r="B6929"/>
  <c r="A6929"/>
  <c r="B6928"/>
  <c r="A6928"/>
  <c r="B6927"/>
  <c r="A6927"/>
  <c r="B6926"/>
  <c r="A6926"/>
  <c r="B6925"/>
  <c r="A6925"/>
  <c r="B6924"/>
  <c r="A6924"/>
  <c r="B6923"/>
  <c r="A6923"/>
  <c r="B6922"/>
  <c r="A6922"/>
  <c r="B6921"/>
  <c r="A6921"/>
  <c r="B6920"/>
  <c r="A6920"/>
  <c r="B6919"/>
  <c r="A6919"/>
  <c r="B6918"/>
  <c r="A6918"/>
  <c r="B6917"/>
  <c r="A6917"/>
  <c r="B6916"/>
  <c r="A6916"/>
  <c r="B6915"/>
  <c r="A6915"/>
  <c r="B6914"/>
  <c r="A6914"/>
  <c r="B6913"/>
  <c r="A6913"/>
  <c r="B6912"/>
  <c r="A6912"/>
  <c r="B6911"/>
  <c r="A6911"/>
  <c r="B6910"/>
  <c r="A6910"/>
  <c r="B6909"/>
  <c r="A6909"/>
  <c r="B6908"/>
  <c r="A6908"/>
  <c r="B6907"/>
  <c r="A6907"/>
  <c r="B6906"/>
  <c r="A6906"/>
  <c r="B6905"/>
  <c r="A6905"/>
  <c r="B6904"/>
  <c r="A6904"/>
  <c r="B6903"/>
  <c r="A6903"/>
  <c r="B6902"/>
  <c r="A6902"/>
  <c r="B6901"/>
  <c r="A6901"/>
  <c r="B6900"/>
  <c r="A6900"/>
  <c r="B6899"/>
  <c r="A6899"/>
  <c r="B6898"/>
  <c r="A6898"/>
  <c r="B6897"/>
  <c r="A6897"/>
  <c r="B6896"/>
  <c r="A6896"/>
  <c r="B6895"/>
  <c r="A6895"/>
  <c r="B6894"/>
  <c r="A6894"/>
  <c r="B6893"/>
  <c r="A6893"/>
  <c r="B6892"/>
  <c r="A6892"/>
  <c r="B6891"/>
  <c r="A6891"/>
  <c r="B6890"/>
  <c r="A6890"/>
  <c r="B6889"/>
  <c r="A6889"/>
  <c r="B6888"/>
  <c r="A6888"/>
  <c r="B6887"/>
  <c r="A6887"/>
  <c r="B6886"/>
  <c r="A6886"/>
  <c r="B6885"/>
  <c r="A6885"/>
  <c r="B6884"/>
  <c r="A6884"/>
  <c r="B6883"/>
  <c r="A6883"/>
  <c r="B6882"/>
  <c r="A6882"/>
  <c r="B6881"/>
  <c r="A6881"/>
  <c r="B6880"/>
  <c r="A6880"/>
  <c r="B6879"/>
  <c r="A6879"/>
  <c r="B6878"/>
  <c r="A6878"/>
  <c r="B6877"/>
  <c r="A6877"/>
  <c r="B6876"/>
  <c r="A6876"/>
  <c r="B6875"/>
  <c r="A6875"/>
  <c r="B6874"/>
  <c r="A6874"/>
  <c r="B6873"/>
  <c r="A6873"/>
  <c r="B6872"/>
  <c r="A6872"/>
  <c r="B6871"/>
  <c r="A6871"/>
  <c r="B6870"/>
  <c r="A6870"/>
  <c r="B6869"/>
  <c r="A6869"/>
  <c r="B6868"/>
  <c r="A6868"/>
  <c r="B6867"/>
  <c r="A6867"/>
  <c r="B6866"/>
  <c r="A6866"/>
  <c r="B6865"/>
  <c r="A6865"/>
  <c r="B6864"/>
  <c r="A6864"/>
  <c r="B6863"/>
  <c r="A6863"/>
  <c r="B6862"/>
  <c r="A6862"/>
  <c r="B6861"/>
  <c r="A6861"/>
  <c r="B6860"/>
  <c r="A6860"/>
  <c r="B6859"/>
  <c r="A6859"/>
  <c r="B6858"/>
  <c r="A6858"/>
  <c r="B6857"/>
  <c r="A6857"/>
  <c r="B6856"/>
  <c r="A6856"/>
  <c r="B6855"/>
  <c r="A6855"/>
  <c r="B6854"/>
  <c r="A6854"/>
  <c r="B6853"/>
  <c r="A6853"/>
  <c r="B6852"/>
  <c r="A6852"/>
  <c r="B6851"/>
  <c r="A6851"/>
  <c r="B6850"/>
  <c r="A6850"/>
  <c r="B6849"/>
  <c r="A6849"/>
  <c r="B6848"/>
  <c r="A6848"/>
  <c r="B6847"/>
  <c r="A6847"/>
  <c r="B6846"/>
  <c r="A6846"/>
  <c r="B6845"/>
  <c r="A6845"/>
  <c r="B6844"/>
  <c r="A6844"/>
  <c r="B6843"/>
  <c r="A6843"/>
  <c r="B6842"/>
  <c r="A6842"/>
  <c r="B6841"/>
  <c r="A6841"/>
  <c r="B6840"/>
  <c r="A6840"/>
  <c r="B6839"/>
  <c r="A6839"/>
  <c r="B6838"/>
  <c r="A6838"/>
  <c r="B6837"/>
  <c r="A6837"/>
  <c r="B6836"/>
  <c r="A6836"/>
  <c r="B6835"/>
  <c r="A6835"/>
  <c r="B6834"/>
  <c r="A6834"/>
  <c r="B6833"/>
  <c r="A6833"/>
  <c r="B6832"/>
  <c r="A6832"/>
  <c r="B6831"/>
  <c r="A6831"/>
  <c r="B6830"/>
  <c r="A6830"/>
  <c r="B6829"/>
  <c r="A6829"/>
  <c r="B6828"/>
  <c r="A6828"/>
  <c r="B6827"/>
  <c r="A6827"/>
  <c r="B6826"/>
  <c r="A6826"/>
  <c r="B6825"/>
  <c r="A6825"/>
  <c r="B6824"/>
  <c r="A6824"/>
  <c r="B6823"/>
  <c r="A6823"/>
  <c r="B6822"/>
  <c r="A6822"/>
  <c r="B6821"/>
  <c r="A6821"/>
  <c r="B6820"/>
  <c r="A6820"/>
  <c r="B6819"/>
  <c r="A6819"/>
  <c r="B6818"/>
  <c r="A6818"/>
  <c r="B6817"/>
  <c r="A6817"/>
  <c r="B6816"/>
  <c r="A6816"/>
  <c r="B6815"/>
  <c r="A6815"/>
  <c r="B6814"/>
  <c r="A6814"/>
  <c r="B6813"/>
  <c r="A6813"/>
  <c r="B6812"/>
  <c r="A6812"/>
  <c r="B6811"/>
  <c r="A6811"/>
  <c r="B6810"/>
  <c r="A6810"/>
  <c r="B6809"/>
  <c r="A6809"/>
  <c r="B6808"/>
  <c r="A6808"/>
  <c r="B6807"/>
  <c r="A6807"/>
  <c r="B6806"/>
  <c r="A6806"/>
  <c r="B6805"/>
  <c r="A6805"/>
  <c r="B6804"/>
  <c r="A6804"/>
  <c r="B6803"/>
  <c r="A6803"/>
  <c r="B6802"/>
  <c r="A6802"/>
  <c r="B6801"/>
  <c r="A6801"/>
  <c r="B6800"/>
  <c r="A6800"/>
  <c r="B6799"/>
  <c r="A6799"/>
  <c r="B6798"/>
  <c r="A6798"/>
  <c r="B6797"/>
  <c r="A6797"/>
  <c r="B6796"/>
  <c r="A6796"/>
  <c r="B6795"/>
  <c r="A6795"/>
  <c r="B6794"/>
  <c r="A6794"/>
  <c r="B6793"/>
  <c r="A6793"/>
  <c r="B6792"/>
  <c r="A6792"/>
  <c r="B6791"/>
  <c r="A6791"/>
  <c r="B6790"/>
  <c r="A6790"/>
  <c r="B6789"/>
  <c r="A6789"/>
  <c r="B6788"/>
  <c r="A6788"/>
  <c r="B6787"/>
  <c r="A6787"/>
  <c r="B6786"/>
  <c r="A6786"/>
  <c r="B6785"/>
  <c r="A6785"/>
  <c r="B6784"/>
  <c r="A6784"/>
  <c r="B6783"/>
  <c r="A6783"/>
  <c r="B6782"/>
  <c r="A6782"/>
  <c r="B6781"/>
  <c r="A6781"/>
  <c r="B6780"/>
  <c r="A6780"/>
  <c r="B6779"/>
  <c r="A6779"/>
  <c r="B6778"/>
  <c r="A6778"/>
  <c r="B6777"/>
  <c r="A6777"/>
  <c r="B6776"/>
  <c r="A6776"/>
  <c r="B6775"/>
  <c r="A6775"/>
  <c r="B6774"/>
  <c r="A6774"/>
  <c r="B6773"/>
  <c r="A6773"/>
  <c r="B6772"/>
  <c r="A6772"/>
  <c r="B6771"/>
  <c r="A6771"/>
  <c r="B6770"/>
  <c r="A6770"/>
  <c r="B6769"/>
  <c r="A6769"/>
  <c r="B6768"/>
  <c r="A6768"/>
  <c r="B6767"/>
  <c r="A6767"/>
  <c r="B6766"/>
  <c r="A6766"/>
  <c r="B6765"/>
  <c r="A6765"/>
  <c r="B6764"/>
  <c r="A6764"/>
  <c r="B6763"/>
  <c r="A6763"/>
  <c r="B6762"/>
  <c r="A6762"/>
  <c r="B6761"/>
  <c r="A6761"/>
  <c r="B6760"/>
  <c r="A6760"/>
  <c r="B6759"/>
  <c r="A6759"/>
  <c r="B6758"/>
  <c r="A6758"/>
  <c r="B6757"/>
  <c r="A6757"/>
  <c r="B6756"/>
  <c r="A6756"/>
  <c r="B6755"/>
  <c r="A6755"/>
  <c r="B6754"/>
  <c r="A6754"/>
  <c r="B6753"/>
  <c r="A6753"/>
  <c r="B6752"/>
  <c r="A6752"/>
  <c r="B6751"/>
  <c r="A6751"/>
  <c r="B6750"/>
  <c r="A6750"/>
  <c r="B6749"/>
  <c r="A6749"/>
  <c r="B6748"/>
  <c r="A6748"/>
  <c r="B6747"/>
  <c r="A6747"/>
  <c r="B6746"/>
  <c r="A6746"/>
  <c r="B6745"/>
  <c r="A6745"/>
  <c r="B6744"/>
  <c r="A6744"/>
  <c r="B6743"/>
  <c r="A6743"/>
  <c r="B6742"/>
  <c r="A6742"/>
  <c r="B6741"/>
  <c r="A6741"/>
  <c r="B6740"/>
  <c r="A6740"/>
  <c r="B6739"/>
  <c r="A6739"/>
  <c r="B6738"/>
  <c r="A6738"/>
  <c r="B6737"/>
  <c r="A6737"/>
  <c r="B6736"/>
  <c r="A6736"/>
  <c r="B6735"/>
  <c r="A6735"/>
  <c r="B6734"/>
  <c r="A6734"/>
  <c r="B6733"/>
  <c r="A6733"/>
  <c r="B6732"/>
  <c r="A6732"/>
  <c r="B6731"/>
  <c r="A6731"/>
  <c r="B6730"/>
  <c r="A6730"/>
  <c r="B6729"/>
  <c r="A6729"/>
  <c r="B6728"/>
  <c r="A6728"/>
  <c r="B6727"/>
  <c r="A6727"/>
  <c r="B6726"/>
  <c r="A6726"/>
  <c r="B6725"/>
  <c r="A6725"/>
  <c r="B6724"/>
  <c r="A6724"/>
  <c r="B6723"/>
  <c r="A6723"/>
  <c r="B6722"/>
  <c r="A6722"/>
  <c r="B6721"/>
  <c r="A6721"/>
  <c r="B6720"/>
  <c r="A6720"/>
  <c r="B6719"/>
  <c r="A6719"/>
  <c r="B6718"/>
  <c r="A6718"/>
  <c r="B6717"/>
  <c r="A6717"/>
  <c r="B6716"/>
  <c r="A6716"/>
  <c r="B6715"/>
  <c r="A6715"/>
  <c r="B6714"/>
  <c r="A6714"/>
  <c r="B6713"/>
  <c r="A6713"/>
  <c r="B6712"/>
  <c r="A6712"/>
  <c r="B6711"/>
  <c r="A6711"/>
  <c r="B6710"/>
  <c r="A6710"/>
  <c r="B6709"/>
  <c r="A6709"/>
  <c r="B6708"/>
  <c r="A6708"/>
  <c r="B6707"/>
  <c r="A6707"/>
  <c r="B6706"/>
  <c r="A6706"/>
  <c r="B6705"/>
  <c r="A6705"/>
  <c r="B6704"/>
  <c r="A6704"/>
  <c r="B6703"/>
  <c r="A6703"/>
  <c r="B6702"/>
  <c r="A6702"/>
  <c r="B6701"/>
  <c r="A6701"/>
  <c r="B6700"/>
  <c r="A6700"/>
  <c r="B6699"/>
  <c r="A6699"/>
  <c r="B6698"/>
  <c r="A6698"/>
  <c r="B6697"/>
  <c r="A6697"/>
  <c r="B6696"/>
  <c r="A6696"/>
  <c r="B6695"/>
  <c r="A6695"/>
  <c r="B6694"/>
  <c r="A6694"/>
  <c r="B6693"/>
  <c r="A6693"/>
  <c r="B6692"/>
  <c r="A6692"/>
  <c r="B6691"/>
  <c r="A6691"/>
  <c r="B6690"/>
  <c r="A6690"/>
  <c r="B6689"/>
  <c r="A6689"/>
  <c r="B6688"/>
  <c r="A6688"/>
  <c r="B6687"/>
  <c r="A6687"/>
  <c r="B6686"/>
  <c r="A6686"/>
  <c r="B6685"/>
  <c r="A6685"/>
  <c r="B6684"/>
  <c r="A6684"/>
  <c r="B6683"/>
  <c r="A6683"/>
  <c r="B6682"/>
  <c r="A6682"/>
  <c r="B6681"/>
  <c r="A6681"/>
  <c r="B6680"/>
  <c r="A6680"/>
  <c r="B6679"/>
  <c r="A6679"/>
  <c r="B6678"/>
  <c r="A6678"/>
  <c r="B6677"/>
  <c r="A6677"/>
  <c r="B6676"/>
  <c r="A6676"/>
  <c r="B6675"/>
  <c r="A6675"/>
  <c r="B6674"/>
  <c r="A6674"/>
  <c r="B6673"/>
  <c r="A6673"/>
  <c r="B6672"/>
  <c r="A6672"/>
  <c r="B6671"/>
  <c r="A6671"/>
  <c r="B6670"/>
  <c r="A6670"/>
  <c r="B6669"/>
  <c r="A6669"/>
  <c r="B6668"/>
  <c r="A6668"/>
  <c r="B6667"/>
  <c r="A6667"/>
  <c r="B6666"/>
  <c r="A6666"/>
  <c r="B6665"/>
  <c r="A6665"/>
  <c r="B6664"/>
  <c r="A6664"/>
  <c r="B6663"/>
  <c r="A6663"/>
  <c r="B6662"/>
  <c r="A6662"/>
  <c r="B6661"/>
  <c r="A6661"/>
  <c r="B6660"/>
  <c r="A6660"/>
  <c r="B6659"/>
  <c r="A6659"/>
  <c r="B6658"/>
  <c r="A6658"/>
  <c r="B6657"/>
  <c r="A6657"/>
  <c r="B6656"/>
  <c r="A6656"/>
  <c r="B6655"/>
  <c r="A6655"/>
  <c r="B6654"/>
  <c r="A6654"/>
  <c r="B6653"/>
  <c r="A6653"/>
  <c r="B6652"/>
  <c r="A6652"/>
  <c r="B6651"/>
  <c r="A6651"/>
  <c r="B6650"/>
  <c r="A6650"/>
  <c r="B6649"/>
  <c r="A6649"/>
  <c r="B6648"/>
  <c r="A6648"/>
  <c r="B6647"/>
  <c r="A6647"/>
  <c r="B6646"/>
  <c r="A6646"/>
  <c r="B6645"/>
  <c r="A6645"/>
  <c r="B6644"/>
  <c r="A6644"/>
  <c r="B6643"/>
  <c r="A6643"/>
  <c r="B6642"/>
  <c r="A6642"/>
  <c r="B6641"/>
  <c r="A6641"/>
  <c r="B6640"/>
  <c r="A6640"/>
  <c r="B6639"/>
  <c r="A6639"/>
  <c r="B6638"/>
  <c r="A6638"/>
  <c r="B6637"/>
  <c r="A6637"/>
  <c r="B6636"/>
  <c r="A6636"/>
  <c r="B6635"/>
  <c r="A6635"/>
  <c r="B6634"/>
  <c r="A6634"/>
  <c r="B6633"/>
  <c r="A6633"/>
  <c r="B6632"/>
  <c r="A6632"/>
  <c r="B6631"/>
  <c r="A6631"/>
  <c r="B6630"/>
  <c r="A6630"/>
  <c r="B6629"/>
  <c r="A6629"/>
  <c r="B6628"/>
  <c r="A6628"/>
  <c r="B6627"/>
  <c r="A6627"/>
  <c r="B6626"/>
  <c r="A6626"/>
  <c r="B6625"/>
  <c r="A6625"/>
  <c r="B6624"/>
  <c r="A6624"/>
  <c r="B6623"/>
  <c r="A6623"/>
  <c r="B6622"/>
  <c r="A6622"/>
  <c r="B6621"/>
  <c r="A6621"/>
  <c r="B6620"/>
  <c r="A6620"/>
  <c r="B6619"/>
  <c r="A6619"/>
  <c r="B6618"/>
  <c r="A6618"/>
  <c r="B6617"/>
  <c r="A6617"/>
  <c r="B6616"/>
  <c r="A6616"/>
  <c r="B6615"/>
  <c r="A6615"/>
  <c r="B6614"/>
  <c r="A6614"/>
  <c r="B6613"/>
  <c r="A6613"/>
  <c r="B6612"/>
  <c r="A6612"/>
  <c r="B6611"/>
  <c r="A6611"/>
  <c r="B6610"/>
  <c r="A6610"/>
  <c r="B6609"/>
  <c r="A6609"/>
  <c r="B6608"/>
  <c r="A6608"/>
  <c r="B6607"/>
  <c r="A6607"/>
  <c r="B6606"/>
  <c r="A6606"/>
  <c r="B6605"/>
  <c r="A6605"/>
  <c r="B6604"/>
  <c r="A6604"/>
  <c r="B6603"/>
  <c r="A6603"/>
  <c r="B6602"/>
  <c r="A6602"/>
  <c r="B6601"/>
  <c r="A6601"/>
  <c r="B6600"/>
  <c r="A6600"/>
  <c r="B6599"/>
  <c r="A6599"/>
  <c r="B6598"/>
  <c r="A6598"/>
  <c r="B6597"/>
  <c r="A6597"/>
  <c r="B6596"/>
  <c r="A6596"/>
  <c r="B6595"/>
  <c r="A6595"/>
  <c r="B6594"/>
  <c r="A6594"/>
  <c r="B6593"/>
  <c r="A6593"/>
  <c r="B6592"/>
  <c r="A6592"/>
  <c r="B6591"/>
  <c r="A6591"/>
  <c r="B6590"/>
  <c r="A6590"/>
  <c r="B6589"/>
  <c r="A6589"/>
  <c r="B6588"/>
  <c r="A6588"/>
  <c r="B6587"/>
  <c r="A6587"/>
  <c r="B6586"/>
  <c r="A6586"/>
  <c r="B6585"/>
  <c r="A6585"/>
  <c r="B6584"/>
  <c r="A6584"/>
  <c r="B6583"/>
  <c r="A6583"/>
  <c r="B6582"/>
  <c r="A6582"/>
  <c r="B6581"/>
  <c r="A6581"/>
  <c r="B6580"/>
  <c r="A6580"/>
  <c r="B6579"/>
  <c r="A6579"/>
  <c r="B6578"/>
  <c r="A6578"/>
  <c r="B6577"/>
  <c r="A6577"/>
  <c r="B6576"/>
  <c r="A6576"/>
  <c r="B6575"/>
  <c r="A6575"/>
  <c r="B6574"/>
  <c r="A6574"/>
  <c r="B6573"/>
  <c r="A6573"/>
  <c r="B6572"/>
  <c r="A6572"/>
  <c r="B6571"/>
  <c r="A6571"/>
  <c r="B6570"/>
  <c r="A6570"/>
  <c r="B6569"/>
  <c r="A6569"/>
  <c r="B6568"/>
  <c r="A6568"/>
  <c r="B6567"/>
  <c r="A6567"/>
  <c r="B6566"/>
  <c r="A6566"/>
  <c r="B6565"/>
  <c r="A6565"/>
  <c r="B6564"/>
  <c r="A6564"/>
  <c r="B6563"/>
  <c r="A6563"/>
  <c r="B6562"/>
  <c r="A6562"/>
  <c r="B6561"/>
  <c r="A6561"/>
  <c r="B6560"/>
  <c r="A6560"/>
  <c r="B6559"/>
  <c r="A6559"/>
  <c r="B6558"/>
  <c r="A6558"/>
  <c r="B6557"/>
  <c r="A6557"/>
  <c r="B6556"/>
  <c r="A6556"/>
  <c r="B6555"/>
  <c r="A6555"/>
  <c r="B6554"/>
  <c r="A6554"/>
  <c r="B6553"/>
  <c r="A6553"/>
  <c r="B6552"/>
  <c r="A6552"/>
  <c r="B6551"/>
  <c r="A6551"/>
  <c r="B6550"/>
  <c r="A6550"/>
  <c r="B6549"/>
  <c r="A6549"/>
  <c r="B6548"/>
  <c r="A6548"/>
  <c r="B6547"/>
  <c r="A6547"/>
  <c r="B6546"/>
  <c r="A6546"/>
  <c r="B6545"/>
  <c r="A6545"/>
  <c r="B6544"/>
  <c r="A6544"/>
  <c r="B6543"/>
  <c r="A6543"/>
  <c r="B6542"/>
  <c r="A6542"/>
  <c r="B6541"/>
  <c r="A6541"/>
  <c r="B6540"/>
  <c r="A6540"/>
  <c r="B6539"/>
  <c r="A6539"/>
  <c r="B6538"/>
  <c r="A6538"/>
  <c r="B6537"/>
  <c r="A6537"/>
  <c r="B6536"/>
  <c r="A6536"/>
  <c r="B6535"/>
  <c r="A6535"/>
  <c r="B6534"/>
  <c r="A6534"/>
  <c r="B6533"/>
  <c r="A6533"/>
  <c r="B6532"/>
  <c r="A6532"/>
  <c r="B6531"/>
  <c r="A6531"/>
  <c r="B6530"/>
  <c r="A6530"/>
  <c r="B6529"/>
  <c r="A6529"/>
  <c r="B6528"/>
  <c r="A6528"/>
  <c r="B6527"/>
  <c r="A6527"/>
  <c r="B6526"/>
  <c r="A6526"/>
  <c r="B6525"/>
  <c r="A6525"/>
  <c r="B6524"/>
  <c r="A6524"/>
  <c r="B6523"/>
  <c r="A6523"/>
  <c r="B6522"/>
  <c r="A6522"/>
  <c r="B6521"/>
  <c r="A6521"/>
  <c r="B6520"/>
  <c r="A6520"/>
  <c r="B6519"/>
  <c r="A6519"/>
  <c r="B6518"/>
  <c r="A6518"/>
  <c r="B6517"/>
  <c r="A6517"/>
  <c r="B6516"/>
  <c r="A6516"/>
  <c r="B6515"/>
  <c r="A6515"/>
  <c r="B6514"/>
  <c r="A6514"/>
  <c r="B6513"/>
  <c r="A6513"/>
  <c r="B6512"/>
  <c r="A6512"/>
  <c r="B6511"/>
  <c r="A6511"/>
  <c r="B6510"/>
  <c r="A6510"/>
  <c r="B6509"/>
  <c r="A6509"/>
  <c r="B6508"/>
  <c r="A6508"/>
  <c r="B6507"/>
  <c r="A6507"/>
  <c r="B6506"/>
  <c r="A6506"/>
  <c r="B6505"/>
  <c r="A6505"/>
  <c r="B6504"/>
  <c r="A6504"/>
  <c r="B6503"/>
  <c r="A6503"/>
  <c r="B6502"/>
  <c r="A6502"/>
  <c r="B6501"/>
  <c r="A6501"/>
  <c r="B6500"/>
  <c r="A6500"/>
  <c r="B6499"/>
  <c r="A6499"/>
  <c r="B6498"/>
  <c r="A6498"/>
  <c r="B6497"/>
  <c r="A6497"/>
  <c r="B6496"/>
  <c r="A6496"/>
  <c r="B6495"/>
  <c r="A6495"/>
  <c r="B6494"/>
  <c r="A6494"/>
  <c r="B6493"/>
  <c r="A6493"/>
  <c r="B6492"/>
  <c r="A6492"/>
  <c r="B6491"/>
  <c r="A6491"/>
  <c r="B6490"/>
  <c r="A6490"/>
  <c r="B6489"/>
  <c r="A6489"/>
  <c r="B6488"/>
  <c r="A6488"/>
  <c r="B6487"/>
  <c r="A6487"/>
  <c r="B6486"/>
  <c r="A6486"/>
  <c r="B6485"/>
  <c r="A6485"/>
  <c r="B6484"/>
  <c r="A6484"/>
  <c r="B6483"/>
  <c r="A6483"/>
  <c r="B6482"/>
  <c r="A6482"/>
  <c r="B6481"/>
  <c r="A6481"/>
  <c r="B6480"/>
  <c r="A6480"/>
  <c r="B6479"/>
  <c r="A6479"/>
  <c r="B6478"/>
  <c r="A6478"/>
  <c r="B6477"/>
  <c r="A6477"/>
  <c r="B6476"/>
  <c r="A6476"/>
  <c r="B6475"/>
  <c r="A6475"/>
  <c r="B6474"/>
  <c r="A6474"/>
  <c r="B6473"/>
  <c r="A6473"/>
  <c r="B6472"/>
  <c r="A6472"/>
  <c r="B6471"/>
  <c r="A6471"/>
  <c r="B6470"/>
  <c r="A6470"/>
  <c r="B6469"/>
  <c r="A6469"/>
  <c r="B6468"/>
  <c r="A6468"/>
  <c r="B6467"/>
  <c r="A6467"/>
  <c r="B6466"/>
  <c r="A6466"/>
  <c r="B6465"/>
  <c r="A6465"/>
  <c r="B6464"/>
  <c r="A6464"/>
  <c r="B6463"/>
  <c r="A6463"/>
  <c r="B6462"/>
  <c r="A6462"/>
  <c r="B6461"/>
  <c r="A6461"/>
  <c r="B6460"/>
  <c r="A6460"/>
  <c r="B6459"/>
  <c r="A6459"/>
  <c r="B6458"/>
  <c r="A6458"/>
  <c r="B6457"/>
  <c r="A6457"/>
  <c r="B6456"/>
  <c r="A6456"/>
  <c r="B6455"/>
  <c r="A6455"/>
  <c r="B6454"/>
  <c r="A6454"/>
  <c r="B6453"/>
  <c r="A6453"/>
  <c r="B6452"/>
  <c r="A6452"/>
  <c r="B6451"/>
  <c r="A6451"/>
  <c r="B6450"/>
  <c r="A6450"/>
  <c r="B6449"/>
  <c r="A6449"/>
  <c r="B6448"/>
  <c r="A6448"/>
  <c r="B6447"/>
  <c r="A6447"/>
  <c r="B6446"/>
  <c r="A6446"/>
  <c r="B6445"/>
  <c r="A6445"/>
  <c r="B6444"/>
  <c r="A6444"/>
  <c r="B6443"/>
  <c r="A6443"/>
  <c r="B6442"/>
  <c r="A6442"/>
  <c r="B6441"/>
  <c r="A6441"/>
  <c r="B6440"/>
  <c r="A6440"/>
  <c r="B6439"/>
  <c r="A6439"/>
  <c r="B6438"/>
  <c r="A6438"/>
  <c r="B6437"/>
  <c r="A6437"/>
  <c r="B6436"/>
  <c r="A6436"/>
  <c r="B6435"/>
  <c r="A6435"/>
  <c r="B6434"/>
  <c r="A6434"/>
  <c r="B6433"/>
  <c r="A6433"/>
  <c r="B6432"/>
  <c r="A6432"/>
  <c r="B6431"/>
  <c r="A6431"/>
  <c r="B6430"/>
  <c r="A6430"/>
  <c r="B6429"/>
  <c r="A6429"/>
  <c r="B6428"/>
  <c r="A6428"/>
  <c r="B6427"/>
  <c r="A6427"/>
  <c r="B6426"/>
  <c r="A6426"/>
  <c r="B6425"/>
  <c r="A6425"/>
  <c r="B6424"/>
  <c r="A6424"/>
  <c r="B6423"/>
  <c r="A6423"/>
  <c r="B6422"/>
  <c r="A6422"/>
  <c r="B6421"/>
  <c r="A6421"/>
  <c r="B6420"/>
  <c r="A6420"/>
  <c r="B6419"/>
  <c r="A6419"/>
  <c r="B6418"/>
  <c r="A6418"/>
  <c r="B6417"/>
  <c r="A6417"/>
  <c r="B6416"/>
  <c r="A6416"/>
  <c r="B6415"/>
  <c r="A6415"/>
  <c r="B6414"/>
  <c r="A6414"/>
  <c r="B6413"/>
  <c r="A6413"/>
  <c r="B6412"/>
  <c r="A6412"/>
  <c r="B6411"/>
  <c r="A6411"/>
  <c r="B6410"/>
  <c r="A6410"/>
  <c r="B6409"/>
  <c r="A6409"/>
  <c r="B6408"/>
  <c r="A6408"/>
  <c r="B6407"/>
  <c r="A6407"/>
  <c r="B6406"/>
  <c r="A6406"/>
  <c r="B6405"/>
  <c r="A6405"/>
  <c r="B6404"/>
  <c r="A6404"/>
  <c r="B6403"/>
  <c r="A6403"/>
  <c r="B6402"/>
  <c r="A6402"/>
  <c r="B6401"/>
  <c r="A6401"/>
  <c r="B6400"/>
  <c r="A6400"/>
  <c r="B6399"/>
  <c r="A6399"/>
  <c r="B6398"/>
  <c r="A6398"/>
  <c r="B6397"/>
  <c r="A6397"/>
  <c r="B6396"/>
  <c r="A6396"/>
  <c r="A6395"/>
  <c r="B6394"/>
  <c r="A6394"/>
  <c r="B6393"/>
  <c r="A6393"/>
  <c r="B6392"/>
  <c r="A6392"/>
  <c r="B6391"/>
  <c r="A6391"/>
  <c r="B6390"/>
  <c r="A6390"/>
  <c r="B6389"/>
  <c r="A6389"/>
  <c r="B6388"/>
  <c r="A6388"/>
  <c r="B6387"/>
  <c r="A6387"/>
  <c r="B6386"/>
  <c r="A6386"/>
  <c r="B6385"/>
  <c r="A6385"/>
  <c r="B6384"/>
  <c r="A6384"/>
  <c r="B6383"/>
  <c r="A6383"/>
  <c r="B6382"/>
  <c r="A6382"/>
  <c r="B6381"/>
  <c r="A6381"/>
  <c r="B6380"/>
  <c r="A6380"/>
  <c r="B6379"/>
  <c r="A6379"/>
  <c r="B6378"/>
  <c r="A6378"/>
  <c r="B6377"/>
  <c r="A6377"/>
  <c r="B6376"/>
  <c r="A6376"/>
  <c r="B6375"/>
  <c r="A6375"/>
  <c r="B6374"/>
  <c r="A6374"/>
  <c r="B6373"/>
  <c r="A6373"/>
  <c r="B6372"/>
  <c r="A6372"/>
  <c r="B6371"/>
  <c r="A6371"/>
  <c r="B6370"/>
  <c r="A6370"/>
  <c r="B6369"/>
  <c r="A6369"/>
  <c r="B6368"/>
  <c r="A6368"/>
  <c r="B6367"/>
  <c r="A6367"/>
  <c r="B6366"/>
  <c r="A6366"/>
  <c r="B6365"/>
  <c r="A6365"/>
  <c r="B6364"/>
  <c r="A6364"/>
  <c r="B6363"/>
  <c r="A6363"/>
  <c r="B6362"/>
  <c r="A6362"/>
  <c r="B6361"/>
  <c r="A6361"/>
  <c r="B6360"/>
  <c r="A6360"/>
  <c r="B6359"/>
  <c r="A6359"/>
  <c r="B6358"/>
  <c r="A6358"/>
  <c r="B6357"/>
  <c r="A6357"/>
  <c r="B6356"/>
  <c r="A6356"/>
  <c r="B6355"/>
  <c r="A6355"/>
  <c r="B6354"/>
  <c r="A6354"/>
  <c r="B6353"/>
  <c r="A6353"/>
  <c r="B6352"/>
  <c r="A6352"/>
  <c r="B6351"/>
  <c r="A6351"/>
  <c r="B6350"/>
  <c r="A6350"/>
  <c r="B6349"/>
  <c r="A6349"/>
  <c r="B6348"/>
  <c r="A6348"/>
  <c r="B6347"/>
  <c r="A6347"/>
  <c r="B6346"/>
  <c r="A6346"/>
  <c r="B6345"/>
  <c r="A6345"/>
  <c r="B6344"/>
  <c r="A6344"/>
  <c r="B6343"/>
  <c r="A6343"/>
  <c r="B6342"/>
  <c r="A6342"/>
  <c r="B6341"/>
  <c r="A6341"/>
  <c r="B6340"/>
  <c r="A6340"/>
  <c r="B6339"/>
  <c r="A6339"/>
  <c r="B6338"/>
  <c r="A6338"/>
  <c r="B6337"/>
  <c r="A6337"/>
  <c r="B6336"/>
  <c r="A6336"/>
  <c r="B6335"/>
  <c r="A6335"/>
  <c r="B6334"/>
  <c r="A6334"/>
  <c r="B6333"/>
  <c r="A6333"/>
  <c r="B6332"/>
  <c r="A6332"/>
  <c r="B6331"/>
  <c r="A6331"/>
  <c r="B6330"/>
  <c r="A6330"/>
  <c r="B6329"/>
  <c r="A6329"/>
  <c r="B6328"/>
  <c r="A6328"/>
  <c r="B6327"/>
  <c r="A6327"/>
  <c r="B6326"/>
  <c r="A6326"/>
  <c r="B6325"/>
  <c r="A6325"/>
  <c r="B6324"/>
  <c r="A6324"/>
  <c r="B6323"/>
  <c r="A6323"/>
  <c r="B6322"/>
  <c r="A6322"/>
  <c r="B6321"/>
  <c r="A6321"/>
  <c r="B6320"/>
  <c r="A6320"/>
  <c r="B6319"/>
  <c r="A6319"/>
  <c r="B6318"/>
  <c r="A6318"/>
  <c r="B6317"/>
  <c r="A6317"/>
  <c r="B6316"/>
  <c r="A6316"/>
  <c r="B6315"/>
  <c r="A6315"/>
  <c r="B6314"/>
  <c r="A6314"/>
  <c r="B6313"/>
  <c r="A6313"/>
  <c r="B6312"/>
  <c r="A6312"/>
  <c r="B6311"/>
  <c r="A6311"/>
  <c r="B6310"/>
  <c r="A6310"/>
  <c r="B6309"/>
  <c r="A6309"/>
  <c r="B6308"/>
  <c r="A6308"/>
  <c r="B6307"/>
  <c r="A6307"/>
  <c r="B6306"/>
  <c r="A6306"/>
  <c r="B6305"/>
  <c r="A6305"/>
  <c r="B6304"/>
  <c r="A6304"/>
  <c r="B6303"/>
  <c r="A6303"/>
  <c r="B6302"/>
  <c r="A6302"/>
  <c r="B6301"/>
  <c r="A6301"/>
  <c r="B6300"/>
  <c r="A6300"/>
  <c r="B6299"/>
  <c r="A6299"/>
  <c r="B6298"/>
  <c r="A6298"/>
  <c r="B6297"/>
  <c r="A6297"/>
  <c r="B6296"/>
  <c r="A6296"/>
  <c r="B6295"/>
  <c r="A6295"/>
  <c r="B6294"/>
  <c r="A6294"/>
  <c r="B6293"/>
  <c r="A6293"/>
  <c r="B6292"/>
  <c r="A6292"/>
  <c r="B6291"/>
  <c r="A6291"/>
  <c r="B6290"/>
  <c r="A6290"/>
  <c r="B6289"/>
  <c r="A6289"/>
  <c r="B6288"/>
  <c r="A6288"/>
  <c r="B6287"/>
  <c r="A6287"/>
  <c r="B6286"/>
  <c r="A6286"/>
  <c r="B6285"/>
  <c r="A6285"/>
  <c r="B6284"/>
  <c r="A6284"/>
  <c r="B6283"/>
  <c r="A6283"/>
  <c r="B6282"/>
  <c r="A6282"/>
  <c r="B6281"/>
  <c r="A6281"/>
  <c r="B6280"/>
  <c r="A6280"/>
  <c r="B6279"/>
  <c r="A6279"/>
  <c r="B6278"/>
  <c r="A6278"/>
  <c r="B6277"/>
  <c r="A6277"/>
  <c r="B6276"/>
  <c r="A6276"/>
  <c r="B6275"/>
  <c r="A6275"/>
  <c r="B6274"/>
  <c r="A6274"/>
  <c r="B6273"/>
  <c r="A6273"/>
  <c r="B6272"/>
  <c r="A6272"/>
  <c r="B6271"/>
  <c r="A6271"/>
  <c r="B6270"/>
  <c r="A6270"/>
  <c r="B6269"/>
  <c r="A6269"/>
  <c r="B6268"/>
  <c r="A6268"/>
  <c r="B6267"/>
  <c r="A6267"/>
  <c r="B6266"/>
  <c r="A6266"/>
  <c r="B6265"/>
  <c r="A6265"/>
  <c r="B6264"/>
  <c r="A6264"/>
  <c r="B6263"/>
  <c r="A6263"/>
  <c r="B6262"/>
  <c r="A6262"/>
  <c r="B6261"/>
  <c r="A6261"/>
  <c r="B6260"/>
  <c r="A6260"/>
  <c r="B6259"/>
  <c r="A6259"/>
  <c r="B6258"/>
  <c r="A6258"/>
  <c r="B6257"/>
  <c r="A6257"/>
  <c r="B6256"/>
  <c r="A6256"/>
  <c r="B6255"/>
  <c r="A6255"/>
  <c r="B6254"/>
  <c r="A6254"/>
  <c r="B6253"/>
  <c r="A6253"/>
  <c r="B6252"/>
  <c r="A6252"/>
  <c r="B6251"/>
  <c r="A6251"/>
  <c r="B6250"/>
  <c r="A6250"/>
  <c r="B6249"/>
  <c r="A6249"/>
  <c r="B6248"/>
  <c r="A6248"/>
  <c r="B6247"/>
  <c r="A6247"/>
  <c r="B6246"/>
  <c r="A6246"/>
  <c r="B6245"/>
  <c r="A6245"/>
  <c r="B6244"/>
  <c r="A6244"/>
  <c r="B6243"/>
  <c r="A6243"/>
  <c r="B6242"/>
  <c r="A6242"/>
  <c r="B6241"/>
  <c r="A6241"/>
  <c r="B6240"/>
  <c r="A6240"/>
  <c r="B6239"/>
  <c r="A6239"/>
  <c r="B6238"/>
  <c r="A6238"/>
  <c r="B6237"/>
  <c r="A6237"/>
  <c r="B6236"/>
  <c r="A6236"/>
  <c r="B6235"/>
  <c r="A6235"/>
  <c r="B6234"/>
  <c r="A6234"/>
  <c r="B6233"/>
  <c r="A6233"/>
  <c r="B6232"/>
  <c r="A6232"/>
  <c r="B6231"/>
  <c r="A6231"/>
  <c r="B6230"/>
  <c r="A6230"/>
  <c r="B6229"/>
  <c r="A6229"/>
  <c r="B6228"/>
  <c r="A6228"/>
  <c r="B6227"/>
  <c r="A6227"/>
  <c r="B6226"/>
  <c r="A6226"/>
  <c r="B6225"/>
  <c r="A6225"/>
  <c r="B6224"/>
  <c r="A6224"/>
  <c r="B6223"/>
  <c r="A6223"/>
  <c r="B6222"/>
  <c r="A6222"/>
  <c r="B6221"/>
  <c r="A6221"/>
  <c r="B6220"/>
  <c r="A6220"/>
  <c r="B6219"/>
  <c r="A6219"/>
  <c r="B6218"/>
  <c r="A6218"/>
  <c r="B6217"/>
  <c r="A6217"/>
  <c r="B6216"/>
  <c r="A6216"/>
  <c r="B6215"/>
  <c r="A6215"/>
  <c r="B6214"/>
  <c r="A6214"/>
  <c r="B6213"/>
  <c r="A6213"/>
  <c r="B6212"/>
  <c r="A6212"/>
  <c r="B6211"/>
  <c r="A6211"/>
  <c r="B6210"/>
  <c r="A6210"/>
  <c r="B6209"/>
  <c r="A6209"/>
  <c r="B6208"/>
  <c r="A6208"/>
  <c r="B6207"/>
  <c r="A6207"/>
  <c r="B6206"/>
  <c r="A6206"/>
  <c r="B6205"/>
  <c r="A6205"/>
  <c r="B6204"/>
  <c r="A6204"/>
  <c r="B6203"/>
  <c r="A6203"/>
  <c r="B6202"/>
  <c r="A6202"/>
  <c r="B6201"/>
  <c r="A6201"/>
  <c r="B6200"/>
  <c r="A6200"/>
  <c r="B6199"/>
  <c r="A6199"/>
  <c r="B6198"/>
  <c r="A6198"/>
  <c r="B6197"/>
  <c r="A6197"/>
  <c r="B6196"/>
  <c r="A6196"/>
  <c r="B6195"/>
  <c r="A6195"/>
  <c r="B6194"/>
  <c r="A6194"/>
  <c r="B6193"/>
  <c r="A6193"/>
  <c r="B6192"/>
  <c r="A6192"/>
  <c r="B6191"/>
  <c r="A6191"/>
  <c r="B6190"/>
  <c r="A6190"/>
  <c r="B6189"/>
  <c r="A6189"/>
  <c r="B6188"/>
  <c r="A6188"/>
  <c r="B6187"/>
  <c r="A6187"/>
  <c r="B6186"/>
  <c r="A6186"/>
  <c r="B6185"/>
  <c r="A6185"/>
  <c r="B6184"/>
  <c r="A6184"/>
  <c r="B6183"/>
  <c r="A6183"/>
  <c r="B6182"/>
  <c r="A6182"/>
  <c r="B6181"/>
  <c r="A6181"/>
  <c r="B6180"/>
  <c r="A6180"/>
  <c r="B6179"/>
  <c r="A6179"/>
  <c r="B6178"/>
  <c r="A6178"/>
  <c r="B6177"/>
  <c r="A6177"/>
  <c r="B6176"/>
  <c r="A6176"/>
  <c r="B6175"/>
  <c r="A6175"/>
  <c r="B6174"/>
  <c r="A6174"/>
  <c r="B6173"/>
  <c r="A6173"/>
  <c r="B6172"/>
  <c r="A6172"/>
  <c r="B6171"/>
  <c r="A6171"/>
  <c r="B6170"/>
  <c r="A6170"/>
  <c r="B6169"/>
  <c r="A6169"/>
  <c r="B6168"/>
  <c r="A6168"/>
  <c r="B6167"/>
  <c r="A6167"/>
  <c r="B6166"/>
  <c r="A6166"/>
  <c r="B6165"/>
  <c r="A6165"/>
  <c r="B6164"/>
  <c r="A6164"/>
  <c r="B6163"/>
  <c r="A6163"/>
  <c r="B6162"/>
  <c r="A6162"/>
  <c r="B6161"/>
  <c r="A6161"/>
  <c r="B6160"/>
  <c r="A6160"/>
  <c r="B6159"/>
  <c r="A6159"/>
  <c r="B6158"/>
  <c r="A6158"/>
  <c r="B6157"/>
  <c r="A6157"/>
  <c r="B6156"/>
  <c r="A6156"/>
  <c r="B6155"/>
  <c r="A6155"/>
  <c r="B6154"/>
  <c r="A6154"/>
  <c r="B6153"/>
  <c r="A6153"/>
  <c r="B6152"/>
  <c r="A6152"/>
  <c r="B6151"/>
  <c r="A6151"/>
  <c r="B6150"/>
  <c r="A6150"/>
  <c r="B6149"/>
  <c r="A6149"/>
  <c r="B6148"/>
  <c r="A6148"/>
  <c r="B6147"/>
  <c r="A6147"/>
  <c r="B6146"/>
  <c r="A6146"/>
  <c r="B6145"/>
  <c r="A6145"/>
  <c r="B6144"/>
  <c r="A6144"/>
  <c r="B6143"/>
  <c r="A6143"/>
  <c r="B6142"/>
  <c r="A6142"/>
  <c r="B6141"/>
  <c r="A6141"/>
  <c r="B6140"/>
  <c r="A6140"/>
  <c r="B6139"/>
  <c r="A6139"/>
  <c r="B6138"/>
  <c r="A6138"/>
  <c r="B6137"/>
  <c r="A6137"/>
  <c r="B6136"/>
  <c r="A6136"/>
  <c r="B6135"/>
  <c r="A6135"/>
  <c r="B6134"/>
  <c r="A6134"/>
  <c r="B6133"/>
  <c r="A6133"/>
  <c r="B6132"/>
  <c r="A6132"/>
  <c r="B6131"/>
  <c r="A6131"/>
  <c r="B6130"/>
  <c r="A6130"/>
  <c r="B6129"/>
  <c r="A6129"/>
  <c r="B6128"/>
  <c r="A6128"/>
  <c r="B6127"/>
  <c r="A6127"/>
  <c r="B6126"/>
  <c r="A6126"/>
  <c r="B6125"/>
  <c r="A6125"/>
  <c r="B6124"/>
  <c r="A6124"/>
  <c r="B6123"/>
  <c r="A6123"/>
  <c r="B6122"/>
  <c r="A6122"/>
  <c r="B6121"/>
  <c r="A6121"/>
  <c r="B6120"/>
  <c r="A6120"/>
  <c r="B6119"/>
  <c r="A6119"/>
  <c r="B6118"/>
  <c r="A6118"/>
  <c r="B6117"/>
  <c r="A6117"/>
  <c r="B6116"/>
  <c r="A6116"/>
  <c r="B6115"/>
  <c r="A6115"/>
  <c r="B6114"/>
  <c r="A6114"/>
  <c r="B6113"/>
  <c r="A6113"/>
  <c r="B6112"/>
  <c r="A6112"/>
  <c r="B6111"/>
  <c r="A6111"/>
  <c r="B6110"/>
  <c r="A6110"/>
  <c r="B6109"/>
  <c r="A6109"/>
  <c r="B6108"/>
  <c r="A6108"/>
  <c r="B6107"/>
  <c r="A6107"/>
  <c r="B6106"/>
  <c r="A6106"/>
  <c r="B6105"/>
  <c r="A6105"/>
  <c r="B6104"/>
  <c r="A6104"/>
  <c r="B6103"/>
  <c r="A6103"/>
  <c r="B6102"/>
  <c r="A6102"/>
  <c r="B6101"/>
  <c r="A6101"/>
  <c r="B6100"/>
  <c r="A6100"/>
  <c r="B6099"/>
  <c r="A6099"/>
  <c r="B6098"/>
  <c r="A6098"/>
  <c r="B6097"/>
  <c r="A6097"/>
  <c r="B6096"/>
  <c r="A6096"/>
  <c r="B6095"/>
  <c r="A6095"/>
  <c r="B6094"/>
  <c r="A6094"/>
  <c r="B6093"/>
  <c r="A6093"/>
  <c r="B6092"/>
  <c r="A6092"/>
  <c r="B6091"/>
  <c r="A6091"/>
  <c r="B6090"/>
  <c r="A6090"/>
  <c r="B6089"/>
  <c r="A6089"/>
  <c r="B6088"/>
  <c r="A6088"/>
  <c r="B6087"/>
  <c r="A6087"/>
  <c r="B6086"/>
  <c r="A6086"/>
  <c r="B6085"/>
  <c r="A6085"/>
  <c r="B6084"/>
  <c r="A6084"/>
  <c r="B6083"/>
  <c r="A6083"/>
  <c r="B6082"/>
  <c r="A6082"/>
  <c r="B6081"/>
  <c r="A6081"/>
  <c r="B6080"/>
  <c r="A6080"/>
  <c r="B6079"/>
  <c r="A6079"/>
  <c r="B6078"/>
  <c r="A6078"/>
  <c r="B6077"/>
  <c r="A6077"/>
  <c r="B6076"/>
  <c r="A6076"/>
  <c r="B6075"/>
  <c r="A6075"/>
  <c r="B6074"/>
  <c r="A6074"/>
  <c r="B6073"/>
  <c r="A6073"/>
  <c r="B6072"/>
  <c r="A6072"/>
  <c r="B6071"/>
  <c r="A6071"/>
  <c r="B6070"/>
  <c r="A6070"/>
  <c r="B6069"/>
  <c r="A6069"/>
  <c r="B6068"/>
  <c r="A6068"/>
  <c r="B6067"/>
  <c r="A6067"/>
  <c r="B6066"/>
  <c r="A6066"/>
  <c r="B6065"/>
  <c r="A6065"/>
  <c r="B6064"/>
  <c r="A6064"/>
  <c r="B6063"/>
  <c r="A6063"/>
  <c r="B6062"/>
  <c r="A6062"/>
  <c r="B6061"/>
  <c r="A6061"/>
  <c r="B6060"/>
  <c r="A6060"/>
  <c r="B6059"/>
  <c r="A6059"/>
  <c r="B6058"/>
  <c r="A6058"/>
  <c r="B6057"/>
  <c r="A6057"/>
  <c r="B6056"/>
  <c r="A6056"/>
  <c r="B6055"/>
  <c r="A6055"/>
  <c r="B6054"/>
  <c r="A6054"/>
  <c r="B6053"/>
  <c r="A6053"/>
  <c r="B6052"/>
  <c r="A6052"/>
  <c r="B6051"/>
  <c r="A6051"/>
  <c r="B6050"/>
  <c r="A6050"/>
  <c r="B6049"/>
  <c r="A6049"/>
  <c r="B6048"/>
  <c r="A6048"/>
  <c r="B6047"/>
  <c r="A6047"/>
  <c r="B6046"/>
  <c r="A6046"/>
  <c r="B6045"/>
  <c r="A6045"/>
  <c r="B6044"/>
  <c r="A6044"/>
  <c r="B6043"/>
  <c r="A6043"/>
  <c r="B6042"/>
  <c r="A6042"/>
  <c r="B6041"/>
  <c r="A6041"/>
  <c r="B6040"/>
  <c r="A6040"/>
  <c r="B6039"/>
  <c r="A6039"/>
  <c r="B6038"/>
  <c r="A6038"/>
  <c r="B6037"/>
  <c r="A6037"/>
  <c r="B6036"/>
  <c r="A6036"/>
  <c r="B6035"/>
  <c r="A6035"/>
  <c r="B6034"/>
  <c r="A6034"/>
  <c r="B6033"/>
  <c r="A6033"/>
  <c r="B6032"/>
  <c r="A6032"/>
  <c r="B6031"/>
  <c r="A6031"/>
  <c r="B6030"/>
  <c r="A6030"/>
  <c r="B6029"/>
  <c r="A6029"/>
  <c r="B6028"/>
  <c r="A6028"/>
  <c r="B6027"/>
  <c r="A6027"/>
  <c r="B6026"/>
  <c r="A6026"/>
  <c r="B6025"/>
  <c r="A6025"/>
  <c r="B6024"/>
  <c r="A6024"/>
  <c r="B6023"/>
  <c r="A6023"/>
  <c r="B6022"/>
  <c r="A6022"/>
  <c r="B6021"/>
  <c r="A6021"/>
  <c r="B6020"/>
  <c r="A6020"/>
  <c r="B6019"/>
  <c r="A6019"/>
  <c r="B6018"/>
  <c r="A6018"/>
  <c r="B6017"/>
  <c r="A6017"/>
  <c r="B6016"/>
  <c r="A6016"/>
  <c r="B6015"/>
  <c r="A6015"/>
  <c r="B6014"/>
  <c r="A6014"/>
  <c r="B6013"/>
  <c r="A6013"/>
  <c r="B6012"/>
  <c r="A6012"/>
  <c r="B6011"/>
  <c r="A6011"/>
  <c r="B6010"/>
  <c r="A6010"/>
  <c r="B6009"/>
  <c r="A6009"/>
  <c r="B6008"/>
  <c r="A6008"/>
  <c r="B6007"/>
  <c r="A6007"/>
  <c r="B6006"/>
  <c r="A6006"/>
  <c r="B6005"/>
  <c r="A6005"/>
  <c r="B6004"/>
  <c r="A6004"/>
  <c r="B6003"/>
  <c r="A6003"/>
  <c r="B6002"/>
  <c r="A6002"/>
  <c r="B6001"/>
  <c r="A6001"/>
  <c r="B6000"/>
  <c r="A6000"/>
  <c r="B5999"/>
  <c r="A5999"/>
  <c r="B5998"/>
  <c r="A5998"/>
  <c r="B5997"/>
  <c r="A5997"/>
  <c r="B5996"/>
  <c r="A5996"/>
  <c r="B5995"/>
  <c r="A5995"/>
  <c r="B5994"/>
  <c r="A5994"/>
  <c r="B5993"/>
  <c r="A5993"/>
  <c r="B5992"/>
  <c r="A5992"/>
  <c r="B5991"/>
  <c r="A5991"/>
  <c r="B5990"/>
  <c r="A5990"/>
  <c r="B5989"/>
  <c r="A5989"/>
  <c r="B5988"/>
  <c r="A5988"/>
  <c r="B5987"/>
  <c r="A5987"/>
  <c r="B5986"/>
  <c r="A5986"/>
  <c r="B5985"/>
  <c r="A5985"/>
  <c r="B5984"/>
  <c r="A5984"/>
  <c r="B5983"/>
  <c r="A5983"/>
  <c r="B5982"/>
  <c r="A5982"/>
  <c r="B5981"/>
  <c r="A5981"/>
  <c r="B5980"/>
  <c r="A5980"/>
  <c r="B5979"/>
  <c r="A5979"/>
  <c r="B5978"/>
  <c r="A5978"/>
  <c r="B5977"/>
  <c r="A5977"/>
  <c r="B5976"/>
  <c r="A5976"/>
  <c r="B5975"/>
  <c r="A5975"/>
  <c r="B5974"/>
  <c r="A5974"/>
  <c r="B5973"/>
  <c r="A5973"/>
  <c r="B5972"/>
  <c r="A5972"/>
  <c r="B5971"/>
  <c r="A5971"/>
  <c r="B5970"/>
  <c r="A5970"/>
  <c r="B5969"/>
  <c r="A5969"/>
  <c r="B5968"/>
  <c r="A5968"/>
  <c r="B5967"/>
  <c r="A5967"/>
  <c r="B5966"/>
  <c r="A5966"/>
  <c r="B5965"/>
  <c r="A5965"/>
  <c r="B5964"/>
  <c r="A5964"/>
  <c r="B5963"/>
  <c r="A5963"/>
  <c r="B5962"/>
  <c r="A5962"/>
  <c r="B5961"/>
  <c r="A5961"/>
  <c r="B5960"/>
  <c r="A5960"/>
  <c r="B5959"/>
  <c r="A5959"/>
  <c r="B5958"/>
  <c r="A5958"/>
  <c r="B5957"/>
  <c r="A5957"/>
  <c r="B5956"/>
  <c r="A5956"/>
  <c r="B5955"/>
  <c r="A5955"/>
  <c r="B5954"/>
  <c r="A5954"/>
  <c r="B5953"/>
  <c r="A5953"/>
  <c r="B5952"/>
  <c r="A5952"/>
  <c r="B5951"/>
  <c r="A5951"/>
  <c r="B5950"/>
  <c r="A5950"/>
  <c r="B5949"/>
  <c r="A5949"/>
  <c r="B5948"/>
  <c r="A5948"/>
  <c r="B5947"/>
  <c r="A5947"/>
  <c r="B5946"/>
  <c r="A5946"/>
  <c r="B5945"/>
  <c r="A5945"/>
  <c r="B5944"/>
  <c r="A5944"/>
  <c r="B5943"/>
  <c r="A5943"/>
  <c r="B5942"/>
  <c r="A5942"/>
  <c r="B5941"/>
  <c r="A5941"/>
  <c r="B5940"/>
  <c r="A5940"/>
  <c r="B5939"/>
  <c r="A5939"/>
  <c r="B5938"/>
  <c r="A5938"/>
  <c r="B5937"/>
  <c r="A5937"/>
  <c r="B5936"/>
  <c r="A5936"/>
  <c r="B5935"/>
  <c r="A5935"/>
  <c r="B5934"/>
  <c r="A5934"/>
  <c r="B5933"/>
  <c r="A5933"/>
  <c r="B5932"/>
  <c r="A5932"/>
  <c r="B5931"/>
  <c r="A5931"/>
  <c r="B5930"/>
  <c r="A5930"/>
  <c r="B5929"/>
  <c r="A5929"/>
  <c r="B5928"/>
  <c r="A5928"/>
  <c r="B5927"/>
  <c r="A5927"/>
  <c r="B5926"/>
  <c r="A5926"/>
  <c r="B5925"/>
  <c r="A5925"/>
  <c r="B5924"/>
  <c r="A5924"/>
  <c r="B5923"/>
  <c r="A5923"/>
  <c r="B5922"/>
  <c r="A5922"/>
  <c r="B5921"/>
  <c r="A5921"/>
  <c r="B5920"/>
  <c r="A5920"/>
  <c r="B5919"/>
  <c r="A5919"/>
  <c r="B5918"/>
  <c r="A5918"/>
  <c r="B5917"/>
  <c r="A5917"/>
  <c r="B5916"/>
  <c r="A5916"/>
  <c r="B5915"/>
  <c r="A5915"/>
  <c r="B5914"/>
  <c r="A5914"/>
  <c r="B5913"/>
  <c r="A5913"/>
  <c r="B5912"/>
  <c r="A5912"/>
  <c r="B5911"/>
  <c r="A5911"/>
  <c r="B5910"/>
  <c r="A5910"/>
  <c r="B5909"/>
  <c r="A5909"/>
  <c r="B5908"/>
  <c r="A5908"/>
  <c r="B5907"/>
  <c r="A5907"/>
  <c r="B5906"/>
  <c r="A5906"/>
  <c r="B5905"/>
  <c r="A5905"/>
  <c r="B5904"/>
  <c r="A5904"/>
  <c r="B5903"/>
  <c r="A5903"/>
  <c r="B5902"/>
  <c r="A5902"/>
  <c r="B5901"/>
  <c r="A5901"/>
  <c r="B5900"/>
  <c r="A5900"/>
  <c r="B5899"/>
  <c r="A5899"/>
  <c r="B5898"/>
  <c r="A5898"/>
  <c r="B5897"/>
  <c r="A5897"/>
  <c r="B5896"/>
  <c r="A5896"/>
  <c r="B5895"/>
  <c r="A5895"/>
  <c r="B5894"/>
  <c r="A5894"/>
  <c r="B5893"/>
  <c r="A5893"/>
  <c r="B5892"/>
  <c r="A5892"/>
  <c r="B5891"/>
  <c r="A5891"/>
  <c r="B5890"/>
  <c r="A5890"/>
  <c r="B5889"/>
  <c r="A5889"/>
  <c r="B5888"/>
  <c r="A5888"/>
  <c r="B5887"/>
  <c r="A5887"/>
  <c r="B5886"/>
  <c r="A5886"/>
  <c r="B5885"/>
  <c r="A5885"/>
  <c r="B5884"/>
  <c r="A5884"/>
  <c r="B5883"/>
  <c r="A5883"/>
  <c r="B5882"/>
  <c r="A5882"/>
  <c r="B5881"/>
  <c r="A5881"/>
  <c r="B5880"/>
  <c r="A5880"/>
  <c r="B5879"/>
  <c r="A5879"/>
  <c r="B5878"/>
  <c r="A5878"/>
  <c r="B5877"/>
  <c r="A5877"/>
  <c r="B5876"/>
  <c r="A5876"/>
  <c r="B5875"/>
  <c r="A5875"/>
  <c r="B5874"/>
  <c r="A5874"/>
  <c r="B5873"/>
  <c r="A5873"/>
  <c r="B5872"/>
  <c r="A5872"/>
  <c r="B5871"/>
  <c r="A5871"/>
  <c r="B5870"/>
  <c r="A5870"/>
  <c r="B5869"/>
  <c r="A5869"/>
  <c r="B5868"/>
  <c r="A5868"/>
  <c r="B5867"/>
  <c r="A5867"/>
  <c r="B5866"/>
  <c r="A5866"/>
  <c r="B5865"/>
  <c r="A5865"/>
  <c r="B5864"/>
  <c r="A5864"/>
  <c r="B5863"/>
  <c r="A5863"/>
  <c r="B5862"/>
  <c r="A5862"/>
  <c r="B5861"/>
  <c r="A5861"/>
  <c r="B5860"/>
  <c r="A5860"/>
  <c r="B5859"/>
  <c r="A5859"/>
  <c r="B5858"/>
  <c r="A5858"/>
  <c r="B5857"/>
  <c r="A5857"/>
  <c r="B5856"/>
  <c r="A5856"/>
  <c r="B5855"/>
  <c r="A5855"/>
  <c r="B5854"/>
  <c r="A5854"/>
  <c r="B5853"/>
  <c r="A5853"/>
  <c r="B5852"/>
  <c r="A5852"/>
  <c r="B5851"/>
  <c r="A5851"/>
  <c r="B5850"/>
  <c r="A5850"/>
  <c r="B5849"/>
  <c r="A5849"/>
  <c r="B5848"/>
  <c r="A5848"/>
  <c r="B5847"/>
  <c r="A5847"/>
  <c r="B5846"/>
  <c r="A5846"/>
  <c r="B5845"/>
  <c r="A5845"/>
  <c r="B5844"/>
  <c r="A5844"/>
  <c r="B5843"/>
  <c r="A5843"/>
  <c r="B5842"/>
  <c r="A5842"/>
  <c r="B5841"/>
  <c r="A5841"/>
  <c r="B5840"/>
  <c r="A5840"/>
  <c r="B5839"/>
  <c r="A5839"/>
  <c r="B5838"/>
  <c r="A5838"/>
  <c r="B5837"/>
  <c r="A5837"/>
  <c r="B5836"/>
  <c r="A5836"/>
  <c r="B5835"/>
  <c r="A5835"/>
  <c r="B5834"/>
  <c r="A5834"/>
  <c r="B5833"/>
  <c r="A5833"/>
  <c r="B5832"/>
  <c r="A5832"/>
  <c r="B5831"/>
  <c r="A5831"/>
  <c r="B5830"/>
  <c r="A5830"/>
  <c r="B5829"/>
  <c r="A5829"/>
  <c r="B5828"/>
  <c r="A5828"/>
  <c r="B5827"/>
  <c r="A5827"/>
  <c r="B5826"/>
  <c r="A5826"/>
  <c r="B5825"/>
  <c r="A5825"/>
  <c r="B5824"/>
  <c r="A5824"/>
  <c r="B5823"/>
  <c r="A5823"/>
  <c r="B5822"/>
  <c r="A5822"/>
  <c r="B5821"/>
  <c r="A5821"/>
  <c r="B5820"/>
  <c r="A5820"/>
  <c r="B5819"/>
  <c r="A5819"/>
  <c r="B5818"/>
  <c r="A5818"/>
  <c r="B5817"/>
  <c r="A5817"/>
  <c r="B5816"/>
  <c r="A5816"/>
  <c r="B5815"/>
  <c r="A5815"/>
  <c r="B5814"/>
  <c r="A5814"/>
  <c r="B5813"/>
  <c r="A5813"/>
  <c r="B5812"/>
  <c r="A5812"/>
  <c r="B5811"/>
  <c r="A5811"/>
  <c r="B5810"/>
  <c r="A5810"/>
  <c r="B5809"/>
  <c r="A5809"/>
  <c r="B5808"/>
  <c r="A5808"/>
  <c r="B5807"/>
  <c r="A5807"/>
  <c r="B5806"/>
  <c r="A5806"/>
  <c r="B5805"/>
  <c r="A5805"/>
  <c r="B5804"/>
  <c r="A5804"/>
  <c r="B5803"/>
  <c r="A5803"/>
  <c r="B5802"/>
  <c r="A5802"/>
  <c r="B5801"/>
  <c r="A5801"/>
  <c r="B5800"/>
  <c r="A5800"/>
  <c r="B5799"/>
  <c r="A5799"/>
  <c r="B5798"/>
  <c r="A5798"/>
  <c r="B5797"/>
  <c r="A5797"/>
  <c r="B5796"/>
  <c r="A5796"/>
  <c r="B5795"/>
  <c r="A5795"/>
  <c r="B5794"/>
  <c r="A5794"/>
  <c r="B5793"/>
  <c r="A5793"/>
  <c r="B5792"/>
  <c r="A5792"/>
  <c r="B5791"/>
  <c r="A5791"/>
  <c r="B5790"/>
  <c r="A5790"/>
  <c r="B5789"/>
  <c r="A5789"/>
  <c r="B5788"/>
  <c r="A5788"/>
  <c r="B5787"/>
  <c r="A5787"/>
  <c r="B5786"/>
  <c r="A5786"/>
  <c r="B5785"/>
  <c r="A5785"/>
  <c r="B5784"/>
  <c r="A5784"/>
  <c r="B5783"/>
  <c r="A5783"/>
  <c r="B5782"/>
  <c r="A5782"/>
  <c r="B5781"/>
  <c r="A5781"/>
  <c r="B5780"/>
  <c r="A5780"/>
  <c r="B5779"/>
  <c r="A5779"/>
  <c r="B5778"/>
  <c r="A5778"/>
  <c r="B5777"/>
  <c r="A5777"/>
  <c r="B5776"/>
  <c r="A5776"/>
  <c r="B5775"/>
  <c r="A5775"/>
  <c r="B5774"/>
  <c r="A5774"/>
  <c r="B5773"/>
  <c r="A5773"/>
  <c r="B5772"/>
  <c r="A5772"/>
  <c r="B5771"/>
  <c r="A5771"/>
  <c r="B5770"/>
  <c r="A5770"/>
  <c r="B5769"/>
  <c r="A5769"/>
  <c r="B5768"/>
  <c r="A5768"/>
  <c r="B5767"/>
  <c r="A5767"/>
  <c r="B5766"/>
  <c r="A5766"/>
  <c r="B5765"/>
  <c r="A5765"/>
  <c r="B5764"/>
  <c r="A5764"/>
  <c r="B5763"/>
  <c r="A5763"/>
  <c r="B5762"/>
  <c r="A5762"/>
  <c r="B5761"/>
  <c r="A5761"/>
  <c r="B5760"/>
  <c r="A5760"/>
  <c r="B5759"/>
  <c r="A5759"/>
  <c r="B5758"/>
  <c r="A5758"/>
  <c r="B5757"/>
  <c r="A5757"/>
  <c r="B5756"/>
  <c r="A5756"/>
  <c r="B5755"/>
  <c r="A5755"/>
  <c r="B5754"/>
  <c r="A5754"/>
  <c r="B5753"/>
  <c r="A5753"/>
  <c r="B5752"/>
  <c r="A5752"/>
  <c r="B5751"/>
  <c r="A5751"/>
  <c r="B5750"/>
  <c r="A5750"/>
  <c r="B5749"/>
  <c r="A5749"/>
  <c r="B5748"/>
  <c r="A5748"/>
  <c r="B5747"/>
  <c r="A5747"/>
  <c r="B5746"/>
  <c r="A5746"/>
  <c r="B5745"/>
  <c r="A5745"/>
  <c r="B5744"/>
  <c r="A5744"/>
  <c r="B5743"/>
  <c r="A5743"/>
  <c r="B5742"/>
  <c r="A5742"/>
  <c r="B5741"/>
  <c r="A5741"/>
  <c r="B5740"/>
  <c r="A5740"/>
  <c r="B5739"/>
  <c r="A5739"/>
  <c r="B5738"/>
  <c r="A5738"/>
  <c r="B5737"/>
  <c r="A5737"/>
  <c r="B5736"/>
  <c r="A5736"/>
  <c r="B5735"/>
  <c r="A5735"/>
  <c r="B5734"/>
  <c r="A5734"/>
  <c r="B5733"/>
  <c r="A5733"/>
  <c r="B5732"/>
  <c r="A5732"/>
  <c r="B5731"/>
  <c r="A5731"/>
  <c r="B5730"/>
  <c r="A5730"/>
  <c r="B5729"/>
  <c r="A5729"/>
  <c r="B5728"/>
  <c r="A5728"/>
  <c r="B5727"/>
  <c r="A5727"/>
  <c r="B5726"/>
  <c r="A5726"/>
  <c r="B5725"/>
  <c r="A5725"/>
  <c r="B5724"/>
  <c r="A5724"/>
  <c r="B5723"/>
  <c r="A5723"/>
  <c r="B5722"/>
  <c r="A5722"/>
  <c r="B5721"/>
  <c r="A5721"/>
  <c r="B5720"/>
  <c r="A5720"/>
  <c r="B5719"/>
  <c r="A5719"/>
  <c r="B5718"/>
  <c r="A5718"/>
  <c r="B5717"/>
  <c r="A5717"/>
  <c r="B5716"/>
  <c r="A5716"/>
  <c r="B5715"/>
  <c r="A5715"/>
  <c r="B5714"/>
  <c r="A5714"/>
  <c r="B5713"/>
  <c r="A5713"/>
  <c r="B5712"/>
  <c r="A5712"/>
  <c r="B5711"/>
  <c r="A5711"/>
  <c r="B5710"/>
  <c r="A5710"/>
  <c r="B5709"/>
  <c r="A5709"/>
  <c r="B5708"/>
  <c r="A5708"/>
  <c r="B5707"/>
  <c r="A5707"/>
  <c r="B5706"/>
  <c r="A5706"/>
  <c r="B5705"/>
  <c r="A5705"/>
  <c r="B5704"/>
  <c r="A5704"/>
  <c r="B5703"/>
  <c r="A5703"/>
  <c r="B5702"/>
  <c r="A5702"/>
  <c r="B5701"/>
  <c r="A5701"/>
  <c r="B5700"/>
  <c r="A5700"/>
  <c r="B5699"/>
  <c r="A5699"/>
  <c r="B5698"/>
  <c r="A5698"/>
  <c r="B5697"/>
  <c r="A5697"/>
  <c r="B5696"/>
  <c r="A5696"/>
  <c r="B5695"/>
  <c r="A5695"/>
  <c r="B5694"/>
  <c r="A5694"/>
  <c r="B5693"/>
  <c r="A5693"/>
  <c r="B5692"/>
  <c r="A5692"/>
  <c r="B5691"/>
  <c r="A5691"/>
  <c r="B5690"/>
  <c r="A5690"/>
  <c r="B5689"/>
  <c r="A5689"/>
  <c r="B5688"/>
  <c r="A5688"/>
  <c r="B5687"/>
  <c r="A5687"/>
  <c r="B5686"/>
  <c r="A5686"/>
  <c r="B5685"/>
  <c r="A5685"/>
  <c r="B5684"/>
  <c r="A5684"/>
  <c r="B5683"/>
  <c r="A5683"/>
  <c r="B5682"/>
  <c r="A5682"/>
  <c r="B5681"/>
  <c r="A5681"/>
  <c r="B5680"/>
  <c r="A5680"/>
  <c r="B5679"/>
  <c r="A5679"/>
  <c r="B5678"/>
  <c r="A5678"/>
  <c r="B5677"/>
  <c r="A5677"/>
  <c r="B5676"/>
  <c r="A5676"/>
  <c r="B5675"/>
  <c r="A5675"/>
  <c r="B5674"/>
  <c r="A5674"/>
  <c r="B5673"/>
  <c r="A5673"/>
  <c r="B5672"/>
  <c r="A5672"/>
  <c r="B5671"/>
  <c r="A5671"/>
  <c r="B5670"/>
  <c r="A5670"/>
  <c r="B5669"/>
  <c r="A5669"/>
  <c r="B5668"/>
  <c r="A5668"/>
  <c r="B5667"/>
  <c r="A5667"/>
  <c r="B5666"/>
  <c r="A5666"/>
  <c r="B5665"/>
  <c r="A5665"/>
  <c r="B5664"/>
  <c r="A5664"/>
  <c r="B5663"/>
  <c r="A5663"/>
  <c r="B5662"/>
  <c r="A5662"/>
  <c r="B5661"/>
  <c r="A5661"/>
  <c r="B5660"/>
  <c r="A5660"/>
  <c r="B5659"/>
  <c r="A5659"/>
  <c r="B5658"/>
  <c r="A5658"/>
  <c r="B5657"/>
  <c r="A5657"/>
  <c r="B5656"/>
  <c r="A5656"/>
  <c r="B5655"/>
  <c r="A5655"/>
  <c r="B5654"/>
  <c r="A5654"/>
  <c r="B5653"/>
  <c r="A5653"/>
  <c r="B5652"/>
  <c r="A5652"/>
  <c r="B5651"/>
  <c r="A5651"/>
  <c r="B5650"/>
  <c r="A5650"/>
  <c r="B5649"/>
  <c r="A5649"/>
  <c r="B5648"/>
  <c r="A5648"/>
  <c r="B5647"/>
  <c r="A5647"/>
  <c r="B5646"/>
  <c r="A5646"/>
  <c r="B5645"/>
  <c r="A5645"/>
  <c r="B5644"/>
  <c r="A5644"/>
  <c r="B5643"/>
  <c r="A5643"/>
  <c r="B5642"/>
  <c r="A5642"/>
  <c r="B5641"/>
  <c r="A5641"/>
  <c r="B5640"/>
  <c r="A5640"/>
  <c r="B5639"/>
  <c r="A5639"/>
  <c r="B5638"/>
  <c r="A5638"/>
  <c r="B5637"/>
  <c r="A5637"/>
  <c r="B5636"/>
  <c r="A5636"/>
  <c r="B5635"/>
  <c r="A5635"/>
  <c r="B5634"/>
  <c r="A5634"/>
  <c r="B5633"/>
  <c r="A5633"/>
  <c r="B5632"/>
  <c r="A5632"/>
  <c r="B5631"/>
  <c r="A5631"/>
  <c r="B5630"/>
  <c r="A5630"/>
  <c r="B5629"/>
  <c r="A5629"/>
  <c r="B5628"/>
  <c r="A5628"/>
  <c r="B5627"/>
  <c r="A5627"/>
  <c r="B5626"/>
  <c r="A5626"/>
  <c r="B5625"/>
  <c r="A5625"/>
  <c r="B5624"/>
  <c r="A5624"/>
  <c r="B5623"/>
  <c r="A5623"/>
  <c r="B5622"/>
  <c r="A5622"/>
  <c r="B5621"/>
  <c r="A5621"/>
  <c r="B5620"/>
  <c r="A5620"/>
  <c r="B5619"/>
  <c r="A5619"/>
  <c r="B5618"/>
  <c r="A5618"/>
  <c r="B5617"/>
  <c r="A5617"/>
  <c r="B5616"/>
  <c r="A5616"/>
  <c r="B5615"/>
  <c r="A5615"/>
  <c r="B5614"/>
  <c r="A5614"/>
  <c r="B5613"/>
  <c r="A5613"/>
  <c r="B5612"/>
  <c r="A5612"/>
  <c r="B5611"/>
  <c r="A5611"/>
  <c r="B5610"/>
  <c r="A5610"/>
  <c r="B5609"/>
  <c r="A5609"/>
  <c r="B5608"/>
  <c r="A5608"/>
  <c r="B5607"/>
  <c r="A5607"/>
  <c r="B5606"/>
  <c r="A5606"/>
  <c r="B5605"/>
  <c r="A5605"/>
  <c r="B5604"/>
  <c r="A5604"/>
  <c r="B5603"/>
  <c r="A5603"/>
  <c r="B5602"/>
  <c r="A5602"/>
  <c r="B5601"/>
  <c r="A5601"/>
  <c r="B5600"/>
  <c r="A5600"/>
  <c r="B5599"/>
  <c r="A5599"/>
  <c r="B5598"/>
  <c r="A5598"/>
  <c r="B5597"/>
  <c r="A5597"/>
  <c r="B5596"/>
  <c r="A5596"/>
  <c r="B5595"/>
  <c r="A5595"/>
  <c r="B5594"/>
  <c r="A5594"/>
  <c r="B5593"/>
  <c r="A5593"/>
  <c r="B5592"/>
  <c r="A5592"/>
  <c r="B5591"/>
  <c r="A5591"/>
  <c r="B5590"/>
  <c r="A5590"/>
  <c r="B5589"/>
  <c r="A5589"/>
  <c r="B5588"/>
  <c r="A5588"/>
  <c r="B5587"/>
  <c r="A5587"/>
  <c r="B5586"/>
  <c r="A5586"/>
  <c r="B5585"/>
  <c r="A5585"/>
  <c r="B5584"/>
  <c r="A5584"/>
  <c r="B5583"/>
  <c r="A5583"/>
  <c r="B5582"/>
  <c r="A5582"/>
  <c r="B5581"/>
  <c r="A5581"/>
  <c r="B5580"/>
  <c r="A5580"/>
  <c r="B5579"/>
  <c r="A5579"/>
  <c r="B5578"/>
  <c r="A5578"/>
  <c r="B5577"/>
  <c r="A5577"/>
  <c r="B5576"/>
  <c r="A5576"/>
  <c r="B5575"/>
  <c r="A5575"/>
  <c r="B5574"/>
  <c r="A5574"/>
  <c r="B5573"/>
  <c r="A5573"/>
  <c r="B5572"/>
  <c r="A5572"/>
  <c r="B5571"/>
  <c r="A5571"/>
  <c r="B5570"/>
  <c r="A5570"/>
  <c r="B5569"/>
  <c r="A5569"/>
  <c r="B5568"/>
  <c r="A5568"/>
  <c r="B5567"/>
  <c r="A5567"/>
  <c r="B5566"/>
  <c r="A5566"/>
  <c r="B5565"/>
  <c r="A5565"/>
  <c r="B5564"/>
  <c r="A5564"/>
  <c r="B5563"/>
  <c r="A5563"/>
  <c r="B5562"/>
  <c r="A5562"/>
  <c r="B5561"/>
  <c r="A5561"/>
  <c r="B5560"/>
  <c r="A5560"/>
  <c r="B5559"/>
  <c r="A5559"/>
  <c r="B5558"/>
  <c r="A5558"/>
  <c r="B5557"/>
  <c r="A5557"/>
  <c r="B5556"/>
  <c r="A5556"/>
  <c r="B5555"/>
  <c r="A5555"/>
  <c r="B5554"/>
  <c r="A5554"/>
  <c r="B5553"/>
  <c r="A5553"/>
  <c r="B5552"/>
  <c r="A5552"/>
  <c r="B5551"/>
  <c r="A5551"/>
  <c r="B5550"/>
  <c r="A5550"/>
  <c r="B5549"/>
  <c r="A5549"/>
  <c r="B5548"/>
  <c r="A5548"/>
  <c r="B5547"/>
  <c r="A5547"/>
  <c r="B5546"/>
  <c r="A5546"/>
  <c r="B5545"/>
  <c r="A5545"/>
  <c r="B5544"/>
  <c r="A5544"/>
  <c r="B5543"/>
  <c r="A5543"/>
  <c r="B5542"/>
  <c r="A5542"/>
  <c r="B5541"/>
  <c r="A5541"/>
  <c r="B5540"/>
  <c r="A5540"/>
  <c r="B5539"/>
  <c r="A5539"/>
  <c r="B5538"/>
  <c r="A5538"/>
  <c r="B5537"/>
  <c r="A5537"/>
  <c r="B5536"/>
  <c r="A5536"/>
  <c r="B5535"/>
  <c r="A5535"/>
  <c r="B5534"/>
  <c r="A5534"/>
  <c r="B5533"/>
  <c r="A5533"/>
  <c r="B5532"/>
  <c r="A5532"/>
  <c r="B5531"/>
  <c r="A5531"/>
  <c r="B5530"/>
  <c r="A5530"/>
  <c r="B5529"/>
  <c r="A5529"/>
  <c r="B5528"/>
  <c r="A5528"/>
  <c r="B5527"/>
  <c r="A5527"/>
  <c r="B5526"/>
  <c r="A5526"/>
  <c r="B5525"/>
  <c r="A5525"/>
  <c r="B5524"/>
  <c r="A5524"/>
  <c r="B5523"/>
  <c r="A5523"/>
  <c r="B5522"/>
  <c r="A5522"/>
  <c r="B5521"/>
  <c r="A5521"/>
  <c r="B5520"/>
  <c r="A5520"/>
  <c r="B5519"/>
  <c r="A5519"/>
  <c r="B5518"/>
  <c r="A5518"/>
  <c r="B5517"/>
  <c r="A5517"/>
  <c r="B5516"/>
  <c r="A5516"/>
  <c r="B5515"/>
  <c r="A5515"/>
  <c r="B5514"/>
  <c r="A5514"/>
  <c r="B5513"/>
  <c r="A5513"/>
  <c r="B5512"/>
  <c r="A5512"/>
  <c r="B5511"/>
  <c r="A5511"/>
  <c r="B5510"/>
  <c r="A5510"/>
  <c r="B5509"/>
  <c r="A5509"/>
  <c r="B5508"/>
  <c r="A5508"/>
  <c r="B5507"/>
  <c r="A5507"/>
  <c r="B5506"/>
  <c r="A5506"/>
  <c r="B5505"/>
  <c r="A5505"/>
  <c r="B5504"/>
  <c r="A5504"/>
  <c r="B5503"/>
  <c r="A5503"/>
  <c r="B5502"/>
  <c r="A5502"/>
  <c r="B5501"/>
  <c r="A5501"/>
  <c r="B5500"/>
  <c r="A5500"/>
  <c r="B5499"/>
  <c r="A5499"/>
  <c r="B5498"/>
  <c r="A5498"/>
  <c r="B5497"/>
  <c r="A5497"/>
  <c r="B5496"/>
  <c r="A5496"/>
  <c r="B5495"/>
  <c r="A5495"/>
  <c r="B5494"/>
  <c r="A5494"/>
  <c r="B5493"/>
  <c r="A5493"/>
  <c r="B5492"/>
  <c r="A5492"/>
  <c r="B5491"/>
  <c r="A5491"/>
  <c r="B5490"/>
  <c r="A5490"/>
  <c r="B5489"/>
  <c r="A5489"/>
  <c r="B5488"/>
  <c r="A5488"/>
  <c r="B5487"/>
  <c r="A5487"/>
  <c r="B5486"/>
  <c r="A5486"/>
  <c r="B5485"/>
  <c r="A5485"/>
  <c r="B5484"/>
  <c r="A5484"/>
  <c r="B5483"/>
  <c r="A5483"/>
  <c r="B5482"/>
  <c r="A5482"/>
  <c r="B5481"/>
  <c r="A5481"/>
  <c r="B5480"/>
  <c r="A5480"/>
  <c r="B5479"/>
  <c r="A5479"/>
  <c r="B5478"/>
  <c r="A5478"/>
  <c r="B5477"/>
  <c r="A5477"/>
  <c r="B5476"/>
  <c r="A5476"/>
  <c r="B5475"/>
  <c r="A5475"/>
  <c r="B5474"/>
  <c r="A5474"/>
  <c r="B5473"/>
  <c r="A5473"/>
  <c r="B5472"/>
  <c r="A5472"/>
  <c r="B5471"/>
  <c r="A5471"/>
  <c r="B5470"/>
  <c r="A5470"/>
  <c r="B5469"/>
  <c r="A5469"/>
  <c r="B5468"/>
  <c r="A5468"/>
  <c r="B5467"/>
  <c r="A5467"/>
  <c r="B5466"/>
  <c r="A5466"/>
  <c r="B5465"/>
  <c r="A5465"/>
  <c r="B5464"/>
  <c r="A5464"/>
  <c r="B5463"/>
  <c r="A5463"/>
  <c r="B5462"/>
  <c r="A5462"/>
  <c r="B5461"/>
  <c r="A5461"/>
  <c r="B5460"/>
  <c r="A5460"/>
  <c r="B5459"/>
  <c r="A5459"/>
  <c r="B5458"/>
  <c r="A5458"/>
  <c r="B5457"/>
  <c r="A5457"/>
  <c r="B5456"/>
  <c r="A5456"/>
  <c r="B5455"/>
  <c r="A5455"/>
  <c r="B5454"/>
  <c r="A5454"/>
  <c r="B5453"/>
  <c r="A5453"/>
  <c r="B5452"/>
  <c r="A5452"/>
  <c r="B5451"/>
  <c r="A5451"/>
  <c r="B5450"/>
  <c r="A5450"/>
  <c r="B5449"/>
  <c r="A5449"/>
  <c r="B5448"/>
  <c r="A5448"/>
  <c r="B5447"/>
  <c r="A5447"/>
  <c r="B5446"/>
  <c r="A5446"/>
  <c r="B5445"/>
  <c r="A5445"/>
  <c r="B5444"/>
  <c r="A5444"/>
  <c r="B5443"/>
  <c r="A5443"/>
  <c r="B5442"/>
  <c r="A5442"/>
  <c r="B5441"/>
  <c r="A5441"/>
  <c r="B5440"/>
  <c r="A5440"/>
  <c r="B5439"/>
  <c r="A5439"/>
  <c r="B5438"/>
  <c r="A5438"/>
  <c r="B5437"/>
  <c r="A5437"/>
  <c r="B5436"/>
  <c r="A5436"/>
  <c r="B5435"/>
  <c r="A5435"/>
  <c r="B5434"/>
  <c r="A5434"/>
  <c r="B5433"/>
  <c r="A5433"/>
  <c r="B5432"/>
  <c r="A5432"/>
  <c r="B5431"/>
  <c r="A5431"/>
  <c r="B5430"/>
  <c r="A5430"/>
  <c r="B5429"/>
  <c r="A5429"/>
  <c r="B5428"/>
  <c r="A5428"/>
  <c r="B5427"/>
  <c r="A5427"/>
  <c r="B5426"/>
  <c r="A5426"/>
  <c r="B5425"/>
  <c r="A5425"/>
  <c r="B5424"/>
  <c r="A5424"/>
  <c r="B5423"/>
  <c r="A5423"/>
  <c r="B5422"/>
  <c r="A5422"/>
  <c r="B5421"/>
  <c r="A5421"/>
  <c r="B5420"/>
  <c r="A5420"/>
  <c r="B5419"/>
  <c r="A5419"/>
  <c r="B5418"/>
  <c r="A5418"/>
  <c r="B5417"/>
  <c r="A5417"/>
  <c r="B5416"/>
  <c r="A5416"/>
  <c r="B5415"/>
  <c r="A5415"/>
  <c r="B5414"/>
  <c r="A5414"/>
  <c r="B5413"/>
  <c r="A5413"/>
  <c r="B5412"/>
  <c r="A5412"/>
  <c r="B5411"/>
  <c r="A5411"/>
  <c r="B5410"/>
  <c r="A5410"/>
  <c r="B5409"/>
  <c r="A5409"/>
  <c r="B5408"/>
  <c r="A5408"/>
  <c r="B5407"/>
  <c r="A5407"/>
  <c r="B5406"/>
  <c r="A5406"/>
  <c r="B5405"/>
  <c r="A5405"/>
  <c r="B5404"/>
  <c r="A5404"/>
  <c r="B5403"/>
  <c r="A5403"/>
  <c r="B5402"/>
  <c r="A5402"/>
  <c r="B5401"/>
  <c r="A5401"/>
  <c r="B5400"/>
  <c r="A5400"/>
  <c r="B5399"/>
  <c r="A5399"/>
  <c r="B5398"/>
  <c r="A5398"/>
  <c r="B5397"/>
  <c r="A5397"/>
  <c r="B5396"/>
  <c r="A5396"/>
  <c r="B5395"/>
  <c r="A5395"/>
  <c r="B5394"/>
  <c r="A5394"/>
  <c r="B5393"/>
  <c r="A5393"/>
  <c r="B5392"/>
  <c r="A5392"/>
  <c r="B5391"/>
  <c r="A5391"/>
  <c r="B5390"/>
  <c r="A5390"/>
  <c r="B5389"/>
  <c r="A5389"/>
  <c r="B5388"/>
  <c r="A5388"/>
  <c r="B5387"/>
  <c r="A5387"/>
  <c r="B5386"/>
  <c r="A5386"/>
  <c r="B5385"/>
  <c r="A5385"/>
  <c r="B5384"/>
  <c r="A5384"/>
  <c r="B5383"/>
  <c r="A5383"/>
  <c r="B5382"/>
  <c r="A5382"/>
  <c r="B5381"/>
  <c r="A5381"/>
  <c r="B5380"/>
  <c r="A5380"/>
  <c r="B5379"/>
  <c r="A5379"/>
  <c r="B5378"/>
  <c r="A5378"/>
  <c r="B5377"/>
  <c r="A5377"/>
  <c r="B5376"/>
  <c r="A5376"/>
  <c r="B5375"/>
  <c r="A5375"/>
  <c r="B5374"/>
  <c r="A5374"/>
  <c r="B5373"/>
  <c r="A5373"/>
  <c r="B5372"/>
  <c r="A5372"/>
  <c r="B5371"/>
  <c r="A5371"/>
  <c r="B5370"/>
  <c r="A5370"/>
  <c r="B5369"/>
  <c r="A5369"/>
  <c r="B5368"/>
  <c r="A5368"/>
  <c r="B5367"/>
  <c r="A5367"/>
  <c r="B5366"/>
  <c r="A5366"/>
  <c r="B5365"/>
  <c r="A5365"/>
  <c r="B5364"/>
  <c r="A5364"/>
  <c r="B5363"/>
  <c r="A5363"/>
  <c r="B5362"/>
  <c r="A5362"/>
  <c r="B5361"/>
  <c r="A5361"/>
  <c r="B5360"/>
  <c r="A5360"/>
  <c r="B5359"/>
  <c r="A5359"/>
  <c r="B5358"/>
  <c r="A5358"/>
  <c r="B5357"/>
  <c r="A5357"/>
  <c r="B5356"/>
  <c r="A5356"/>
  <c r="B5355"/>
  <c r="A5355"/>
  <c r="B5354"/>
  <c r="A5354"/>
  <c r="B5353"/>
  <c r="A5353"/>
  <c r="B5352"/>
  <c r="A5352"/>
  <c r="B5351"/>
  <c r="A5351"/>
  <c r="B5350"/>
  <c r="A5350"/>
  <c r="B5349"/>
  <c r="A5349"/>
  <c r="B5348"/>
  <c r="A5348"/>
  <c r="B5347"/>
  <c r="A5347"/>
  <c r="B5346"/>
  <c r="A5346"/>
  <c r="B5345"/>
  <c r="A5345"/>
  <c r="B5344"/>
  <c r="A5344"/>
  <c r="B5343"/>
  <c r="A5343"/>
  <c r="B5342"/>
  <c r="A5342"/>
  <c r="B5341"/>
  <c r="A5341"/>
  <c r="B5340"/>
  <c r="A5340"/>
  <c r="B5339"/>
  <c r="A5339"/>
  <c r="A5338"/>
  <c r="B5337"/>
  <c r="A5337"/>
  <c r="B5336"/>
  <c r="A5336"/>
  <c r="B5335"/>
  <c r="A5335"/>
  <c r="B5334"/>
  <c r="A5334"/>
  <c r="B5333"/>
  <c r="A5333"/>
  <c r="B5332"/>
  <c r="A5332"/>
  <c r="B5331"/>
  <c r="A5331"/>
  <c r="B5330"/>
  <c r="A5330"/>
  <c r="B5329"/>
  <c r="A5329"/>
  <c r="B5328"/>
  <c r="A5328"/>
  <c r="B5327"/>
  <c r="A5327"/>
  <c r="B5326"/>
  <c r="A5326"/>
  <c r="B5325"/>
  <c r="A5325"/>
  <c r="B5324"/>
  <c r="A5324"/>
  <c r="B5323"/>
  <c r="A5323"/>
  <c r="B5322"/>
  <c r="A5322"/>
  <c r="B5321"/>
  <c r="A5321"/>
  <c r="B5320"/>
  <c r="A5320"/>
  <c r="B5319"/>
  <c r="A5319"/>
  <c r="B5318"/>
  <c r="A5318"/>
  <c r="B5317"/>
  <c r="A5317"/>
  <c r="B5316"/>
  <c r="A5316"/>
  <c r="B5315"/>
  <c r="A5315"/>
  <c r="B5314"/>
  <c r="A5314"/>
  <c r="B5313"/>
  <c r="A5313"/>
  <c r="B5312"/>
  <c r="A5312"/>
  <c r="B5311"/>
  <c r="A5311"/>
  <c r="B5310"/>
  <c r="A5310"/>
  <c r="B5309"/>
  <c r="A5309"/>
  <c r="B5308"/>
  <c r="A5308"/>
  <c r="B5307"/>
  <c r="A5307"/>
  <c r="B5306"/>
  <c r="A5306"/>
  <c r="B5305"/>
  <c r="A5305"/>
  <c r="B5304"/>
  <c r="A5304"/>
  <c r="B5303"/>
  <c r="A5303"/>
  <c r="B5302"/>
  <c r="A5302"/>
  <c r="B5301"/>
  <c r="A5301"/>
  <c r="B5300"/>
  <c r="A5300"/>
  <c r="B5299"/>
  <c r="A5299"/>
  <c r="B5298"/>
  <c r="A5298"/>
  <c r="B5297"/>
  <c r="A5297"/>
  <c r="B5296"/>
  <c r="A5296"/>
  <c r="B5295"/>
  <c r="A5295"/>
  <c r="B5294"/>
  <c r="A5294"/>
  <c r="B5293"/>
  <c r="A5293"/>
  <c r="B5292"/>
  <c r="A5292"/>
  <c r="B5291"/>
  <c r="A5291"/>
  <c r="B5290"/>
  <c r="A5290"/>
  <c r="B5289"/>
  <c r="A5289"/>
  <c r="B5288"/>
  <c r="A5288"/>
  <c r="B5287"/>
  <c r="A5287"/>
  <c r="B5286"/>
  <c r="A5286"/>
  <c r="B5285"/>
  <c r="A5285"/>
  <c r="B5284"/>
  <c r="A5284"/>
  <c r="B5283"/>
  <c r="A5283"/>
  <c r="B5282"/>
  <c r="A5282"/>
  <c r="B5281"/>
  <c r="A5281"/>
  <c r="B5280"/>
  <c r="A5280"/>
  <c r="B5279"/>
  <c r="A5279"/>
  <c r="B5278"/>
  <c r="A5278"/>
  <c r="B5277"/>
  <c r="A5277"/>
  <c r="B5276"/>
  <c r="A5276"/>
  <c r="B5275"/>
  <c r="A5275"/>
  <c r="B5274"/>
  <c r="A5274"/>
  <c r="B5273"/>
  <c r="A5273"/>
  <c r="B5272"/>
  <c r="A5272"/>
  <c r="B5271"/>
  <c r="A5271"/>
  <c r="B5270"/>
  <c r="A5270"/>
  <c r="B5269"/>
  <c r="A5269"/>
  <c r="B5268"/>
  <c r="A5268"/>
  <c r="B5267"/>
  <c r="A5267"/>
  <c r="B5266"/>
  <c r="A5266"/>
  <c r="B5265"/>
  <c r="A5265"/>
  <c r="B5264"/>
  <c r="A5264"/>
  <c r="B5263"/>
  <c r="A5263"/>
  <c r="B5262"/>
  <c r="A5262"/>
  <c r="B5261"/>
  <c r="A5261"/>
  <c r="B5260"/>
  <c r="A5260"/>
  <c r="B5259"/>
  <c r="A5259"/>
  <c r="B5258"/>
  <c r="A5258"/>
  <c r="B5257"/>
  <c r="A5257"/>
  <c r="B5256"/>
  <c r="A5256"/>
  <c r="B5255"/>
  <c r="A5255"/>
  <c r="B5254"/>
  <c r="A5254"/>
  <c r="B5253"/>
  <c r="A5253"/>
  <c r="B5252"/>
  <c r="A5252"/>
  <c r="B5251"/>
  <c r="A5251"/>
  <c r="B5250"/>
  <c r="A5250"/>
  <c r="B5249"/>
  <c r="A5249"/>
  <c r="B5248"/>
  <c r="A5248"/>
  <c r="B5247"/>
  <c r="A5247"/>
  <c r="B5246"/>
  <c r="A5246"/>
  <c r="B5245"/>
  <c r="A5245"/>
  <c r="B5244"/>
  <c r="A5244"/>
  <c r="B5243"/>
  <c r="A5243"/>
  <c r="B5242"/>
  <c r="A5242"/>
  <c r="B5241"/>
  <c r="A5241"/>
  <c r="B5240"/>
  <c r="A5240"/>
  <c r="B5239"/>
  <c r="A5239"/>
  <c r="B5238"/>
  <c r="A5238"/>
  <c r="B5237"/>
  <c r="A5237"/>
  <c r="B5236"/>
  <c r="A5236"/>
  <c r="B5235"/>
  <c r="A5235"/>
  <c r="B5234"/>
  <c r="A5234"/>
  <c r="B5233"/>
  <c r="A5233"/>
  <c r="B5232"/>
  <c r="A5232"/>
  <c r="B5231"/>
  <c r="A5231"/>
  <c r="B5230"/>
  <c r="A5230"/>
  <c r="B5229"/>
  <c r="A5229"/>
  <c r="B5228"/>
  <c r="A5228"/>
  <c r="B5227"/>
  <c r="A5227"/>
  <c r="B5226"/>
  <c r="A5226"/>
  <c r="B5225"/>
  <c r="A5225"/>
  <c r="B5224"/>
  <c r="A5224"/>
  <c r="B5223"/>
  <c r="A5223"/>
  <c r="B5222"/>
  <c r="A5222"/>
  <c r="B5221"/>
  <c r="A5221"/>
  <c r="B5220"/>
  <c r="A5220"/>
  <c r="B5219"/>
  <c r="A5219"/>
  <c r="B5218"/>
  <c r="A5218"/>
  <c r="B5217"/>
  <c r="A5217"/>
  <c r="B5216"/>
  <c r="A5216"/>
  <c r="B5215"/>
  <c r="A5215"/>
  <c r="B5214"/>
  <c r="A5214"/>
  <c r="B5213"/>
  <c r="A5213"/>
  <c r="B5212"/>
  <c r="A5212"/>
  <c r="B5211"/>
  <c r="A5211"/>
  <c r="B5210"/>
  <c r="A5210"/>
  <c r="B5209"/>
  <c r="A5209"/>
  <c r="B5208"/>
  <c r="A5208"/>
  <c r="B5207"/>
  <c r="A5207"/>
  <c r="B5206"/>
  <c r="A5206"/>
  <c r="B5205"/>
  <c r="A5205"/>
  <c r="B5204"/>
  <c r="A5204"/>
  <c r="B5203"/>
  <c r="A5203"/>
  <c r="B5202"/>
  <c r="A5202"/>
  <c r="B5201"/>
  <c r="A5201"/>
  <c r="B5200"/>
  <c r="A5200"/>
  <c r="B5199"/>
  <c r="A5199"/>
  <c r="B5198"/>
  <c r="A5198"/>
  <c r="B5197"/>
  <c r="A5197"/>
  <c r="B5196"/>
  <c r="A5196"/>
  <c r="B5195"/>
  <c r="A5195"/>
  <c r="B5194"/>
  <c r="A5194"/>
  <c r="B5193"/>
  <c r="A5193"/>
  <c r="B5192"/>
  <c r="A5192"/>
  <c r="B5191"/>
  <c r="A5191"/>
  <c r="B5190"/>
  <c r="A5190"/>
  <c r="B5189"/>
  <c r="A5189"/>
  <c r="B5188"/>
  <c r="A5188"/>
  <c r="B5187"/>
  <c r="A5187"/>
  <c r="B5186"/>
  <c r="A5186"/>
  <c r="B5185"/>
  <c r="A5185"/>
  <c r="B5184"/>
  <c r="A5184"/>
  <c r="B5183"/>
  <c r="A5183"/>
  <c r="B5182"/>
  <c r="A5182"/>
  <c r="B5181"/>
  <c r="A5181"/>
  <c r="B5180"/>
  <c r="A5180"/>
  <c r="B5179"/>
  <c r="A5179"/>
  <c r="B5178"/>
  <c r="A5178"/>
  <c r="B5177"/>
  <c r="A5177"/>
  <c r="B5176"/>
  <c r="A5176"/>
  <c r="B5175"/>
  <c r="A5175"/>
  <c r="B5174"/>
  <c r="A5174"/>
  <c r="B5173"/>
  <c r="A5173"/>
  <c r="B5172"/>
  <c r="A5172"/>
  <c r="B5171"/>
  <c r="A5171"/>
  <c r="B5170"/>
  <c r="A5170"/>
  <c r="B5169"/>
  <c r="A5169"/>
  <c r="B5168"/>
  <c r="A5168"/>
  <c r="B5167"/>
  <c r="A5167"/>
  <c r="B5166"/>
  <c r="A5166"/>
  <c r="B5165"/>
  <c r="A5165"/>
  <c r="B5164"/>
  <c r="A5164"/>
  <c r="B5163"/>
  <c r="A5163"/>
  <c r="B5162"/>
  <c r="A5162"/>
  <c r="B5161"/>
  <c r="A5161"/>
  <c r="B5160"/>
  <c r="A5160"/>
  <c r="B5159"/>
  <c r="A5159"/>
  <c r="B5158"/>
  <c r="A5158"/>
  <c r="B5157"/>
  <c r="A5157"/>
  <c r="B5156"/>
  <c r="A5156"/>
  <c r="B5155"/>
  <c r="A5155"/>
  <c r="B5154"/>
  <c r="A5154"/>
  <c r="B5153"/>
  <c r="A5153"/>
  <c r="B5152"/>
  <c r="A5152"/>
  <c r="B5151"/>
  <c r="A5151"/>
  <c r="B5150"/>
  <c r="A5150"/>
  <c r="B5149"/>
  <c r="A5149"/>
  <c r="B5148"/>
  <c r="A5148"/>
  <c r="B5147"/>
  <c r="A5147"/>
  <c r="B5146"/>
  <c r="A5146"/>
  <c r="B5145"/>
  <c r="A5145"/>
  <c r="B5144"/>
  <c r="A5144"/>
  <c r="B5143"/>
  <c r="A5143"/>
  <c r="B5142"/>
  <c r="A5142"/>
  <c r="B5141"/>
  <c r="A5141"/>
  <c r="B5140"/>
  <c r="A5140"/>
  <c r="B5139"/>
  <c r="A5139"/>
  <c r="B5138"/>
  <c r="A5138"/>
  <c r="B5137"/>
  <c r="A5137"/>
  <c r="B5136"/>
  <c r="A5136"/>
  <c r="B5135"/>
  <c r="A5135"/>
  <c r="B5134"/>
  <c r="A5134"/>
  <c r="B5133"/>
  <c r="A5133"/>
  <c r="B5132"/>
  <c r="A5132"/>
  <c r="B5131"/>
  <c r="A5131"/>
  <c r="B5130"/>
  <c r="A5130"/>
  <c r="B5129"/>
  <c r="A5129"/>
  <c r="B5128"/>
  <c r="A5128"/>
  <c r="B5127"/>
  <c r="A5127"/>
  <c r="B5126"/>
  <c r="A5126"/>
  <c r="B5125"/>
  <c r="A5125"/>
  <c r="B5124"/>
  <c r="A5124"/>
  <c r="B5123"/>
  <c r="A5123"/>
  <c r="B5122"/>
  <c r="A5122"/>
  <c r="B5121"/>
  <c r="A5121"/>
  <c r="B5120"/>
  <c r="A5120"/>
  <c r="B5119"/>
  <c r="A5119"/>
  <c r="B5118"/>
  <c r="A5118"/>
  <c r="B5117"/>
  <c r="A5117"/>
  <c r="B5116"/>
  <c r="A5116"/>
  <c r="B5115"/>
  <c r="A5115"/>
  <c r="B5114"/>
  <c r="A5114"/>
  <c r="B5113"/>
  <c r="A5113"/>
  <c r="B5112"/>
  <c r="A5112"/>
  <c r="B5111"/>
  <c r="A5111"/>
  <c r="B5110"/>
  <c r="A5110"/>
  <c r="B5109"/>
  <c r="A5109"/>
  <c r="B5108"/>
  <c r="A5108"/>
  <c r="B5107"/>
  <c r="A5107"/>
  <c r="B5106"/>
  <c r="A5106"/>
  <c r="B5105"/>
  <c r="A5105"/>
  <c r="B5104"/>
  <c r="A5104"/>
  <c r="B5103"/>
  <c r="A5103"/>
  <c r="B5102"/>
  <c r="A5102"/>
  <c r="B5101"/>
  <c r="A5101"/>
  <c r="B5100"/>
  <c r="A5100"/>
  <c r="B5099"/>
  <c r="A5099"/>
  <c r="B5098"/>
  <c r="A5098"/>
  <c r="B5097"/>
  <c r="A5097"/>
  <c r="B5096"/>
  <c r="A5096"/>
  <c r="B5095"/>
  <c r="A5095"/>
  <c r="B5094"/>
  <c r="A5094"/>
  <c r="B5093"/>
  <c r="A5093"/>
  <c r="B5092"/>
  <c r="A5092"/>
  <c r="B5091"/>
  <c r="A5091"/>
  <c r="B5090"/>
  <c r="A5090"/>
  <c r="B5089"/>
  <c r="A5089"/>
  <c r="B5088"/>
  <c r="A5088"/>
  <c r="B5087"/>
  <c r="A5087"/>
  <c r="B5086"/>
  <c r="A5086"/>
  <c r="B5085"/>
  <c r="A5085"/>
  <c r="B5084"/>
  <c r="A5084"/>
  <c r="B5083"/>
  <c r="A5083"/>
  <c r="B5082"/>
  <c r="A5082"/>
  <c r="B5081"/>
  <c r="A5081"/>
  <c r="B5080"/>
  <c r="A5080"/>
  <c r="B5079"/>
  <c r="A5079"/>
  <c r="B5078"/>
  <c r="A5078"/>
  <c r="B5077"/>
  <c r="A5077"/>
  <c r="B5076"/>
  <c r="A5076"/>
  <c r="B5075"/>
  <c r="A5075"/>
  <c r="B5074"/>
  <c r="A5074"/>
  <c r="B5073"/>
  <c r="A5073"/>
  <c r="B5072"/>
  <c r="A5072"/>
  <c r="B5071"/>
  <c r="A5071"/>
  <c r="B5070"/>
  <c r="A5070"/>
  <c r="B5069"/>
  <c r="A5069"/>
  <c r="B5068"/>
  <c r="A5068"/>
  <c r="B5067"/>
  <c r="A5067"/>
  <c r="B5066"/>
  <c r="A5066"/>
  <c r="B5065"/>
  <c r="A5065"/>
  <c r="B5064"/>
  <c r="A5064"/>
  <c r="B5063"/>
  <c r="A5063"/>
  <c r="B5062"/>
  <c r="A5062"/>
  <c r="B5061"/>
  <c r="A5061"/>
  <c r="B5060"/>
  <c r="A5060"/>
  <c r="B5059"/>
  <c r="A5059"/>
  <c r="B5058"/>
  <c r="A5058"/>
  <c r="B5057"/>
  <c r="A5057"/>
  <c r="B5056"/>
  <c r="A5056"/>
  <c r="B5055"/>
  <c r="A5055"/>
  <c r="B5054"/>
  <c r="A5054"/>
  <c r="B5053"/>
  <c r="A5053"/>
  <c r="B5052"/>
  <c r="A5052"/>
  <c r="B5051"/>
  <c r="A5051"/>
  <c r="B5050"/>
  <c r="A5050"/>
  <c r="B5049"/>
  <c r="A5049"/>
  <c r="B5048"/>
  <c r="A5048"/>
  <c r="B5047"/>
  <c r="A5047"/>
  <c r="B5046"/>
  <c r="A5046"/>
  <c r="B5045"/>
  <c r="A5045"/>
  <c r="B5044"/>
  <c r="A5044"/>
  <c r="B5043"/>
  <c r="A5043"/>
  <c r="B5042"/>
  <c r="A5042"/>
  <c r="B5041"/>
  <c r="A5041"/>
  <c r="B5040"/>
  <c r="A5040"/>
  <c r="B5039"/>
  <c r="A5039"/>
  <c r="B5038"/>
  <c r="A5038"/>
  <c r="B5037"/>
  <c r="A5037"/>
  <c r="B5036"/>
  <c r="A5036"/>
  <c r="B5035"/>
  <c r="A5035"/>
  <c r="B5034"/>
  <c r="A5034"/>
  <c r="B5033"/>
  <c r="A5033"/>
  <c r="B5032"/>
  <c r="A5032"/>
  <c r="B5031"/>
  <c r="A5031"/>
  <c r="B5030"/>
  <c r="A5030"/>
  <c r="B5029"/>
  <c r="A5029"/>
  <c r="B5028"/>
  <c r="A5028"/>
  <c r="B5027"/>
  <c r="A5027"/>
  <c r="B5026"/>
  <c r="A5026"/>
  <c r="B5025"/>
  <c r="A5025"/>
  <c r="B5024"/>
  <c r="A5024"/>
  <c r="B5023"/>
  <c r="A5023"/>
  <c r="B5022"/>
  <c r="A5022"/>
  <c r="B5021"/>
  <c r="A5021"/>
  <c r="B5020"/>
  <c r="A5020"/>
  <c r="B5019"/>
  <c r="A5019"/>
  <c r="B5018"/>
  <c r="A5018"/>
  <c r="B5017"/>
  <c r="A5017"/>
  <c r="B5016"/>
  <c r="A5016"/>
  <c r="B5015"/>
  <c r="A5015"/>
  <c r="B5014"/>
  <c r="A5014"/>
  <c r="B5013"/>
  <c r="A5013"/>
  <c r="B5012"/>
  <c r="A5012"/>
  <c r="B5011"/>
  <c r="A5011"/>
  <c r="B5010"/>
  <c r="A5010"/>
  <c r="B5009"/>
  <c r="A5009"/>
  <c r="B5008"/>
  <c r="A5008"/>
  <c r="B5007"/>
  <c r="A5007"/>
  <c r="B5006"/>
  <c r="A5006"/>
  <c r="B5005"/>
  <c r="A5005"/>
  <c r="B5004"/>
  <c r="A5004"/>
  <c r="B5003"/>
  <c r="A5003"/>
  <c r="B5002"/>
  <c r="A5002"/>
  <c r="B5001"/>
  <c r="A5001"/>
  <c r="B75"/>
  <c r="A75"/>
  <c r="N1519" i="19" l="1"/>
  <c r="N1518"/>
  <c r="N1517"/>
  <c r="N1516"/>
  <c r="N1515"/>
  <c r="N1514"/>
  <c r="N1513"/>
  <c r="N1512"/>
  <c r="N1511"/>
  <c r="N1510"/>
  <c r="N1509"/>
  <c r="N1508"/>
  <c r="N1507"/>
  <c r="N1506"/>
  <c r="N1505"/>
  <c r="N1504"/>
  <c r="N1503"/>
  <c r="N1502"/>
  <c r="N1501"/>
  <c r="N1500"/>
  <c r="N1499"/>
  <c r="N1498"/>
  <c r="N1497"/>
  <c r="N1496"/>
  <c r="N1495"/>
  <c r="N1494"/>
  <c r="N1493"/>
  <c r="N1492"/>
  <c r="N1491"/>
  <c r="N1490"/>
  <c r="N1489"/>
  <c r="N1488"/>
  <c r="N1487"/>
  <c r="N1486"/>
  <c r="N1485"/>
  <c r="N1484"/>
  <c r="N1483"/>
  <c r="N1482"/>
  <c r="N1481"/>
  <c r="N1480"/>
  <c r="N1479"/>
  <c r="N1478"/>
  <c r="N1477"/>
  <c r="N1476"/>
  <c r="N1475"/>
  <c r="N1474"/>
  <c r="N1473"/>
  <c r="N1472"/>
  <c r="N1471"/>
  <c r="N1470"/>
  <c r="N1469"/>
  <c r="N1468"/>
  <c r="N1467"/>
  <c r="N1466"/>
  <c r="N1465"/>
  <c r="N1464"/>
  <c r="N1463"/>
  <c r="N1462"/>
  <c r="N1461"/>
  <c r="N1460"/>
  <c r="N1459"/>
  <c r="N1458"/>
  <c r="N1457"/>
  <c r="N1456"/>
  <c r="N1455"/>
  <c r="N1454"/>
  <c r="N1453"/>
  <c r="N1452"/>
  <c r="N1451"/>
  <c r="N1450"/>
  <c r="N1449"/>
  <c r="N1448"/>
  <c r="N1447"/>
  <c r="N1446"/>
  <c r="N1445"/>
  <c r="N1444"/>
  <c r="N1443"/>
  <c r="N1442"/>
  <c r="N1441"/>
  <c r="N1440"/>
  <c r="N1439"/>
  <c r="N1438"/>
  <c r="N1437"/>
  <c r="N1436"/>
  <c r="N1435"/>
  <c r="N1434"/>
  <c r="N1433"/>
  <c r="N1432"/>
  <c r="N1431"/>
  <c r="N1430"/>
  <c r="N1429"/>
  <c r="N1428"/>
  <c r="N1427"/>
  <c r="N1426"/>
  <c r="N1425"/>
  <c r="N1424"/>
  <c r="N1423"/>
  <c r="N1422"/>
  <c r="N1421"/>
  <c r="N1420"/>
  <c r="N1419"/>
  <c r="N1418"/>
  <c r="N1417"/>
  <c r="N1416"/>
  <c r="N1415"/>
  <c r="N1414"/>
  <c r="N1413"/>
  <c r="N1412"/>
  <c r="N1411"/>
  <c r="N1410"/>
  <c r="N1409"/>
  <c r="N1408"/>
  <c r="N1407"/>
  <c r="N1406"/>
  <c r="N1405"/>
  <c r="N1404"/>
  <c r="N1403"/>
  <c r="N1402"/>
  <c r="N1401"/>
  <c r="N1400"/>
  <c r="N1399"/>
  <c r="N1398"/>
  <c r="N1397"/>
  <c r="N1396"/>
  <c r="N1395"/>
  <c r="N1394"/>
  <c r="N1393"/>
  <c r="N1392"/>
  <c r="N1391"/>
  <c r="N1390"/>
  <c r="N1389"/>
  <c r="N1388"/>
  <c r="N1387"/>
  <c r="N1386"/>
  <c r="N1385"/>
  <c r="N1384"/>
  <c r="N1383"/>
  <c r="N1382"/>
  <c r="N1381"/>
  <c r="N1380"/>
  <c r="N1379"/>
  <c r="N1378"/>
  <c r="N1377"/>
  <c r="N1376"/>
  <c r="N1375"/>
  <c r="N1374"/>
  <c r="N1373"/>
  <c r="N1372"/>
  <c r="N1371"/>
  <c r="N1370"/>
  <c r="N1369"/>
  <c r="N1368"/>
  <c r="N1367"/>
  <c r="N1366"/>
  <c r="N1365"/>
  <c r="N1364"/>
  <c r="N1363"/>
  <c r="N1362"/>
  <c r="N1361"/>
  <c r="N1360"/>
  <c r="N1359"/>
  <c r="N1358"/>
  <c r="N1357"/>
  <c r="N1356"/>
  <c r="N1355"/>
  <c r="N1354"/>
  <c r="N1353"/>
  <c r="N1352"/>
  <c r="N1351"/>
  <c r="N1350"/>
  <c r="N1349"/>
  <c r="N1348"/>
  <c r="N1347"/>
  <c r="N1346"/>
  <c r="N1345"/>
  <c r="N1344"/>
  <c r="N1343"/>
  <c r="N1342"/>
  <c r="N1341"/>
  <c r="N1340"/>
  <c r="N1339"/>
  <c r="N1338"/>
  <c r="N1337"/>
  <c r="N1336"/>
  <c r="N1335"/>
  <c r="N1334"/>
  <c r="N1333"/>
  <c r="N1332"/>
  <c r="N1331"/>
  <c r="N1330"/>
  <c r="N1329"/>
  <c r="N1328"/>
  <c r="N1327"/>
  <c r="N1326"/>
  <c r="N1325"/>
  <c r="N1324"/>
  <c r="N1323"/>
  <c r="N1322"/>
  <c r="N1321"/>
  <c r="N1320"/>
  <c r="N1319"/>
  <c r="N1318"/>
  <c r="N1317"/>
  <c r="N1316"/>
  <c r="N1315"/>
  <c r="N1314"/>
  <c r="N1313"/>
  <c r="N1312"/>
  <c r="N1311"/>
  <c r="N1310"/>
  <c r="N1309"/>
  <c r="N1308"/>
  <c r="N1307"/>
  <c r="N1306"/>
  <c r="N1305"/>
  <c r="N1304"/>
  <c r="N1303"/>
  <c r="N1302"/>
  <c r="N1301"/>
  <c r="N1300"/>
  <c r="N1299"/>
  <c r="N1298"/>
  <c r="N1297"/>
  <c r="N1296"/>
  <c r="N1295"/>
  <c r="N1294"/>
  <c r="N1293"/>
  <c r="N1292"/>
  <c r="N1291"/>
  <c r="N1290"/>
  <c r="N1289"/>
  <c r="N1288"/>
  <c r="N1287"/>
  <c r="N1286"/>
  <c r="N1285"/>
  <c r="N1284"/>
  <c r="N1283"/>
  <c r="N1282"/>
  <c r="N1281"/>
  <c r="N1280"/>
  <c r="N1279"/>
  <c r="N1278"/>
  <c r="N1277"/>
  <c r="N1276"/>
  <c r="N1275"/>
  <c r="N1274"/>
  <c r="N1273"/>
  <c r="N1272"/>
  <c r="N1271"/>
  <c r="N1270"/>
  <c r="N1269"/>
  <c r="N1268"/>
  <c r="N1267"/>
  <c r="N1266"/>
  <c r="N1265"/>
  <c r="N1264"/>
  <c r="N1263"/>
  <c r="N1262"/>
  <c r="N1261"/>
  <c r="N1260"/>
  <c r="N1259"/>
  <c r="N1258"/>
  <c r="N1257"/>
  <c r="N1256"/>
  <c r="N1255"/>
  <c r="N1254"/>
  <c r="N1253"/>
  <c r="N1252"/>
  <c r="N1251"/>
  <c r="N1250"/>
  <c r="N1249"/>
  <c r="N1248"/>
  <c r="N1247"/>
  <c r="N1246"/>
  <c r="N1245"/>
  <c r="N1244"/>
  <c r="N1243"/>
  <c r="N1242"/>
  <c r="N1241"/>
  <c r="N1240"/>
  <c r="N1239"/>
  <c r="N1238"/>
  <c r="N1237"/>
  <c r="N1236"/>
  <c r="N1235"/>
  <c r="N1234"/>
  <c r="N1233"/>
  <c r="N1232"/>
  <c r="N1231"/>
  <c r="N1230"/>
  <c r="N1229"/>
  <c r="N1228"/>
  <c r="N1227"/>
  <c r="N1226"/>
  <c r="N1225"/>
  <c r="N1224"/>
  <c r="N1223"/>
  <c r="N1222"/>
  <c r="N1221"/>
  <c r="N1220"/>
  <c r="N1219"/>
  <c r="N1218"/>
  <c r="N1217"/>
  <c r="N1216"/>
  <c r="N1215"/>
  <c r="N1214"/>
  <c r="N1213"/>
  <c r="N1212"/>
  <c r="N1211"/>
  <c r="N1210"/>
  <c r="N1209"/>
  <c r="N1208"/>
  <c r="N1207"/>
  <c r="N1206"/>
  <c r="N1205"/>
  <c r="N1204"/>
  <c r="N1203"/>
  <c r="N1202"/>
  <c r="N1201"/>
  <c r="N1200"/>
  <c r="N1199"/>
  <c r="N1198"/>
  <c r="N1197"/>
  <c r="N1196"/>
  <c r="N1195"/>
  <c r="N1194"/>
  <c r="N1193"/>
  <c r="N1192"/>
  <c r="N1191"/>
  <c r="N1190"/>
  <c r="N1189"/>
  <c r="N1188"/>
  <c r="N1187"/>
  <c r="N1186"/>
  <c r="N1185"/>
  <c r="N1184"/>
  <c r="N1183"/>
  <c r="N1182"/>
  <c r="N1181"/>
  <c r="N1180"/>
  <c r="N1179"/>
  <c r="N1178"/>
  <c r="N1177"/>
  <c r="N1176"/>
  <c r="N1175"/>
  <c r="N1174"/>
  <c r="N1173"/>
  <c r="N1172"/>
  <c r="N1171"/>
  <c r="N1170"/>
  <c r="N1169"/>
  <c r="N1168"/>
  <c r="N1167"/>
  <c r="N1166"/>
  <c r="N1165"/>
  <c r="N1164"/>
  <c r="N1163"/>
  <c r="N1162"/>
  <c r="N1161"/>
  <c r="N1160"/>
  <c r="N1159"/>
  <c r="N1158"/>
  <c r="N1157"/>
  <c r="N1156"/>
  <c r="N1155"/>
  <c r="N1154"/>
  <c r="N1153"/>
  <c r="N1152"/>
  <c r="N1151"/>
  <c r="N1150"/>
  <c r="N1149"/>
  <c r="N1148"/>
  <c r="N1147"/>
  <c r="N1146"/>
  <c r="N1145"/>
  <c r="N1144"/>
  <c r="N1143"/>
  <c r="N1142"/>
  <c r="N1141"/>
  <c r="N1140"/>
  <c r="N1139"/>
  <c r="N1138"/>
  <c r="N1137"/>
  <c r="N1136"/>
  <c r="N1135"/>
  <c r="N1134"/>
  <c r="N1133"/>
  <c r="N1132"/>
  <c r="N1131"/>
  <c r="N1130"/>
  <c r="N1129"/>
  <c r="N1128"/>
  <c r="N1127"/>
  <c r="N1126"/>
  <c r="N1125"/>
  <c r="N1124"/>
  <c r="N1123"/>
  <c r="N1122"/>
  <c r="N1121"/>
  <c r="N1120"/>
  <c r="N1119"/>
  <c r="N1118"/>
  <c r="N1117"/>
  <c r="N1116"/>
  <c r="N1115"/>
  <c r="N1114"/>
  <c r="N1113"/>
  <c r="N1112"/>
  <c r="N1111"/>
  <c r="N1110"/>
  <c r="N1109"/>
  <c r="N1108"/>
  <c r="N1107"/>
  <c r="N1106"/>
  <c r="N1105"/>
  <c r="N1104"/>
  <c r="N1103"/>
  <c r="N1102"/>
  <c r="N1101"/>
  <c r="N1100"/>
  <c r="N1099"/>
  <c r="N1098"/>
  <c r="N1097"/>
  <c r="N1096"/>
  <c r="N1095"/>
  <c r="N1094"/>
  <c r="N1093"/>
  <c r="N1092"/>
  <c r="N1091"/>
  <c r="N1090"/>
  <c r="N1089"/>
  <c r="N1088"/>
  <c r="N1087"/>
  <c r="N1086"/>
  <c r="N1085"/>
  <c r="N1084"/>
  <c r="N1083"/>
  <c r="N1082"/>
  <c r="N1081"/>
  <c r="N1080"/>
  <c r="N1079"/>
  <c r="N1078"/>
  <c r="N1077"/>
  <c r="N1076"/>
  <c r="N1075"/>
  <c r="N1074"/>
  <c r="N1073"/>
  <c r="N1072"/>
  <c r="N1071"/>
  <c r="N1070"/>
  <c r="N1069"/>
  <c r="N1068"/>
  <c r="N1067"/>
  <c r="N1066"/>
  <c r="N1065"/>
  <c r="N1064"/>
  <c r="N1063"/>
  <c r="N1062"/>
  <c r="N1061"/>
  <c r="N1060"/>
  <c r="N1059"/>
  <c r="N1058"/>
  <c r="N1057"/>
  <c r="N1056"/>
  <c r="N1055"/>
  <c r="N1054"/>
  <c r="N1053"/>
  <c r="N1052"/>
  <c r="N1051"/>
  <c r="N1050"/>
  <c r="N1049"/>
  <c r="N1048"/>
  <c r="N1047"/>
  <c r="N1046"/>
  <c r="N1045"/>
  <c r="N1044"/>
  <c r="N1043"/>
  <c r="N1042"/>
  <c r="N1041"/>
  <c r="N1040"/>
  <c r="N1039"/>
  <c r="N1038"/>
  <c r="N1037"/>
  <c r="N1036"/>
  <c r="N1035"/>
  <c r="N1034"/>
  <c r="N1033"/>
  <c r="N1032"/>
  <c r="N1031"/>
  <c r="N1030"/>
  <c r="N1029"/>
  <c r="N1028"/>
  <c r="N1027"/>
  <c r="N1026"/>
  <c r="N1025"/>
  <c r="N1024"/>
  <c r="N1023"/>
  <c r="N1022"/>
  <c r="N1021"/>
  <c r="N1020"/>
  <c r="N1019"/>
  <c r="N1018"/>
  <c r="N1017"/>
  <c r="N1016"/>
  <c r="N1015"/>
  <c r="N1014"/>
  <c r="N1013"/>
  <c r="N1012"/>
  <c r="N1011"/>
  <c r="N1010"/>
  <c r="N1009"/>
  <c r="N1008"/>
  <c r="N1007"/>
  <c r="N1006"/>
  <c r="N1005"/>
  <c r="N1004"/>
  <c r="N1003"/>
  <c r="N1002"/>
  <c r="N1001"/>
  <c r="N1000"/>
  <c r="N999"/>
  <c r="N998"/>
  <c r="N997"/>
  <c r="N996"/>
  <c r="N995"/>
  <c r="N994"/>
  <c r="N993"/>
  <c r="N992"/>
  <c r="N991"/>
  <c r="N990"/>
  <c r="N989"/>
  <c r="N988"/>
  <c r="N987"/>
  <c r="N986"/>
  <c r="N985"/>
  <c r="N984"/>
  <c r="N983"/>
  <c r="N982"/>
  <c r="N981"/>
  <c r="N980"/>
  <c r="N979"/>
  <c r="N978"/>
  <c r="N977"/>
  <c r="N976"/>
  <c r="N975"/>
  <c r="N974"/>
  <c r="N973"/>
  <c r="N972"/>
  <c r="N971"/>
  <c r="N970"/>
  <c r="N969"/>
  <c r="N968"/>
  <c r="N967"/>
  <c r="N966"/>
  <c r="N965"/>
  <c r="N964"/>
  <c r="N963"/>
  <c r="N962"/>
  <c r="N961"/>
  <c r="N960"/>
  <c r="N959"/>
  <c r="N958"/>
  <c r="N957"/>
  <c r="N956"/>
  <c r="N955"/>
  <c r="N954"/>
  <c r="N953"/>
  <c r="N952"/>
  <c r="N951"/>
  <c r="N950"/>
  <c r="N949"/>
  <c r="N948"/>
  <c r="N947"/>
  <c r="N946"/>
  <c r="N945"/>
  <c r="N944"/>
  <c r="N943"/>
  <c r="N942"/>
  <c r="N941"/>
  <c r="N940"/>
  <c r="N939"/>
  <c r="N938"/>
  <c r="N937"/>
  <c r="N936"/>
  <c r="N935"/>
  <c r="N934"/>
  <c r="N933"/>
  <c r="N932"/>
  <c r="N931"/>
  <c r="N930"/>
  <c r="N929"/>
  <c r="N928"/>
  <c r="N927"/>
  <c r="N926"/>
  <c r="N925"/>
  <c r="N924"/>
  <c r="N923"/>
  <c r="N922"/>
  <c r="N921"/>
  <c r="N920"/>
  <c r="N919"/>
  <c r="N918"/>
  <c r="N917"/>
  <c r="N916"/>
  <c r="N915"/>
  <c r="N914"/>
  <c r="N913"/>
  <c r="N912"/>
  <c r="N911"/>
  <c r="N910"/>
  <c r="N909"/>
  <c r="N908"/>
  <c r="N907"/>
  <c r="N906"/>
  <c r="N905"/>
  <c r="N904"/>
  <c r="N903"/>
  <c r="N902"/>
  <c r="N901"/>
  <c r="N900"/>
  <c r="N899"/>
  <c r="N898"/>
  <c r="N897"/>
  <c r="N896"/>
  <c r="N895"/>
  <c r="N894"/>
  <c r="N893"/>
  <c r="N892"/>
  <c r="N891"/>
  <c r="N890"/>
  <c r="N889"/>
  <c r="N888"/>
  <c r="N887"/>
  <c r="N886"/>
  <c r="N885"/>
  <c r="N884"/>
  <c r="N883"/>
  <c r="N882"/>
  <c r="N881"/>
  <c r="N880"/>
  <c r="N879"/>
  <c r="N878"/>
  <c r="N877"/>
  <c r="N876"/>
  <c r="N875"/>
  <c r="N874"/>
  <c r="N873"/>
  <c r="N872"/>
  <c r="N871"/>
  <c r="N870"/>
  <c r="N869"/>
  <c r="N868"/>
  <c r="N867"/>
  <c r="N866"/>
  <c r="N865"/>
  <c r="N864"/>
  <c r="N863"/>
  <c r="N862"/>
  <c r="N861"/>
  <c r="N860"/>
  <c r="N859"/>
  <c r="N858"/>
  <c r="N857"/>
  <c r="N856"/>
  <c r="N855"/>
  <c r="N854"/>
  <c r="N853"/>
  <c r="N852"/>
  <c r="N851"/>
  <c r="N850"/>
  <c r="N849"/>
  <c r="N848"/>
  <c r="N847"/>
  <c r="N846"/>
  <c r="N845"/>
  <c r="N844"/>
  <c r="N843"/>
  <c r="N842"/>
  <c r="N841"/>
  <c r="N840"/>
  <c r="N839"/>
  <c r="N838"/>
  <c r="N837"/>
  <c r="N836"/>
  <c r="N835"/>
  <c r="N834"/>
  <c r="N833"/>
  <c r="N832"/>
  <c r="N831"/>
  <c r="N830"/>
  <c r="N829"/>
  <c r="N828"/>
  <c r="N827"/>
  <c r="N826"/>
  <c r="N825"/>
  <c r="N824"/>
  <c r="N823"/>
  <c r="N822"/>
  <c r="N821"/>
  <c r="N820"/>
  <c r="N819"/>
  <c r="N818"/>
  <c r="N817"/>
  <c r="N816"/>
  <c r="N815"/>
  <c r="N814"/>
  <c r="N813"/>
  <c r="N812"/>
  <c r="N811"/>
  <c r="N810"/>
  <c r="N809"/>
  <c r="N808"/>
  <c r="N807"/>
  <c r="N806"/>
  <c r="N805"/>
  <c r="N804"/>
  <c r="N803"/>
  <c r="N802"/>
  <c r="N801"/>
  <c r="N800"/>
  <c r="N799"/>
  <c r="N798"/>
  <c r="N797"/>
  <c r="N796"/>
  <c r="N795"/>
  <c r="N794"/>
  <c r="N793"/>
  <c r="N792"/>
  <c r="N791"/>
  <c r="N790"/>
  <c r="N789"/>
  <c r="N788"/>
  <c r="N787"/>
  <c r="N786"/>
  <c r="N785"/>
  <c r="N784"/>
  <c r="N783"/>
  <c r="N782"/>
  <c r="N781"/>
  <c r="N780"/>
  <c r="N779"/>
  <c r="N778"/>
  <c r="N777"/>
  <c r="N776"/>
  <c r="N775"/>
  <c r="N774"/>
  <c r="N773"/>
  <c r="N772"/>
  <c r="N771"/>
  <c r="N770"/>
  <c r="N769"/>
  <c r="N768"/>
  <c r="N767"/>
  <c r="N766"/>
  <c r="N765"/>
  <c r="N764"/>
  <c r="N763"/>
  <c r="N762"/>
  <c r="N761"/>
  <c r="N760"/>
  <c r="N759"/>
  <c r="N758"/>
  <c r="N757"/>
  <c r="N756"/>
  <c r="N755"/>
  <c r="N754"/>
  <c r="N753"/>
  <c r="N752"/>
  <c r="N751"/>
  <c r="N750"/>
  <c r="N749"/>
  <c r="N748"/>
  <c r="N747"/>
  <c r="N746"/>
  <c r="N745"/>
  <c r="N744"/>
  <c r="N743"/>
  <c r="N742"/>
  <c r="N741"/>
  <c r="N740"/>
  <c r="N739"/>
  <c r="N738"/>
  <c r="N737"/>
  <c r="N736"/>
  <c r="N735"/>
  <c r="N734"/>
  <c r="N733"/>
  <c r="N732"/>
  <c r="N731"/>
  <c r="N730"/>
  <c r="N729"/>
  <c r="N728"/>
  <c r="N727"/>
  <c r="N726"/>
  <c r="N725"/>
  <c r="N724"/>
  <c r="N723"/>
  <c r="N722"/>
  <c r="N721"/>
  <c r="N720"/>
  <c r="N719"/>
  <c r="N718"/>
  <c r="N717"/>
  <c r="N716"/>
  <c r="N715"/>
  <c r="N714"/>
  <c r="N713"/>
  <c r="N712"/>
  <c r="N711"/>
  <c r="N710"/>
  <c r="N709"/>
  <c r="N708"/>
  <c r="N707"/>
  <c r="N706"/>
  <c r="N705"/>
  <c r="N704"/>
  <c r="N703"/>
  <c r="N702"/>
  <c r="N701"/>
  <c r="N700"/>
  <c r="N699"/>
  <c r="N698"/>
  <c r="N697"/>
  <c r="N696"/>
  <c r="N695"/>
  <c r="N694"/>
  <c r="N693"/>
  <c r="N692"/>
  <c r="N691"/>
  <c r="N690"/>
  <c r="N689"/>
  <c r="N688"/>
  <c r="N687"/>
  <c r="N686"/>
  <c r="N685"/>
  <c r="N684"/>
  <c r="N683"/>
  <c r="N682"/>
  <c r="N681"/>
  <c r="N680"/>
  <c r="N679"/>
  <c r="N678"/>
  <c r="N677"/>
  <c r="N676"/>
  <c r="N675"/>
  <c r="N674"/>
  <c r="N673"/>
  <c r="N672"/>
  <c r="N671"/>
  <c r="N670"/>
  <c r="N669"/>
  <c r="N668"/>
  <c r="N667"/>
  <c r="N666"/>
  <c r="N665"/>
  <c r="N664"/>
  <c r="N663"/>
  <c r="N662"/>
  <c r="N661"/>
  <c r="N660"/>
  <c r="N659"/>
  <c r="N658"/>
  <c r="N657"/>
  <c r="N656"/>
  <c r="N655"/>
  <c r="N654"/>
  <c r="N653"/>
  <c r="N652"/>
  <c r="N651"/>
  <c r="N650"/>
  <c r="N649"/>
  <c r="N648"/>
  <c r="N647"/>
  <c r="N646"/>
  <c r="N645"/>
  <c r="N644"/>
  <c r="N643"/>
  <c r="N642"/>
  <c r="N641"/>
  <c r="N640"/>
  <c r="N639"/>
  <c r="N638"/>
  <c r="N637"/>
  <c r="N636"/>
  <c r="N635"/>
  <c r="N634"/>
  <c r="N633"/>
  <c r="N632"/>
  <c r="N631"/>
  <c r="N630"/>
  <c r="N629"/>
  <c r="N628"/>
  <c r="N627"/>
  <c r="N626"/>
  <c r="N625"/>
  <c r="N624"/>
  <c r="N623"/>
  <c r="N622"/>
  <c r="N621"/>
  <c r="N620"/>
  <c r="N619"/>
  <c r="N618"/>
  <c r="N617"/>
  <c r="N616"/>
  <c r="N615"/>
  <c r="N614"/>
  <c r="N613"/>
  <c r="N612"/>
  <c r="N611"/>
  <c r="N610"/>
  <c r="N609"/>
  <c r="N608"/>
  <c r="N607"/>
  <c r="N606"/>
  <c r="N605"/>
  <c r="N604"/>
  <c r="N603"/>
  <c r="N602"/>
  <c r="N601"/>
  <c r="N600"/>
  <c r="N599"/>
  <c r="N598"/>
  <c r="N597"/>
  <c r="N596"/>
  <c r="N595"/>
  <c r="N594"/>
  <c r="N593"/>
  <c r="N592"/>
  <c r="N591"/>
  <c r="N590"/>
  <c r="N589"/>
  <c r="N588"/>
  <c r="N587"/>
  <c r="N586"/>
  <c r="N585"/>
  <c r="N584"/>
  <c r="N583"/>
  <c r="N582"/>
  <c r="N581"/>
  <c r="N580"/>
  <c r="N579"/>
  <c r="N578"/>
  <c r="N577"/>
  <c r="N576"/>
  <c r="N575"/>
  <c r="N574"/>
  <c r="N573"/>
  <c r="N572"/>
  <c r="N571"/>
  <c r="N570"/>
  <c r="N569"/>
  <c r="N568"/>
  <c r="N567"/>
  <c r="N566"/>
  <c r="N565"/>
  <c r="N564"/>
  <c r="N563"/>
  <c r="N562"/>
  <c r="N561"/>
  <c r="N560"/>
  <c r="N559"/>
  <c r="N558"/>
  <c r="N557"/>
  <c r="N556"/>
  <c r="N555"/>
  <c r="N554"/>
  <c r="N553"/>
  <c r="N552"/>
  <c r="N551"/>
  <c r="N550"/>
  <c r="N549"/>
  <c r="N548"/>
  <c r="N547"/>
  <c r="N546"/>
  <c r="N545"/>
  <c r="N544"/>
  <c r="N543"/>
  <c r="N542"/>
  <c r="N541"/>
  <c r="N540"/>
  <c r="N539"/>
  <c r="N538"/>
  <c r="N537"/>
  <c r="N536"/>
  <c r="N535"/>
  <c r="N534"/>
  <c r="N533"/>
  <c r="N532"/>
  <c r="N531"/>
  <c r="N530"/>
  <c r="N529"/>
  <c r="N528"/>
  <c r="N527"/>
  <c r="N526"/>
  <c r="N525"/>
  <c r="N524"/>
  <c r="N523"/>
  <c r="N522"/>
  <c r="N521"/>
  <c r="N520"/>
  <c r="N519"/>
  <c r="N518"/>
  <c r="N517"/>
  <c r="N516"/>
  <c r="N515"/>
  <c r="N514"/>
  <c r="N513"/>
  <c r="N512"/>
  <c r="N511"/>
  <c r="N510"/>
  <c r="N509"/>
  <c r="N508"/>
  <c r="N507"/>
  <c r="N506"/>
  <c r="N505"/>
  <c r="N504"/>
  <c r="N503"/>
  <c r="N502"/>
  <c r="N501"/>
  <c r="N500"/>
  <c r="N499"/>
  <c r="N498"/>
  <c r="N497"/>
  <c r="N496"/>
  <c r="N495"/>
  <c r="N494"/>
  <c r="N493"/>
  <c r="N492"/>
  <c r="N491"/>
  <c r="N490"/>
  <c r="N489"/>
  <c r="N488"/>
  <c r="N487"/>
  <c r="N486"/>
  <c r="N485"/>
  <c r="N484"/>
  <c r="N483"/>
  <c r="N482"/>
  <c r="N481"/>
  <c r="N480"/>
  <c r="N479"/>
  <c r="N478"/>
  <c r="N477"/>
  <c r="N476"/>
  <c r="N475"/>
  <c r="N474"/>
  <c r="N473"/>
  <c r="N472"/>
  <c r="N471"/>
  <c r="N470"/>
  <c r="N469"/>
  <c r="N468"/>
  <c r="N467"/>
  <c r="N466"/>
  <c r="N465"/>
  <c r="N464"/>
  <c r="N463"/>
  <c r="N462"/>
  <c r="N461"/>
  <c r="N460"/>
  <c r="N459"/>
  <c r="N458"/>
  <c r="N457"/>
  <c r="N456"/>
  <c r="N455"/>
  <c r="N454"/>
  <c r="N453"/>
  <c r="N452"/>
  <c r="N451"/>
  <c r="N450"/>
  <c r="N449"/>
  <c r="N448"/>
  <c r="N447"/>
  <c r="N446"/>
  <c r="N445"/>
  <c r="N444"/>
  <c r="N443"/>
  <c r="N442"/>
  <c r="N441"/>
  <c r="N440"/>
  <c r="N439"/>
  <c r="N438"/>
  <c r="N437"/>
  <c r="N436"/>
  <c r="N435"/>
  <c r="N434"/>
  <c r="N433"/>
  <c r="N432"/>
  <c r="N431"/>
  <c r="N430"/>
  <c r="N429"/>
  <c r="N428"/>
  <c r="N427"/>
  <c r="N426"/>
  <c r="N425"/>
  <c r="N424"/>
  <c r="N423"/>
  <c r="N422"/>
  <c r="N421"/>
  <c r="N420"/>
  <c r="N419"/>
  <c r="N418"/>
  <c r="N417"/>
  <c r="N416"/>
  <c r="N415"/>
  <c r="N414"/>
  <c r="N413"/>
  <c r="N412"/>
  <c r="N411"/>
  <c r="N410"/>
  <c r="N409"/>
  <c r="N408"/>
  <c r="N407"/>
  <c r="N406"/>
  <c r="N405"/>
  <c r="N404"/>
  <c r="N403"/>
  <c r="N402"/>
  <c r="N401"/>
  <c r="N400"/>
  <c r="N399"/>
  <c r="N398"/>
  <c r="N397"/>
  <c r="N396"/>
  <c r="N395"/>
  <c r="N394"/>
  <c r="N393"/>
  <c r="N392"/>
  <c r="N391"/>
  <c r="N390"/>
  <c r="N389"/>
  <c r="N388"/>
  <c r="N387"/>
  <c r="N386"/>
  <c r="N385"/>
  <c r="N384"/>
  <c r="N383"/>
  <c r="N382"/>
  <c r="N381"/>
  <c r="N380"/>
  <c r="N379"/>
  <c r="N378"/>
  <c r="N377"/>
  <c r="N376"/>
  <c r="N375"/>
  <c r="N374"/>
  <c r="N373"/>
  <c r="N372"/>
  <c r="N371"/>
  <c r="N370"/>
  <c r="N369"/>
  <c r="N368"/>
  <c r="N367"/>
  <c r="N366"/>
  <c r="N365"/>
  <c r="N364"/>
  <c r="N363"/>
  <c r="N362"/>
  <c r="N361"/>
  <c r="N360"/>
  <c r="N359"/>
  <c r="N358"/>
  <c r="N357"/>
  <c r="N356"/>
  <c r="N355"/>
  <c r="N354"/>
  <c r="N353"/>
  <c r="N352"/>
  <c r="N351"/>
  <c r="N350"/>
  <c r="N349"/>
  <c r="N348"/>
  <c r="N347"/>
  <c r="N346"/>
  <c r="N345"/>
  <c r="N344"/>
  <c r="N343"/>
  <c r="N342"/>
  <c r="N341"/>
  <c r="N340"/>
  <c r="N339"/>
  <c r="N338"/>
  <c r="N337"/>
  <c r="N336"/>
  <c r="N335"/>
  <c r="N334"/>
  <c r="N333"/>
  <c r="N332"/>
  <c r="N331"/>
  <c r="N330"/>
  <c r="N329"/>
  <c r="N328"/>
  <c r="N327"/>
  <c r="N326"/>
  <c r="N325"/>
  <c r="N324"/>
  <c r="N323"/>
  <c r="N322"/>
  <c r="N321"/>
  <c r="N320"/>
  <c r="N319"/>
  <c r="N318"/>
  <c r="N317"/>
  <c r="N316"/>
  <c r="N315"/>
  <c r="N314"/>
  <c r="N313"/>
  <c r="N312"/>
  <c r="N311"/>
  <c r="N310"/>
  <c r="N309"/>
  <c r="N308"/>
  <c r="N307"/>
  <c r="N306"/>
  <c r="N305"/>
  <c r="N304"/>
  <c r="N303"/>
  <c r="N302"/>
  <c r="N301"/>
  <c r="N300"/>
  <c r="N299"/>
  <c r="N298"/>
  <c r="N297"/>
  <c r="N296"/>
  <c r="N295"/>
  <c r="N294"/>
  <c r="N293"/>
  <c r="N292"/>
  <c r="N291"/>
  <c r="N290"/>
  <c r="N289"/>
  <c r="N288"/>
  <c r="N287"/>
  <c r="N286"/>
  <c r="N285"/>
  <c r="N284"/>
  <c r="N283"/>
  <c r="N282"/>
  <c r="N281"/>
  <c r="N280"/>
  <c r="N279"/>
  <c r="N278"/>
  <c r="N277"/>
  <c r="N276"/>
  <c r="N275"/>
  <c r="N274"/>
  <c r="N273"/>
  <c r="N272"/>
  <c r="N271"/>
  <c r="N270"/>
  <c r="N269"/>
  <c r="N268"/>
  <c r="N267"/>
  <c r="N266"/>
  <c r="N265"/>
  <c r="N264"/>
  <c r="N263"/>
  <c r="N262"/>
  <c r="N261"/>
  <c r="N260"/>
  <c r="N259"/>
  <c r="N258"/>
  <c r="N257"/>
  <c r="N256"/>
  <c r="N255"/>
  <c r="N254"/>
  <c r="N253"/>
  <c r="N252"/>
  <c r="N251"/>
  <c r="N250"/>
  <c r="N249"/>
  <c r="N248"/>
  <c r="N247"/>
  <c r="N246"/>
  <c r="N245"/>
  <c r="N244"/>
  <c r="N243"/>
  <c r="N242"/>
  <c r="N241"/>
  <c r="N240"/>
  <c r="N239"/>
  <c r="N238"/>
  <c r="N237"/>
  <c r="N236"/>
  <c r="N235"/>
  <c r="N234"/>
  <c r="N233"/>
  <c r="N232"/>
  <c r="N231"/>
  <c r="N230"/>
  <c r="N229"/>
  <c r="N228"/>
  <c r="N227"/>
  <c r="N226"/>
  <c r="N225"/>
  <c r="N224"/>
  <c r="N223"/>
  <c r="N222"/>
  <c r="N221"/>
  <c r="N220"/>
  <c r="N219"/>
  <c r="N218"/>
  <c r="N217"/>
  <c r="N216"/>
  <c r="N215"/>
  <c r="N214"/>
  <c r="N213"/>
  <c r="N212"/>
  <c r="N211"/>
  <c r="N210"/>
  <c r="N209"/>
  <c r="N208"/>
  <c r="N207"/>
  <c r="N206"/>
  <c r="N205"/>
  <c r="N204"/>
  <c r="N203"/>
  <c r="N202"/>
  <c r="N201"/>
  <c r="N200"/>
  <c r="N199"/>
  <c r="N198"/>
  <c r="N197"/>
  <c r="N196"/>
  <c r="N195"/>
  <c r="N194"/>
  <c r="N193"/>
  <c r="N192"/>
  <c r="N191"/>
  <c r="N190"/>
  <c r="N189"/>
  <c r="N188"/>
  <c r="N187"/>
  <c r="N186"/>
  <c r="N185"/>
  <c r="N184"/>
  <c r="N183"/>
  <c r="N182"/>
  <c r="N181"/>
  <c r="N180"/>
  <c r="N179"/>
  <c r="N178"/>
  <c r="N177"/>
  <c r="N176"/>
  <c r="N175"/>
  <c r="N174"/>
  <c r="N173"/>
  <c r="N172"/>
  <c r="N171"/>
  <c r="N170"/>
  <c r="N169"/>
  <c r="N168"/>
  <c r="N167"/>
  <c r="N166"/>
  <c r="N165"/>
  <c r="N164"/>
  <c r="N163"/>
  <c r="N162"/>
  <c r="N161"/>
  <c r="N160"/>
  <c r="N159"/>
  <c r="N158"/>
  <c r="N157"/>
  <c r="N156"/>
  <c r="N155"/>
  <c r="N154"/>
  <c r="N153"/>
  <c r="N152"/>
  <c r="N151"/>
  <c r="N150"/>
  <c r="N149"/>
  <c r="N148"/>
  <c r="N147"/>
  <c r="N146"/>
  <c r="N145"/>
  <c r="N144"/>
  <c r="N143"/>
  <c r="N142"/>
  <c r="N141"/>
  <c r="N140"/>
  <c r="N139"/>
  <c r="N138"/>
  <c r="N137"/>
  <c r="N136"/>
  <c r="N135"/>
  <c r="N134"/>
  <c r="N133"/>
  <c r="N132"/>
  <c r="N131"/>
  <c r="N130"/>
  <c r="N129"/>
  <c r="N128"/>
  <c r="N127"/>
  <c r="N126"/>
  <c r="N125"/>
  <c r="N124"/>
  <c r="N123"/>
  <c r="N122"/>
  <c r="N121"/>
  <c r="N120"/>
  <c r="N119"/>
  <c r="N118"/>
  <c r="N117"/>
  <c r="N116"/>
  <c r="N115"/>
  <c r="N114"/>
  <c r="N113"/>
  <c r="N112"/>
  <c r="N111"/>
  <c r="N110"/>
  <c r="N109"/>
  <c r="N108"/>
  <c r="N107"/>
  <c r="N106"/>
  <c r="N105"/>
  <c r="N104"/>
  <c r="N103"/>
  <c r="N102"/>
  <c r="N101"/>
  <c r="N100"/>
  <c r="N99"/>
  <c r="N98"/>
  <c r="N97"/>
  <c r="N96"/>
  <c r="N95"/>
  <c r="N94"/>
  <c r="N93"/>
  <c r="N92"/>
  <c r="N91"/>
  <c r="N90"/>
  <c r="N89"/>
  <c r="N88"/>
  <c r="N87"/>
  <c r="N86"/>
  <c r="N85"/>
  <c r="N84"/>
  <c r="N83"/>
  <c r="N82"/>
  <c r="N81"/>
  <c r="N80"/>
  <c r="N79"/>
  <c r="N78"/>
  <c r="N77"/>
  <c r="N76"/>
  <c r="N75"/>
  <c r="N74"/>
  <c r="N73"/>
  <c r="N72"/>
  <c r="N71"/>
  <c r="N70"/>
  <c r="N69"/>
  <c r="N68"/>
  <c r="N67"/>
  <c r="N66"/>
  <c r="N65"/>
  <c r="N64"/>
  <c r="N63"/>
  <c r="N62"/>
  <c r="N61"/>
  <c r="N60"/>
  <c r="N59"/>
  <c r="N58"/>
  <c r="N57"/>
  <c r="N56"/>
  <c r="N55"/>
  <c r="N54"/>
  <c r="N53"/>
  <c r="N52"/>
  <c r="N51"/>
  <c r="N50"/>
  <c r="N49"/>
  <c r="N48"/>
  <c r="N47"/>
  <c r="N46"/>
  <c r="N45"/>
  <c r="N44"/>
  <c r="N43"/>
  <c r="N42"/>
  <c r="N41"/>
  <c r="N40"/>
  <c r="N39"/>
  <c r="N38"/>
  <c r="N37"/>
  <c r="N36"/>
  <c r="N35"/>
  <c r="N34"/>
  <c r="N33"/>
  <c r="N32"/>
  <c r="N31"/>
  <c r="N30"/>
  <c r="N29"/>
  <c r="N28"/>
  <c r="N27"/>
  <c r="N26"/>
  <c r="N25"/>
  <c r="N24"/>
  <c r="N23"/>
  <c r="N22"/>
  <c r="N21"/>
  <c r="N20"/>
  <c r="N19"/>
  <c r="N18"/>
  <c r="N17"/>
  <c r="N16"/>
  <c r="N15"/>
  <c r="N14"/>
  <c r="N13"/>
  <c r="N12"/>
  <c r="N11"/>
  <c r="N10"/>
  <c r="N9"/>
  <c r="N8"/>
  <c r="N7"/>
  <c r="N6"/>
  <c r="N5"/>
  <c r="N4"/>
  <c r="N3"/>
  <c r="N2"/>
  <c r="L10"/>
  <c r="L535"/>
  <c r="L945"/>
  <c r="L1519"/>
  <c r="L1518"/>
  <c r="L141"/>
  <c r="L1517"/>
  <c r="L1516"/>
  <c r="L718"/>
  <c r="L1515"/>
  <c r="L1514"/>
  <c r="L717"/>
  <c r="L413"/>
  <c r="L1513"/>
  <c r="L153"/>
  <c r="L1512"/>
  <c r="L1511"/>
  <c r="L1510"/>
  <c r="L1509"/>
  <c r="L1508"/>
  <c r="L1507"/>
  <c r="L284"/>
  <c r="L1506"/>
  <c r="L1505"/>
  <c r="L35"/>
  <c r="L1504"/>
  <c r="L1503"/>
  <c r="L1502"/>
  <c r="L1501"/>
  <c r="L1500"/>
  <c r="L1499"/>
  <c r="L1498"/>
  <c r="L1497"/>
  <c r="L337"/>
  <c r="L1496"/>
  <c r="L1495"/>
  <c r="L1494"/>
  <c r="L1493"/>
  <c r="L1492"/>
  <c r="L112"/>
  <c r="L944"/>
  <c r="L1491"/>
  <c r="L943"/>
  <c r="L1490"/>
  <c r="L1489"/>
  <c r="L1488"/>
  <c r="L716"/>
  <c r="L1487"/>
  <c r="L1486"/>
  <c r="L1485"/>
  <c r="L1484"/>
  <c r="L1483"/>
  <c r="L1482"/>
  <c r="L1481"/>
  <c r="L1480"/>
  <c r="L1479"/>
  <c r="L1478"/>
  <c r="L1477"/>
  <c r="L1476"/>
  <c r="L121"/>
  <c r="L1475"/>
  <c r="L1474"/>
  <c r="L715"/>
  <c r="L1473"/>
  <c r="L1472"/>
  <c r="L607"/>
  <c r="L714"/>
  <c r="L1471"/>
  <c r="L1470"/>
  <c r="L1469"/>
  <c r="L1468"/>
  <c r="L1467"/>
  <c r="L1466"/>
  <c r="L713"/>
  <c r="L236"/>
  <c r="L1465"/>
  <c r="L712"/>
  <c r="L92"/>
  <c r="L1464"/>
  <c r="L1463"/>
  <c r="L1462"/>
  <c r="L1461"/>
  <c r="L711"/>
  <c r="L1460"/>
  <c r="L277"/>
  <c r="L1459"/>
  <c r="L1458"/>
  <c r="L510"/>
  <c r="L534"/>
  <c r="L1457"/>
  <c r="L1456"/>
  <c r="L1455"/>
  <c r="L91"/>
  <c r="L1454"/>
  <c r="L710"/>
  <c r="L1453"/>
  <c r="L1452"/>
  <c r="L1451"/>
  <c r="L1450"/>
  <c r="L1449"/>
  <c r="L1448"/>
  <c r="L1447"/>
  <c r="L1446"/>
  <c r="L533"/>
  <c r="L983"/>
  <c r="L1445"/>
  <c r="L606"/>
  <c r="L1444"/>
  <c r="L1443"/>
  <c r="L1442"/>
  <c r="L1441"/>
  <c r="L1440"/>
  <c r="L1439"/>
  <c r="L982"/>
  <c r="L1438"/>
  <c r="L1437"/>
  <c r="L1436"/>
  <c r="L942"/>
  <c r="L290"/>
  <c r="L1435"/>
  <c r="L1434"/>
  <c r="L1433"/>
  <c r="L1432"/>
  <c r="L1431"/>
  <c r="L1430"/>
  <c r="L1429"/>
  <c r="L509"/>
  <c r="L1428"/>
  <c r="L1427"/>
  <c r="L540"/>
  <c r="L941"/>
  <c r="L1426"/>
  <c r="L1425"/>
  <c r="L1424"/>
  <c r="L1423"/>
  <c r="L940"/>
  <c r="L939"/>
  <c r="L709"/>
  <c r="L605"/>
  <c r="L1422"/>
  <c r="L4"/>
  <c r="L1421"/>
  <c r="L1420"/>
  <c r="L1419"/>
  <c r="L1418"/>
  <c r="L412"/>
  <c r="L508"/>
  <c r="L938"/>
  <c r="L1417"/>
  <c r="L1416"/>
  <c r="L67"/>
  <c r="L1415"/>
  <c r="L1414"/>
  <c r="L1413"/>
  <c r="L1412"/>
  <c r="L604"/>
  <c r="L178"/>
  <c r="L1411"/>
  <c r="L1410"/>
  <c r="L1409"/>
  <c r="L1408"/>
  <c r="L1407"/>
  <c r="L1406"/>
  <c r="L1405"/>
  <c r="L1404"/>
  <c r="L1403"/>
  <c r="L1402"/>
  <c r="L1401"/>
  <c r="L1400"/>
  <c r="L1399"/>
  <c r="L507"/>
  <c r="L981"/>
  <c r="L1398"/>
  <c r="L1397"/>
  <c r="L1396"/>
  <c r="L1395"/>
  <c r="L411"/>
  <c r="L1394"/>
  <c r="L728"/>
  <c r="L1393"/>
  <c r="L1392"/>
  <c r="L1391"/>
  <c r="L708"/>
  <c r="L1390"/>
  <c r="L1389"/>
  <c r="L1388"/>
  <c r="L532"/>
  <c r="L1387"/>
  <c r="L1386"/>
  <c r="L1385"/>
  <c r="L1384"/>
  <c r="L603"/>
  <c r="L707"/>
  <c r="L937"/>
  <c r="L1383"/>
  <c r="L1382"/>
  <c r="L1381"/>
  <c r="L1380"/>
  <c r="L803"/>
  <c r="L936"/>
  <c r="L1379"/>
  <c r="L237"/>
  <c r="L276"/>
  <c r="L436"/>
  <c r="L1378"/>
  <c r="L951"/>
  <c r="L1377"/>
  <c r="L1376"/>
  <c r="L980"/>
  <c r="L1375"/>
  <c r="L1374"/>
  <c r="L1373"/>
  <c r="L935"/>
  <c r="L1372"/>
  <c r="L1371"/>
  <c r="L602"/>
  <c r="L1370"/>
  <c r="L1369"/>
  <c r="L1368"/>
  <c r="L1367"/>
  <c r="L1366"/>
  <c r="L1365"/>
  <c r="L1364"/>
  <c r="L1363"/>
  <c r="L979"/>
  <c r="L1362"/>
  <c r="L1361"/>
  <c r="L1360"/>
  <c r="L1359"/>
  <c r="L1358"/>
  <c r="L1357"/>
  <c r="L1356"/>
  <c r="L1355"/>
  <c r="L1354"/>
  <c r="L706"/>
  <c r="L802"/>
  <c r="L1353"/>
  <c r="L1352"/>
  <c r="L1351"/>
  <c r="L801"/>
  <c r="L1350"/>
  <c r="L705"/>
  <c r="L1349"/>
  <c r="L1348"/>
  <c r="L1347"/>
  <c r="L1346"/>
  <c r="L1345"/>
  <c r="L1344"/>
  <c r="L151"/>
  <c r="L1343"/>
  <c r="L1342"/>
  <c r="L1341"/>
  <c r="L601"/>
  <c r="L1340"/>
  <c r="L978"/>
  <c r="L1339"/>
  <c r="L800"/>
  <c r="L1338"/>
  <c r="L220"/>
  <c r="L1337"/>
  <c r="L80"/>
  <c r="L1336"/>
  <c r="L1335"/>
  <c r="L531"/>
  <c r="L1334"/>
  <c r="L1333"/>
  <c r="L1332"/>
  <c r="L1331"/>
  <c r="L1330"/>
  <c r="L1329"/>
  <c r="L1328"/>
  <c r="L1327"/>
  <c r="L1326"/>
  <c r="L336"/>
  <c r="L1325"/>
  <c r="L1324"/>
  <c r="L615"/>
  <c r="L1323"/>
  <c r="L335"/>
  <c r="L1322"/>
  <c r="L1321"/>
  <c r="L1320"/>
  <c r="L1319"/>
  <c r="L1318"/>
  <c r="L1317"/>
  <c r="L334"/>
  <c r="L1316"/>
  <c r="L1315"/>
  <c r="L947"/>
  <c r="L1314"/>
  <c r="L1313"/>
  <c r="L114"/>
  <c r="L600"/>
  <c r="L1312"/>
  <c r="L506"/>
  <c r="L1311"/>
  <c r="L1310"/>
  <c r="L977"/>
  <c r="L1309"/>
  <c r="L934"/>
  <c r="L505"/>
  <c r="L1308"/>
  <c r="L1307"/>
  <c r="L1306"/>
  <c r="L1305"/>
  <c r="L1304"/>
  <c r="L1303"/>
  <c r="L1302"/>
  <c r="L704"/>
  <c r="L1301"/>
  <c r="L1300"/>
  <c r="L1299"/>
  <c r="L1298"/>
  <c r="L1297"/>
  <c r="L933"/>
  <c r="L1296"/>
  <c r="L1295"/>
  <c r="L1294"/>
  <c r="L1293"/>
  <c r="L1292"/>
  <c r="L504"/>
  <c r="L932"/>
  <c r="L931"/>
  <c r="L930"/>
  <c r="L1291"/>
  <c r="L1290"/>
  <c r="L737"/>
  <c r="L1289"/>
  <c r="L1288"/>
  <c r="L1287"/>
  <c r="L1286"/>
  <c r="L1285"/>
  <c r="L1284"/>
  <c r="L1283"/>
  <c r="L547"/>
  <c r="L1282"/>
  <c r="L1281"/>
  <c r="L1280"/>
  <c r="L1279"/>
  <c r="L703"/>
  <c r="L799"/>
  <c r="L929"/>
  <c r="L503"/>
  <c r="L928"/>
  <c r="L275"/>
  <c r="L410"/>
  <c r="L140"/>
  <c r="L1278"/>
  <c r="L927"/>
  <c r="L1277"/>
  <c r="L798"/>
  <c r="L435"/>
  <c r="L1276"/>
  <c r="L1275"/>
  <c r="L1274"/>
  <c r="L1273"/>
  <c r="L926"/>
  <c r="L502"/>
  <c r="L434"/>
  <c r="L1272"/>
  <c r="L1271"/>
  <c r="L1270"/>
  <c r="L1269"/>
  <c r="L1268"/>
  <c r="L599"/>
  <c r="L409"/>
  <c r="L1267"/>
  <c r="L1266"/>
  <c r="L1265"/>
  <c r="L177"/>
  <c r="L1264"/>
  <c r="L1263"/>
  <c r="L925"/>
  <c r="L1262"/>
  <c r="L924"/>
  <c r="L1261"/>
  <c r="L797"/>
  <c r="L1260"/>
  <c r="L1259"/>
  <c r="L1258"/>
  <c r="L1257"/>
  <c r="L1256"/>
  <c r="L796"/>
  <c r="L1255"/>
  <c r="L1254"/>
  <c r="L1253"/>
  <c r="L1252"/>
  <c r="L1251"/>
  <c r="L1250"/>
  <c r="L1249"/>
  <c r="L1248"/>
  <c r="L923"/>
  <c r="L1247"/>
  <c r="L1246"/>
  <c r="L1245"/>
  <c r="L1244"/>
  <c r="L1243"/>
  <c r="L539"/>
  <c r="L1242"/>
  <c r="L1241"/>
  <c r="L1240"/>
  <c r="L1239"/>
  <c r="L1238"/>
  <c r="L1237"/>
  <c r="L1236"/>
  <c r="L1235"/>
  <c r="L1234"/>
  <c r="L1233"/>
  <c r="L727"/>
  <c r="L598"/>
  <c r="L1232"/>
  <c r="L614"/>
  <c r="L922"/>
  <c r="L1231"/>
  <c r="L1230"/>
  <c r="L1229"/>
  <c r="L1228"/>
  <c r="L1227"/>
  <c r="L1226"/>
  <c r="L176"/>
  <c r="L70"/>
  <c r="L976"/>
  <c r="L408"/>
  <c r="L1225"/>
  <c r="L1224"/>
  <c r="L501"/>
  <c r="L1223"/>
  <c r="L1222"/>
  <c r="L795"/>
  <c r="L726"/>
  <c r="L702"/>
  <c r="L1221"/>
  <c r="L1220"/>
  <c r="L921"/>
  <c r="L1219"/>
  <c r="L1218"/>
  <c r="L1217"/>
  <c r="L1216"/>
  <c r="L1215"/>
  <c r="L1214"/>
  <c r="L1213"/>
  <c r="L794"/>
  <c r="L920"/>
  <c r="L975"/>
  <c r="L1212"/>
  <c r="L1211"/>
  <c r="L919"/>
  <c r="L1210"/>
  <c r="L1209"/>
  <c r="L1208"/>
  <c r="L597"/>
  <c r="L701"/>
  <c r="L530"/>
  <c r="L1207"/>
  <c r="L700"/>
  <c r="L407"/>
  <c r="L918"/>
  <c r="L1206"/>
  <c r="L1205"/>
  <c r="L1204"/>
  <c r="L500"/>
  <c r="L1203"/>
  <c r="L917"/>
  <c r="L1202"/>
  <c r="L793"/>
  <c r="L1201"/>
  <c r="L235"/>
  <c r="L139"/>
  <c r="L359"/>
  <c r="L792"/>
  <c r="L1200"/>
  <c r="L406"/>
  <c r="L1199"/>
  <c r="L1198"/>
  <c r="L1197"/>
  <c r="L916"/>
  <c r="L699"/>
  <c r="L150"/>
  <c r="L1196"/>
  <c r="L1195"/>
  <c r="L1194"/>
  <c r="L219"/>
  <c r="L791"/>
  <c r="L1193"/>
  <c r="L1192"/>
  <c r="L1191"/>
  <c r="L1190"/>
  <c r="L1189"/>
  <c r="L1188"/>
  <c r="L915"/>
  <c r="L333"/>
  <c r="L1187"/>
  <c r="L698"/>
  <c r="L914"/>
  <c r="L1186"/>
  <c r="L1185"/>
  <c r="L1184"/>
  <c r="L1183"/>
  <c r="L1182"/>
  <c r="L1181"/>
  <c r="L1180"/>
  <c r="L1179"/>
  <c r="L1178"/>
  <c r="L974"/>
  <c r="L1177"/>
  <c r="L1176"/>
  <c r="L1175"/>
  <c r="L596"/>
  <c r="L1174"/>
  <c r="L1173"/>
  <c r="L190"/>
  <c r="L1172"/>
  <c r="L1171"/>
  <c r="L1170"/>
  <c r="L90"/>
  <c r="L358"/>
  <c r="L234"/>
  <c r="L1169"/>
  <c r="L1168"/>
  <c r="L1167"/>
  <c r="L1166"/>
  <c r="L1165"/>
  <c r="L973"/>
  <c r="L221"/>
  <c r="L233"/>
  <c r="L537"/>
  <c r="L1164"/>
  <c r="L1163"/>
  <c r="L950"/>
  <c r="L790"/>
  <c r="L697"/>
  <c r="L1162"/>
  <c r="L696"/>
  <c r="L1161"/>
  <c r="L1160"/>
  <c r="L1159"/>
  <c r="L913"/>
  <c r="L912"/>
  <c r="L499"/>
  <c r="L1158"/>
  <c r="L1157"/>
  <c r="L274"/>
  <c r="L1156"/>
  <c r="L1155"/>
  <c r="L1154"/>
  <c r="L498"/>
  <c r="L1153"/>
  <c r="L1152"/>
  <c r="L1151"/>
  <c r="L1150"/>
  <c r="L1149"/>
  <c r="L1148"/>
  <c r="L736"/>
  <c r="L1147"/>
  <c r="L789"/>
  <c r="L1146"/>
  <c r="L175"/>
  <c r="L497"/>
  <c r="L595"/>
  <c r="L911"/>
  <c r="L218"/>
  <c r="L68"/>
  <c r="L910"/>
  <c r="L1145"/>
  <c r="L735"/>
  <c r="L496"/>
  <c r="L1144"/>
  <c r="L909"/>
  <c r="L1143"/>
  <c r="L1142"/>
  <c r="L1141"/>
  <c r="L1140"/>
  <c r="L1139"/>
  <c r="L1138"/>
  <c r="L1137"/>
  <c r="L31"/>
  <c r="L1136"/>
  <c r="L338"/>
  <c r="L1135"/>
  <c r="L1134"/>
  <c r="L788"/>
  <c r="L1133"/>
  <c r="L1132"/>
  <c r="L1131"/>
  <c r="L1130"/>
  <c r="L138"/>
  <c r="L1129"/>
  <c r="L1128"/>
  <c r="L120"/>
  <c r="L695"/>
  <c r="L1127"/>
  <c r="L908"/>
  <c r="L1126"/>
  <c r="L63"/>
  <c r="L1125"/>
  <c r="L495"/>
  <c r="L1124"/>
  <c r="L1123"/>
  <c r="L1122"/>
  <c r="L1121"/>
  <c r="L1120"/>
  <c r="L1119"/>
  <c r="L694"/>
  <c r="L273"/>
  <c r="L1118"/>
  <c r="L494"/>
  <c r="L493"/>
  <c r="L1117"/>
  <c r="L174"/>
  <c r="L242"/>
  <c r="L492"/>
  <c r="L1116"/>
  <c r="L1115"/>
  <c r="L1114"/>
  <c r="L1113"/>
  <c r="L1112"/>
  <c r="L1111"/>
  <c r="L1110"/>
  <c r="L787"/>
  <c r="L1109"/>
  <c r="L357"/>
  <c r="L1108"/>
  <c r="L907"/>
  <c r="L972"/>
  <c r="L1107"/>
  <c r="L1106"/>
  <c r="L786"/>
  <c r="L491"/>
  <c r="L906"/>
  <c r="L1105"/>
  <c r="L241"/>
  <c r="L1104"/>
  <c r="L1103"/>
  <c r="L785"/>
  <c r="L232"/>
  <c r="L490"/>
  <c r="L1102"/>
  <c r="L784"/>
  <c r="L594"/>
  <c r="L1101"/>
  <c r="L405"/>
  <c r="L1100"/>
  <c r="L1099"/>
  <c r="L1098"/>
  <c r="L1097"/>
  <c r="L1096"/>
  <c r="L1095"/>
  <c r="L1094"/>
  <c r="L693"/>
  <c r="L1093"/>
  <c r="L1092"/>
  <c r="L1091"/>
  <c r="L1090"/>
  <c r="L1089"/>
  <c r="L1088"/>
  <c r="L356"/>
  <c r="L1087"/>
  <c r="L1086"/>
  <c r="L1085"/>
  <c r="L355"/>
  <c r="L1084"/>
  <c r="L1083"/>
  <c r="L1082"/>
  <c r="L1081"/>
  <c r="L1080"/>
  <c r="L593"/>
  <c r="L62"/>
  <c r="L1079"/>
  <c r="L272"/>
  <c r="L244"/>
  <c r="L1078"/>
  <c r="L1077"/>
  <c r="L725"/>
  <c r="L1076"/>
  <c r="L1075"/>
  <c r="L1074"/>
  <c r="L1073"/>
  <c r="L1072"/>
  <c r="L724"/>
  <c r="L1071"/>
  <c r="L1070"/>
  <c r="L489"/>
  <c r="L1069"/>
  <c r="L1068"/>
  <c r="L1067"/>
  <c r="L1066"/>
  <c r="L1065"/>
  <c r="L1064"/>
  <c r="L905"/>
  <c r="L904"/>
  <c r="L692"/>
  <c r="L903"/>
  <c r="L271"/>
  <c r="L1063"/>
  <c r="L363"/>
  <c r="L231"/>
  <c r="L1062"/>
  <c r="L691"/>
  <c r="L1061"/>
  <c r="L1060"/>
  <c r="L1059"/>
  <c r="L1058"/>
  <c r="L404"/>
  <c r="L111"/>
  <c r="L1057"/>
  <c r="L1056"/>
  <c r="L1055"/>
  <c r="L1054"/>
  <c r="L1053"/>
  <c r="L1052"/>
  <c r="L1051"/>
  <c r="L1050"/>
  <c r="L1049"/>
  <c r="L137"/>
  <c r="L1048"/>
  <c r="L1047"/>
  <c r="L1046"/>
  <c r="L1045"/>
  <c r="L1044"/>
  <c r="L488"/>
  <c r="L592"/>
  <c r="L546"/>
  <c r="L487"/>
  <c r="L53"/>
  <c r="L332"/>
  <c r="L1043"/>
  <c r="L149"/>
  <c r="L1042"/>
  <c r="L1041"/>
  <c r="L734"/>
  <c r="L283"/>
  <c r="L1040"/>
  <c r="L1039"/>
  <c r="L690"/>
  <c r="L1038"/>
  <c r="L1037"/>
  <c r="L270"/>
  <c r="L902"/>
  <c r="L689"/>
  <c r="L733"/>
  <c r="L1036"/>
  <c r="L529"/>
  <c r="L1035"/>
  <c r="L1034"/>
  <c r="L189"/>
  <c r="L1033"/>
  <c r="L1032"/>
  <c r="L1031"/>
  <c r="L1030"/>
  <c r="L1029"/>
  <c r="L1028"/>
  <c r="L1027"/>
  <c r="L1026"/>
  <c r="L723"/>
  <c r="L1025"/>
  <c r="L1024"/>
  <c r="L36"/>
  <c r="L1023"/>
  <c r="L1022"/>
  <c r="L1021"/>
  <c r="L1020"/>
  <c r="L61"/>
  <c r="L269"/>
  <c r="L1019"/>
  <c r="L136"/>
  <c r="L1018"/>
  <c r="L591"/>
  <c r="L1017"/>
  <c r="L1016"/>
  <c r="L331"/>
  <c r="L1015"/>
  <c r="L783"/>
  <c r="L24"/>
  <c r="L782"/>
  <c r="L1014"/>
  <c r="L1013"/>
  <c r="L230"/>
  <c r="L732"/>
  <c r="L486"/>
  <c r="L1012"/>
  <c r="L485"/>
  <c r="L66"/>
  <c r="L1011"/>
  <c r="L901"/>
  <c r="L971"/>
  <c r="L1010"/>
  <c r="L1009"/>
  <c r="L268"/>
  <c r="L267"/>
  <c r="L900"/>
  <c r="L1008"/>
  <c r="L970"/>
  <c r="L1007"/>
  <c r="L1006"/>
  <c r="L1005"/>
  <c r="L1004"/>
  <c r="L528"/>
  <c r="L722"/>
  <c r="L1003"/>
  <c r="L1002"/>
  <c r="L1001"/>
  <c r="L425"/>
  <c r="L1000"/>
  <c r="L688"/>
  <c r="L999"/>
  <c r="L998"/>
  <c r="L997"/>
  <c r="L996"/>
  <c r="L995"/>
  <c r="L994"/>
  <c r="L993"/>
  <c r="L899"/>
  <c r="L613"/>
  <c r="L781"/>
  <c r="L992"/>
  <c r="L590"/>
  <c r="L991"/>
  <c r="L990"/>
  <c r="L898"/>
  <c r="L989"/>
  <c r="L55"/>
  <c r="L988"/>
  <c r="L987"/>
  <c r="L986"/>
  <c r="L985"/>
  <c r="L484"/>
  <c r="L984"/>
  <c r="L969"/>
  <c r="L968"/>
  <c r="L967"/>
  <c r="L966"/>
  <c r="L965"/>
  <c r="L964"/>
  <c r="L963"/>
  <c r="L962"/>
  <c r="L961"/>
  <c r="L960"/>
  <c r="L959"/>
  <c r="L958"/>
  <c r="L957"/>
  <c r="L956"/>
  <c r="L955"/>
  <c r="L954"/>
  <c r="L953"/>
  <c r="L952"/>
  <c r="L949"/>
  <c r="L948"/>
  <c r="L946"/>
  <c r="L897"/>
  <c r="L896"/>
  <c r="L895"/>
  <c r="L894"/>
  <c r="L893"/>
  <c r="L892"/>
  <c r="L891"/>
  <c r="L890"/>
  <c r="L889"/>
  <c r="L888"/>
  <c r="L887"/>
  <c r="L886"/>
  <c r="L885"/>
  <c r="L884"/>
  <c r="L883"/>
  <c r="L882"/>
  <c r="L881"/>
  <c r="L880"/>
  <c r="L879"/>
  <c r="L878"/>
  <c r="L877"/>
  <c r="L876"/>
  <c r="L875"/>
  <c r="L874"/>
  <c r="L873"/>
  <c r="L872"/>
  <c r="L871"/>
  <c r="L870"/>
  <c r="L869"/>
  <c r="L868"/>
  <c r="L867"/>
  <c r="L866"/>
  <c r="L865"/>
  <c r="L864"/>
  <c r="L863"/>
  <c r="L862"/>
  <c r="L861"/>
  <c r="L860"/>
  <c r="L859"/>
  <c r="L858"/>
  <c r="L857"/>
  <c r="L856"/>
  <c r="L855"/>
  <c r="L854"/>
  <c r="L853"/>
  <c r="L852"/>
  <c r="L851"/>
  <c r="L850"/>
  <c r="L849"/>
  <c r="L848"/>
  <c r="L847"/>
  <c r="L846"/>
  <c r="L845"/>
  <c r="L844"/>
  <c r="L843"/>
  <c r="L842"/>
  <c r="L841"/>
  <c r="L840"/>
  <c r="L839"/>
  <c r="L838"/>
  <c r="L837"/>
  <c r="L836"/>
  <c r="L835"/>
  <c r="L834"/>
  <c r="L833"/>
  <c r="L832"/>
  <c r="L831"/>
  <c r="L830"/>
  <c r="L829"/>
  <c r="L828"/>
  <c r="L827"/>
  <c r="L826"/>
  <c r="L825"/>
  <c r="L824"/>
  <c r="L823"/>
  <c r="L822"/>
  <c r="L821"/>
  <c r="L820"/>
  <c r="L819"/>
  <c r="L818"/>
  <c r="L817"/>
  <c r="L816"/>
  <c r="L815"/>
  <c r="L814"/>
  <c r="L813"/>
  <c r="L812"/>
  <c r="L811"/>
  <c r="L810"/>
  <c r="L809"/>
  <c r="L808"/>
  <c r="L807"/>
  <c r="L806"/>
  <c r="L805"/>
  <c r="L804"/>
  <c r="L780"/>
  <c r="L779"/>
  <c r="L778"/>
  <c r="L777"/>
  <c r="L776"/>
  <c r="L775"/>
  <c r="L774"/>
  <c r="L773"/>
  <c r="L772"/>
  <c r="L771"/>
  <c r="L770"/>
  <c r="L769"/>
  <c r="L768"/>
  <c r="L767"/>
  <c r="L766"/>
  <c r="L765"/>
  <c r="L764"/>
  <c r="L763"/>
  <c r="L762"/>
  <c r="L761"/>
  <c r="L760"/>
  <c r="L759"/>
  <c r="L758"/>
  <c r="L757"/>
  <c r="L756"/>
  <c r="L755"/>
  <c r="L754"/>
  <c r="L753"/>
  <c r="L752"/>
  <c r="L751"/>
  <c r="L750"/>
  <c r="L749"/>
  <c r="L748"/>
  <c r="L747"/>
  <c r="L746"/>
  <c r="L745"/>
  <c r="L744"/>
  <c r="L743"/>
  <c r="L742"/>
  <c r="L741"/>
  <c r="L740"/>
  <c r="L739"/>
  <c r="L731"/>
  <c r="L730"/>
  <c r="L729"/>
  <c r="L721"/>
  <c r="L720"/>
  <c r="L719"/>
  <c r="L687"/>
  <c r="L686"/>
  <c r="L685"/>
  <c r="L684"/>
  <c r="L683"/>
  <c r="L682"/>
  <c r="L681"/>
  <c r="L680"/>
  <c r="L679"/>
  <c r="L678"/>
  <c r="L677"/>
  <c r="L676"/>
  <c r="L675"/>
  <c r="L674"/>
  <c r="L673"/>
  <c r="L672"/>
  <c r="L671"/>
  <c r="L670"/>
  <c r="L669"/>
  <c r="L668"/>
  <c r="L667"/>
  <c r="L666"/>
  <c r="L665"/>
  <c r="L664"/>
  <c r="L663"/>
  <c r="L662"/>
  <c r="L661"/>
  <c r="L660"/>
  <c r="L659"/>
  <c r="L658"/>
  <c r="L657"/>
  <c r="L656"/>
  <c r="L655"/>
  <c r="L654"/>
  <c r="L653"/>
  <c r="L652"/>
  <c r="L651"/>
  <c r="L650"/>
  <c r="L649"/>
  <c r="L648"/>
  <c r="L647"/>
  <c r="L646"/>
  <c r="L645"/>
  <c r="L644"/>
  <c r="L643"/>
  <c r="L642"/>
  <c r="L641"/>
  <c r="L640"/>
  <c r="L639"/>
  <c r="L638"/>
  <c r="L637"/>
  <c r="L636"/>
  <c r="L635"/>
  <c r="L634"/>
  <c r="L633"/>
  <c r="L632"/>
  <c r="L631"/>
  <c r="L630"/>
  <c r="L629"/>
  <c r="L628"/>
  <c r="L627"/>
  <c r="L626"/>
  <c r="L625"/>
  <c r="L624"/>
  <c r="L623"/>
  <c r="L622"/>
  <c r="L621"/>
  <c r="L620"/>
  <c r="L619"/>
  <c r="L618"/>
  <c r="L617"/>
  <c r="L616"/>
  <c r="L612"/>
  <c r="L611"/>
  <c r="L610"/>
  <c r="L609"/>
  <c r="L589"/>
  <c r="L588"/>
  <c r="L587"/>
  <c r="L586"/>
  <c r="L585"/>
  <c r="L584"/>
  <c r="L583"/>
  <c r="L582"/>
  <c r="L581"/>
  <c r="L580"/>
  <c r="L579"/>
  <c r="L578"/>
  <c r="L577"/>
  <c r="L576"/>
  <c r="L575"/>
  <c r="L574"/>
  <c r="L573"/>
  <c r="L572"/>
  <c r="L571"/>
  <c r="L570"/>
  <c r="L569"/>
  <c r="L568"/>
  <c r="L567"/>
  <c r="L566"/>
  <c r="L565"/>
  <c r="L564"/>
  <c r="L563"/>
  <c r="L562"/>
  <c r="L561"/>
  <c r="L560"/>
  <c r="L559"/>
  <c r="L558"/>
  <c r="L557"/>
  <c r="L556"/>
  <c r="L555"/>
  <c r="L608"/>
  <c r="L554"/>
  <c r="L553"/>
  <c r="L552"/>
  <c r="L551"/>
  <c r="L550"/>
  <c r="L549"/>
  <c r="L545"/>
  <c r="L544"/>
  <c r="L543"/>
  <c r="L542"/>
  <c r="L541"/>
  <c r="L538"/>
  <c r="L548"/>
  <c r="L536"/>
  <c r="L527"/>
  <c r="L526"/>
  <c r="L525"/>
  <c r="L524"/>
  <c r="L523"/>
  <c r="L522"/>
  <c r="L521"/>
  <c r="L520"/>
  <c r="L519"/>
  <c r="L518"/>
  <c r="L517"/>
  <c r="L516"/>
  <c r="L515"/>
  <c r="L514"/>
  <c r="L513"/>
  <c r="L512"/>
  <c r="L511"/>
  <c r="L483"/>
  <c r="L482"/>
  <c r="L481"/>
  <c r="L480"/>
  <c r="L479"/>
  <c r="L478"/>
  <c r="L477"/>
  <c r="L476"/>
  <c r="L475"/>
  <c r="L474"/>
  <c r="L473"/>
  <c r="L472"/>
  <c r="L471"/>
  <c r="L470"/>
  <c r="L469"/>
  <c r="L468"/>
  <c r="L467"/>
  <c r="L466"/>
  <c r="L465"/>
  <c r="L464"/>
  <c r="L463"/>
  <c r="L462"/>
  <c r="L461"/>
  <c r="L460"/>
  <c r="L459"/>
  <c r="L458"/>
  <c r="L457"/>
  <c r="L456"/>
  <c r="L455"/>
  <c r="L454"/>
  <c r="L453"/>
  <c r="L452"/>
  <c r="L451"/>
  <c r="L450"/>
  <c r="L449"/>
  <c r="L448"/>
  <c r="L447"/>
  <c r="L446"/>
  <c r="L445"/>
  <c r="L444"/>
  <c r="L443"/>
  <c r="L442"/>
  <c r="L441"/>
  <c r="L440"/>
  <c r="L439"/>
  <c r="L438"/>
  <c r="L437"/>
  <c r="L433"/>
  <c r="L432"/>
  <c r="L431"/>
  <c r="L430"/>
  <c r="L429"/>
  <c r="L428"/>
  <c r="L427"/>
  <c r="L426"/>
  <c r="L421"/>
  <c r="L420"/>
  <c r="L419"/>
  <c r="L418"/>
  <c r="L417"/>
  <c r="L416"/>
  <c r="L415"/>
  <c r="L414"/>
  <c r="L424"/>
  <c r="L423"/>
  <c r="L422"/>
  <c r="L403"/>
  <c r="L402"/>
  <c r="L401"/>
  <c r="L400"/>
  <c r="L399"/>
  <c r="L398"/>
  <c r="L397"/>
  <c r="L396"/>
  <c r="L395"/>
  <c r="L394"/>
  <c r="L393"/>
  <c r="L392"/>
  <c r="L391"/>
  <c r="L390"/>
  <c r="L389"/>
  <c r="L388"/>
  <c r="L387"/>
  <c r="L386"/>
  <c r="L385"/>
  <c r="L384"/>
  <c r="L383"/>
  <c r="L382"/>
  <c r="L381"/>
  <c r="L380"/>
  <c r="L379"/>
  <c r="L378"/>
  <c r="L377"/>
  <c r="L376"/>
  <c r="L375"/>
  <c r="L374"/>
  <c r="L373"/>
  <c r="L372"/>
  <c r="L371"/>
  <c r="L370"/>
  <c r="L369"/>
  <c r="L368"/>
  <c r="L367"/>
  <c r="L366"/>
  <c r="L365"/>
  <c r="L364"/>
  <c r="L361"/>
  <c r="L360"/>
  <c r="L362"/>
  <c r="L354"/>
  <c r="L353"/>
  <c r="L352"/>
  <c r="L351"/>
  <c r="L350"/>
  <c r="L349"/>
  <c r="L348"/>
  <c r="L347"/>
  <c r="L346"/>
  <c r="L345"/>
  <c r="L344"/>
  <c r="L343"/>
  <c r="L342"/>
  <c r="L341"/>
  <c r="L340"/>
  <c r="L339"/>
  <c r="L330"/>
  <c r="L329"/>
  <c r="L328"/>
  <c r="L327"/>
  <c r="L326"/>
  <c r="L325"/>
  <c r="L324"/>
  <c r="L323"/>
  <c r="L322"/>
  <c r="L321"/>
  <c r="L320"/>
  <c r="L319"/>
  <c r="L318"/>
  <c r="L317"/>
  <c r="L316"/>
  <c r="L315"/>
  <c r="L314"/>
  <c r="L313"/>
  <c r="L312"/>
  <c r="L311"/>
  <c r="L310"/>
  <c r="L309"/>
  <c r="L308"/>
  <c r="L307"/>
  <c r="L306"/>
  <c r="L305"/>
  <c r="L304"/>
  <c r="L303"/>
  <c r="L302"/>
  <c r="L301"/>
  <c r="L300"/>
  <c r="L299"/>
  <c r="L298"/>
  <c r="L297"/>
  <c r="L296"/>
  <c r="L295"/>
  <c r="L294"/>
  <c r="L293"/>
  <c r="L292"/>
  <c r="L291"/>
  <c r="L289"/>
  <c r="L288"/>
  <c r="L287"/>
  <c r="L286"/>
  <c r="L285"/>
  <c r="L282"/>
  <c r="L281"/>
  <c r="L280"/>
  <c r="L279"/>
  <c r="L278"/>
  <c r="L266"/>
  <c r="L265"/>
  <c r="L264"/>
  <c r="L263"/>
  <c r="L262"/>
  <c r="L261"/>
  <c r="L260"/>
  <c r="L259"/>
  <c r="L258"/>
  <c r="L257"/>
  <c r="L256"/>
  <c r="L255"/>
  <c r="L254"/>
  <c r="L253"/>
  <c r="L252"/>
  <c r="L251"/>
  <c r="L250"/>
  <c r="L249"/>
  <c r="L248"/>
  <c r="L247"/>
  <c r="L246"/>
  <c r="L245"/>
  <c r="L243"/>
  <c r="L240"/>
  <c r="L239"/>
  <c r="L229"/>
  <c r="L228"/>
  <c r="L227"/>
  <c r="L226"/>
  <c r="L225"/>
  <c r="L224"/>
  <c r="L223"/>
  <c r="L222"/>
  <c r="L217"/>
  <c r="L216"/>
  <c r="L215"/>
  <c r="L214"/>
  <c r="L213"/>
  <c r="L212"/>
  <c r="L211"/>
  <c r="L210"/>
  <c r="L209"/>
  <c r="L208"/>
  <c r="L207"/>
  <c r="L206"/>
  <c r="L205"/>
  <c r="L204"/>
  <c r="L203"/>
  <c r="L202"/>
  <c r="L201"/>
  <c r="L200"/>
  <c r="L199"/>
  <c r="L198"/>
  <c r="L197"/>
  <c r="L196"/>
  <c r="L195"/>
  <c r="L194"/>
  <c r="L193"/>
  <c r="L192"/>
  <c r="L191"/>
  <c r="L188"/>
  <c r="L187"/>
  <c r="L186"/>
  <c r="L185"/>
  <c r="L184"/>
  <c r="L183"/>
  <c r="L182"/>
  <c r="L181"/>
  <c r="L180"/>
  <c r="L179"/>
  <c r="L173"/>
  <c r="L172"/>
  <c r="L171"/>
  <c r="L170"/>
  <c r="L169"/>
  <c r="L168"/>
  <c r="L167"/>
  <c r="L166"/>
  <c r="L165"/>
  <c r="L164"/>
  <c r="L163"/>
  <c r="L162"/>
  <c r="L161"/>
  <c r="L160"/>
  <c r="L159"/>
  <c r="L158"/>
  <c r="L157"/>
  <c r="L156"/>
  <c r="L155"/>
  <c r="L154"/>
  <c r="L152"/>
  <c r="L135"/>
  <c r="L134"/>
  <c r="L133"/>
  <c r="L132"/>
  <c r="L131"/>
  <c r="L130"/>
  <c r="L129"/>
  <c r="L128"/>
  <c r="L127"/>
  <c r="L126"/>
  <c r="L125"/>
  <c r="L124"/>
  <c r="L123"/>
  <c r="L122"/>
  <c r="L148"/>
  <c r="L147"/>
  <c r="L146"/>
  <c r="L145"/>
  <c r="L144"/>
  <c r="L143"/>
  <c r="L142"/>
  <c r="L119"/>
  <c r="L118"/>
  <c r="L117"/>
  <c r="L116"/>
  <c r="L115"/>
  <c r="L110"/>
  <c r="L109"/>
  <c r="L108"/>
  <c r="L107"/>
  <c r="L106"/>
  <c r="L105"/>
  <c r="L104"/>
  <c r="L103"/>
  <c r="L102"/>
  <c r="L101"/>
  <c r="L100"/>
  <c r="L99"/>
  <c r="L98"/>
  <c r="L113"/>
  <c r="L97"/>
  <c r="L96"/>
  <c r="L95"/>
  <c r="L94"/>
  <c r="L93"/>
  <c r="L89"/>
  <c r="L88"/>
  <c r="L87"/>
  <c r="L86"/>
  <c r="L85"/>
  <c r="L84"/>
  <c r="L83"/>
  <c r="L82"/>
  <c r="L81"/>
  <c r="L79"/>
  <c r="L78"/>
  <c r="L77"/>
  <c r="L76"/>
  <c r="L75"/>
  <c r="L74"/>
  <c r="L73"/>
  <c r="L72"/>
  <c r="L71"/>
  <c r="L69"/>
  <c r="L65"/>
  <c r="L64"/>
  <c r="L60"/>
  <c r="L59"/>
  <c r="L58"/>
  <c r="L57"/>
  <c r="L54"/>
  <c r="L56"/>
  <c r="L52"/>
  <c r="L51"/>
  <c r="L50"/>
  <c r="L49"/>
  <c r="L48"/>
  <c r="L47"/>
  <c r="L46"/>
  <c r="L45"/>
  <c r="L44"/>
  <c r="L238"/>
  <c r="L43"/>
  <c r="L40"/>
  <c r="L39"/>
  <c r="L38"/>
  <c r="L42"/>
  <c r="L41"/>
  <c r="L738"/>
  <c r="L37"/>
  <c r="L34"/>
  <c r="L32"/>
  <c r="L33"/>
  <c r="L30"/>
  <c r="L29"/>
  <c r="L27"/>
  <c r="L28"/>
  <c r="L26"/>
  <c r="L25"/>
  <c r="L23"/>
  <c r="L22"/>
  <c r="L21"/>
  <c r="L20"/>
  <c r="L19"/>
  <c r="L18"/>
  <c r="L15"/>
  <c r="L17"/>
  <c r="L16"/>
  <c r="L14"/>
  <c r="L13"/>
  <c r="L12"/>
  <c r="L11"/>
  <c r="L7"/>
  <c r="L9"/>
  <c r="L8"/>
  <c r="L6"/>
  <c r="L5"/>
  <c r="L3"/>
  <c r="L2"/>
  <c r="K10"/>
  <c r="I10"/>
  <c r="K535"/>
  <c r="I535"/>
  <c r="K945"/>
  <c r="I945"/>
  <c r="K1519"/>
  <c r="I1519"/>
  <c r="K1518"/>
  <c r="I1518"/>
  <c r="K141"/>
  <c r="I141"/>
  <c r="K1517"/>
  <c r="I1517"/>
  <c r="K1516"/>
  <c r="I1516"/>
  <c r="K718"/>
  <c r="I718"/>
  <c r="K1515"/>
  <c r="I1515"/>
  <c r="K1514"/>
  <c r="I1514"/>
  <c r="K717"/>
  <c r="I717"/>
  <c r="K413"/>
  <c r="I413"/>
  <c r="K1513"/>
  <c r="I1513"/>
  <c r="K153"/>
  <c r="I153"/>
  <c r="K1512"/>
  <c r="I1512"/>
  <c r="K1511"/>
  <c r="I1511"/>
  <c r="K1510"/>
  <c r="I1510"/>
  <c r="K1509"/>
  <c r="I1509"/>
  <c r="K1508"/>
  <c r="I1508"/>
  <c r="K1507"/>
  <c r="I1507"/>
  <c r="K284"/>
  <c r="I284"/>
  <c r="K1506"/>
  <c r="I1506"/>
  <c r="K1505"/>
  <c r="I1505"/>
  <c r="K35"/>
  <c r="I35"/>
  <c r="K1504"/>
  <c r="I1504"/>
  <c r="K1503"/>
  <c r="I1503"/>
  <c r="K1502"/>
  <c r="I1502"/>
  <c r="K1501"/>
  <c r="I1501"/>
  <c r="K1500"/>
  <c r="I1500"/>
  <c r="K1499"/>
  <c r="I1499"/>
  <c r="K1498"/>
  <c r="I1498"/>
  <c r="K1497"/>
  <c r="I1497"/>
  <c r="K337"/>
  <c r="I337"/>
  <c r="K1496"/>
  <c r="I1496"/>
  <c r="K1495"/>
  <c r="I1495"/>
  <c r="K1494"/>
  <c r="I1494"/>
  <c r="K1493"/>
  <c r="I1493"/>
  <c r="K1492"/>
  <c r="I1492"/>
  <c r="K112"/>
  <c r="I112"/>
  <c r="K944"/>
  <c r="I944"/>
  <c r="K1491"/>
  <c r="I1491"/>
  <c r="K943"/>
  <c r="I943"/>
  <c r="K1490"/>
  <c r="I1490"/>
  <c r="K1489"/>
  <c r="I1489"/>
  <c r="K1488"/>
  <c r="I1488"/>
  <c r="K716"/>
  <c r="I716"/>
  <c r="K1487"/>
  <c r="I1487"/>
  <c r="K1486"/>
  <c r="I1486"/>
  <c r="K1485"/>
  <c r="I1485"/>
  <c r="K1484"/>
  <c r="I1484"/>
  <c r="K1483"/>
  <c r="I1483"/>
  <c r="K1482"/>
  <c r="I1482"/>
  <c r="K1481"/>
  <c r="I1481"/>
  <c r="K1480"/>
  <c r="I1480"/>
  <c r="K1479"/>
  <c r="I1479"/>
  <c r="K1478"/>
  <c r="I1478"/>
  <c r="K1477"/>
  <c r="I1477"/>
  <c r="K1476"/>
  <c r="I1476"/>
  <c r="K121"/>
  <c r="I121"/>
  <c r="K1475"/>
  <c r="I1475"/>
  <c r="K1474"/>
  <c r="I1474"/>
  <c r="K715"/>
  <c r="I715"/>
  <c r="K1473"/>
  <c r="I1473"/>
  <c r="K1472"/>
  <c r="I1472"/>
  <c r="K607"/>
  <c r="I607"/>
  <c r="K714"/>
  <c r="I714"/>
  <c r="K1471"/>
  <c r="I1471"/>
  <c r="K1470"/>
  <c r="I1470"/>
  <c r="K1469"/>
  <c r="I1469"/>
  <c r="K1468"/>
  <c r="I1468"/>
  <c r="K1467"/>
  <c r="I1467"/>
  <c r="K1466"/>
  <c r="I1466"/>
  <c r="K713"/>
  <c r="I713"/>
  <c r="K236"/>
  <c r="I236"/>
  <c r="K1465"/>
  <c r="I1465"/>
  <c r="K712"/>
  <c r="I712"/>
  <c r="K92"/>
  <c r="I92"/>
  <c r="K1464"/>
  <c r="I1464"/>
  <c r="K1463"/>
  <c r="I1463"/>
  <c r="K1462"/>
  <c r="I1462"/>
  <c r="K1461"/>
  <c r="I1461"/>
  <c r="K711"/>
  <c r="I711"/>
  <c r="K1460"/>
  <c r="I1460"/>
  <c r="K277"/>
  <c r="I277"/>
  <c r="K1459"/>
  <c r="I1459"/>
  <c r="K1458"/>
  <c r="I1458"/>
  <c r="K510"/>
  <c r="I510"/>
  <c r="K534"/>
  <c r="I534"/>
  <c r="K1457"/>
  <c r="I1457"/>
  <c r="K1456"/>
  <c r="I1456"/>
  <c r="K1455"/>
  <c r="I1455"/>
  <c r="K91"/>
  <c r="I91"/>
  <c r="K1454"/>
  <c r="I1454"/>
  <c r="K710"/>
  <c r="I710"/>
  <c r="K1453"/>
  <c r="I1453"/>
  <c r="K1452"/>
  <c r="I1452"/>
  <c r="K1451"/>
  <c r="I1451"/>
  <c r="K1450"/>
  <c r="I1450"/>
  <c r="K1449"/>
  <c r="I1449"/>
  <c r="K1448"/>
  <c r="I1448"/>
  <c r="K1447"/>
  <c r="I1447"/>
  <c r="K1446"/>
  <c r="I1446"/>
  <c r="K533"/>
  <c r="I533"/>
  <c r="K983"/>
  <c r="I983"/>
  <c r="K1445"/>
  <c r="I1445"/>
  <c r="K606"/>
  <c r="I606"/>
  <c r="K1444"/>
  <c r="I1444"/>
  <c r="K1443"/>
  <c r="I1443"/>
  <c r="K1442"/>
  <c r="I1442"/>
  <c r="K1441"/>
  <c r="I1441"/>
  <c r="K1440"/>
  <c r="I1440"/>
  <c r="K1439"/>
  <c r="I1439"/>
  <c r="K982"/>
  <c r="I982"/>
  <c r="K1438"/>
  <c r="I1438"/>
  <c r="K1437"/>
  <c r="I1437"/>
  <c r="K1436"/>
  <c r="I1436"/>
  <c r="K942"/>
  <c r="I942"/>
  <c r="K290"/>
  <c r="I290"/>
  <c r="K1435"/>
  <c r="I1435"/>
  <c r="K1434"/>
  <c r="I1434"/>
  <c r="K1433"/>
  <c r="I1433"/>
  <c r="K1432"/>
  <c r="I1432"/>
  <c r="K1431"/>
  <c r="I1431"/>
  <c r="K1430"/>
  <c r="I1430"/>
  <c r="K1429"/>
  <c r="I1429"/>
  <c r="K509"/>
  <c r="I509"/>
  <c r="K1428"/>
  <c r="I1428"/>
  <c r="K1427"/>
  <c r="I1427"/>
  <c r="K540"/>
  <c r="I540"/>
  <c r="K941"/>
  <c r="I941"/>
  <c r="K1426"/>
  <c r="I1426"/>
  <c r="K1425"/>
  <c r="I1425"/>
  <c r="K1424"/>
  <c r="I1424"/>
  <c r="K1423"/>
  <c r="I1423"/>
  <c r="K940"/>
  <c r="I940"/>
  <c r="K939"/>
  <c r="I939"/>
  <c r="K709"/>
  <c r="I709"/>
  <c r="K605"/>
  <c r="I605"/>
  <c r="K1422"/>
  <c r="I1422"/>
  <c r="K4"/>
  <c r="I4"/>
  <c r="K1421"/>
  <c r="I1421"/>
  <c r="K1420"/>
  <c r="I1420"/>
  <c r="K1419"/>
  <c r="I1419"/>
  <c r="K1418"/>
  <c r="I1418"/>
  <c r="K412"/>
  <c r="I412"/>
  <c r="K508"/>
  <c r="I508"/>
  <c r="K938"/>
  <c r="I938"/>
  <c r="K1417"/>
  <c r="I1417"/>
  <c r="K1416"/>
  <c r="I1416"/>
  <c r="K67"/>
  <c r="I67"/>
  <c r="K1415"/>
  <c r="I1415"/>
  <c r="K1414"/>
  <c r="I1414"/>
  <c r="K1413"/>
  <c r="I1413"/>
  <c r="K1412"/>
  <c r="I1412"/>
  <c r="K604"/>
  <c r="I604"/>
  <c r="K178"/>
  <c r="I178"/>
  <c r="K1411"/>
  <c r="I1411"/>
  <c r="K1410"/>
  <c r="I1410"/>
  <c r="K1409"/>
  <c r="I1409"/>
  <c r="K1408"/>
  <c r="I1408"/>
  <c r="K1407"/>
  <c r="I1407"/>
  <c r="K1406"/>
  <c r="I1406"/>
  <c r="K1405"/>
  <c r="I1405"/>
  <c r="K1404"/>
  <c r="I1404"/>
  <c r="K1403"/>
  <c r="I1403"/>
  <c r="K1402"/>
  <c r="I1402"/>
  <c r="K1401"/>
  <c r="I1401"/>
  <c r="K1400"/>
  <c r="I1400"/>
  <c r="K1399"/>
  <c r="I1399"/>
  <c r="K507"/>
  <c r="I507"/>
  <c r="K981"/>
  <c r="I981"/>
  <c r="K1398"/>
  <c r="I1398"/>
  <c r="K1397"/>
  <c r="I1397"/>
  <c r="K1396"/>
  <c r="I1396"/>
  <c r="K1395"/>
  <c r="I1395"/>
  <c r="K411"/>
  <c r="I411"/>
  <c r="K1394"/>
  <c r="I1394"/>
  <c r="K728"/>
  <c r="I728"/>
  <c r="K1393"/>
  <c r="I1393"/>
  <c r="K1392"/>
  <c r="I1392"/>
  <c r="K1391"/>
  <c r="I1391"/>
  <c r="K708"/>
  <c r="I708"/>
  <c r="K1390"/>
  <c r="I1390"/>
  <c r="K1389"/>
  <c r="I1389"/>
  <c r="K1388"/>
  <c r="I1388"/>
  <c r="K532"/>
  <c r="I532"/>
  <c r="K1387"/>
  <c r="I1387"/>
  <c r="K1386"/>
  <c r="I1386"/>
  <c r="K1385"/>
  <c r="I1385"/>
  <c r="K1384"/>
  <c r="I1384"/>
  <c r="K603"/>
  <c r="I603"/>
  <c r="K707"/>
  <c r="I707"/>
  <c r="K937"/>
  <c r="I937"/>
  <c r="K1383"/>
  <c r="I1383"/>
  <c r="K1382"/>
  <c r="I1382"/>
  <c r="K1381"/>
  <c r="I1381"/>
  <c r="K1380"/>
  <c r="I1380"/>
  <c r="K803"/>
  <c r="I803"/>
  <c r="K936"/>
  <c r="I936"/>
  <c r="K1379"/>
  <c r="I1379"/>
  <c r="K237"/>
  <c r="I237"/>
  <c r="K276"/>
  <c r="I276"/>
  <c r="K436"/>
  <c r="I436"/>
  <c r="K1378"/>
  <c r="I1378"/>
  <c r="K951"/>
  <c r="I951"/>
  <c r="K1377"/>
  <c r="I1377"/>
  <c r="K1376"/>
  <c r="I1376"/>
  <c r="K980"/>
  <c r="I980"/>
  <c r="K1375"/>
  <c r="I1375"/>
  <c r="K1374"/>
  <c r="I1374"/>
  <c r="K1373"/>
  <c r="I1373"/>
  <c r="K935"/>
  <c r="I935"/>
  <c r="K1372"/>
  <c r="I1372"/>
  <c r="K1371"/>
  <c r="I1371"/>
  <c r="K602"/>
  <c r="I602"/>
  <c r="K1370"/>
  <c r="I1370"/>
  <c r="K1369"/>
  <c r="I1369"/>
  <c r="K1368"/>
  <c r="I1368"/>
  <c r="K1367"/>
  <c r="I1367"/>
  <c r="K1366"/>
  <c r="I1366"/>
  <c r="K1365"/>
  <c r="I1365"/>
  <c r="K1364"/>
  <c r="I1364"/>
  <c r="K1363"/>
  <c r="I1363"/>
  <c r="K979"/>
  <c r="I979"/>
  <c r="K1362"/>
  <c r="I1362"/>
  <c r="K1361"/>
  <c r="I1361"/>
  <c r="K1360"/>
  <c r="I1360"/>
  <c r="K1359"/>
  <c r="I1359"/>
  <c r="K1358"/>
  <c r="I1358"/>
  <c r="K1357"/>
  <c r="I1357"/>
  <c r="K1356"/>
  <c r="I1356"/>
  <c r="K1355"/>
  <c r="I1355"/>
  <c r="K1354"/>
  <c r="I1354"/>
  <c r="K706"/>
  <c r="I706"/>
  <c r="K802"/>
  <c r="I802"/>
  <c r="K1353"/>
  <c r="I1353"/>
  <c r="K1352"/>
  <c r="I1352"/>
  <c r="K1351"/>
  <c r="I1351"/>
  <c r="K801"/>
  <c r="I801"/>
  <c r="K1350"/>
  <c r="I1350"/>
  <c r="K705"/>
  <c r="I705"/>
  <c r="K1349"/>
  <c r="I1349"/>
  <c r="K1348"/>
  <c r="I1348"/>
  <c r="K1347"/>
  <c r="I1347"/>
  <c r="K1346"/>
  <c r="I1346"/>
  <c r="K1345"/>
  <c r="I1345"/>
  <c r="K1344"/>
  <c r="I1344"/>
  <c r="K151"/>
  <c r="I151"/>
  <c r="K1343"/>
  <c r="I1343"/>
  <c r="K1342"/>
  <c r="I1342"/>
  <c r="K1341"/>
  <c r="I1341"/>
  <c r="K601"/>
  <c r="I601"/>
  <c r="K1340"/>
  <c r="I1340"/>
  <c r="K978"/>
  <c r="I978"/>
  <c r="K1339"/>
  <c r="I1339"/>
  <c r="K800"/>
  <c r="I800"/>
  <c r="K1338"/>
  <c r="I1338"/>
  <c r="K220"/>
  <c r="I220"/>
  <c r="K1337"/>
  <c r="I1337"/>
  <c r="K80"/>
  <c r="I80"/>
  <c r="K1336"/>
  <c r="I1336"/>
  <c r="K1335"/>
  <c r="I1335"/>
  <c r="K531"/>
  <c r="I531"/>
  <c r="K1334"/>
  <c r="I1334"/>
  <c r="K1333"/>
  <c r="I1333"/>
  <c r="K1332"/>
  <c r="I1332"/>
  <c r="K1331"/>
  <c r="I1331"/>
  <c r="K1330"/>
  <c r="I1330"/>
  <c r="K1329"/>
  <c r="I1329"/>
  <c r="K1328"/>
  <c r="I1328"/>
  <c r="K1327"/>
  <c r="I1327"/>
  <c r="K1326"/>
  <c r="I1326"/>
  <c r="K336"/>
  <c r="I336"/>
  <c r="K1325"/>
  <c r="I1325"/>
  <c r="K1324"/>
  <c r="I1324"/>
  <c r="K615"/>
  <c r="I615"/>
  <c r="K1323"/>
  <c r="I1323"/>
  <c r="K335"/>
  <c r="I335"/>
  <c r="K1322"/>
  <c r="I1322"/>
  <c r="K1321"/>
  <c r="I1321"/>
  <c r="K1320"/>
  <c r="I1320"/>
  <c r="K1319"/>
  <c r="I1319"/>
  <c r="K1318"/>
  <c r="I1318"/>
  <c r="K1317"/>
  <c r="I1317"/>
  <c r="K334"/>
  <c r="I334"/>
  <c r="K1316"/>
  <c r="I1316"/>
  <c r="K1315"/>
  <c r="I1315"/>
  <c r="K947"/>
  <c r="I947"/>
  <c r="K1314"/>
  <c r="I1314"/>
  <c r="K1313"/>
  <c r="I1313"/>
  <c r="K114"/>
  <c r="I114"/>
  <c r="K600"/>
  <c r="I600"/>
  <c r="K1312"/>
  <c r="I1312"/>
  <c r="K506"/>
  <c r="I506"/>
  <c r="K1311"/>
  <c r="I1311"/>
  <c r="K1310"/>
  <c r="I1310"/>
  <c r="K977"/>
  <c r="I977"/>
  <c r="K1309"/>
  <c r="I1309"/>
  <c r="K934"/>
  <c r="I934"/>
  <c r="K505"/>
  <c r="I505"/>
  <c r="K1308"/>
  <c r="I1308"/>
  <c r="K1307"/>
  <c r="I1307"/>
  <c r="K1306"/>
  <c r="I1306"/>
  <c r="K1305"/>
  <c r="I1305"/>
  <c r="K1304"/>
  <c r="I1304"/>
  <c r="K1303"/>
  <c r="I1303"/>
  <c r="K1302"/>
  <c r="I1302"/>
  <c r="K704"/>
  <c r="I704"/>
  <c r="K1301"/>
  <c r="I1301"/>
  <c r="K1300"/>
  <c r="I1300"/>
  <c r="K1299"/>
  <c r="I1299"/>
  <c r="K1298"/>
  <c r="I1298"/>
  <c r="K1297"/>
  <c r="I1297"/>
  <c r="K933"/>
  <c r="I933"/>
  <c r="K1296"/>
  <c r="I1296"/>
  <c r="K1295"/>
  <c r="I1295"/>
  <c r="K1294"/>
  <c r="I1294"/>
  <c r="K1293"/>
  <c r="I1293"/>
  <c r="K1292"/>
  <c r="I1292"/>
  <c r="K504"/>
  <c r="I504"/>
  <c r="K932"/>
  <c r="I932"/>
  <c r="K931"/>
  <c r="I931"/>
  <c r="K930"/>
  <c r="I930"/>
  <c r="K1291"/>
  <c r="I1291"/>
  <c r="K1290"/>
  <c r="I1290"/>
  <c r="K737"/>
  <c r="I737"/>
  <c r="K1289"/>
  <c r="I1289"/>
  <c r="K1288"/>
  <c r="I1288"/>
  <c r="K1287"/>
  <c r="I1287"/>
  <c r="K1286"/>
  <c r="I1286"/>
  <c r="K1285"/>
  <c r="I1285"/>
  <c r="K1284"/>
  <c r="I1284"/>
  <c r="K1283"/>
  <c r="I1283"/>
  <c r="K547"/>
  <c r="I547"/>
  <c r="K1282"/>
  <c r="I1282"/>
  <c r="K1281"/>
  <c r="I1281"/>
  <c r="K1280"/>
  <c r="I1280"/>
  <c r="K1279"/>
  <c r="I1279"/>
  <c r="K703"/>
  <c r="I703"/>
  <c r="K799"/>
  <c r="I799"/>
  <c r="K929"/>
  <c r="I929"/>
  <c r="K503"/>
  <c r="I503"/>
  <c r="K928"/>
  <c r="I928"/>
  <c r="K275"/>
  <c r="I275"/>
  <c r="K410"/>
  <c r="I410"/>
  <c r="K140"/>
  <c r="I140"/>
  <c r="K1278"/>
  <c r="I1278"/>
  <c r="K927"/>
  <c r="I927"/>
  <c r="K1277"/>
  <c r="I1277"/>
  <c r="K798"/>
  <c r="I798"/>
  <c r="K435"/>
  <c r="I435"/>
  <c r="K1276"/>
  <c r="I1276"/>
  <c r="K1275"/>
  <c r="I1275"/>
  <c r="K1274"/>
  <c r="I1274"/>
  <c r="K1273"/>
  <c r="I1273"/>
  <c r="K926"/>
  <c r="I926"/>
  <c r="K502"/>
  <c r="I502"/>
  <c r="K434"/>
  <c r="I434"/>
  <c r="K1272"/>
  <c r="I1272"/>
  <c r="K1271"/>
  <c r="I1271"/>
  <c r="K1270"/>
  <c r="I1270"/>
  <c r="K1269"/>
  <c r="I1269"/>
  <c r="K1268"/>
  <c r="I1268"/>
  <c r="K599"/>
  <c r="I599"/>
  <c r="K409"/>
  <c r="I409"/>
  <c r="K1267"/>
  <c r="I1267"/>
  <c r="K1266"/>
  <c r="I1266"/>
  <c r="K1265"/>
  <c r="I1265"/>
  <c r="K177"/>
  <c r="I177"/>
  <c r="K1264"/>
  <c r="I1264"/>
  <c r="K1263"/>
  <c r="I1263"/>
  <c r="K925"/>
  <c r="I925"/>
  <c r="K1262"/>
  <c r="I1262"/>
  <c r="K924"/>
  <c r="I924"/>
  <c r="K1261"/>
  <c r="I1261"/>
  <c r="K797"/>
  <c r="I797"/>
  <c r="K1260"/>
  <c r="I1260"/>
  <c r="K1259"/>
  <c r="I1259"/>
  <c r="K1258"/>
  <c r="I1258"/>
  <c r="K1257"/>
  <c r="I1257"/>
  <c r="K1256"/>
  <c r="I1256"/>
  <c r="K796"/>
  <c r="I796"/>
  <c r="K1255"/>
  <c r="I1255"/>
  <c r="K1254"/>
  <c r="I1254"/>
  <c r="K1253"/>
  <c r="I1253"/>
  <c r="K1252"/>
  <c r="I1252"/>
  <c r="K1251"/>
  <c r="I1251"/>
  <c r="K1250"/>
  <c r="I1250"/>
  <c r="K1249"/>
  <c r="I1249"/>
  <c r="K1248"/>
  <c r="I1248"/>
  <c r="K923"/>
  <c r="I923"/>
  <c r="K1247"/>
  <c r="I1247"/>
  <c r="K1246"/>
  <c r="I1246"/>
  <c r="K1245"/>
  <c r="I1245"/>
  <c r="K1244"/>
  <c r="I1244"/>
  <c r="K1243"/>
  <c r="I1243"/>
  <c r="K539"/>
  <c r="I539"/>
  <c r="K1242"/>
  <c r="I1242"/>
  <c r="K1241"/>
  <c r="I1241"/>
  <c r="K1240"/>
  <c r="I1240"/>
  <c r="K1239"/>
  <c r="I1239"/>
  <c r="K1238"/>
  <c r="I1238"/>
  <c r="K1237"/>
  <c r="I1237"/>
  <c r="K1236"/>
  <c r="I1236"/>
  <c r="K1235"/>
  <c r="I1235"/>
  <c r="K1234"/>
  <c r="I1234"/>
  <c r="K1233"/>
  <c r="I1233"/>
  <c r="K727"/>
  <c r="I727"/>
  <c r="K598"/>
  <c r="I598"/>
  <c r="K1232"/>
  <c r="I1232"/>
  <c r="K614"/>
  <c r="I614"/>
  <c r="K922"/>
  <c r="I922"/>
  <c r="K1231"/>
  <c r="I1231"/>
  <c r="K1230"/>
  <c r="I1230"/>
  <c r="K1229"/>
  <c r="I1229"/>
  <c r="K1228"/>
  <c r="I1228"/>
  <c r="K1227"/>
  <c r="I1227"/>
  <c r="K1226"/>
  <c r="I1226"/>
  <c r="K176"/>
  <c r="I176"/>
  <c r="K70"/>
  <c r="I70"/>
  <c r="K976"/>
  <c r="I976"/>
  <c r="K408"/>
  <c r="I408"/>
  <c r="K1225"/>
  <c r="I1225"/>
  <c r="K1224"/>
  <c r="I1224"/>
  <c r="K501"/>
  <c r="I501"/>
  <c r="K1223"/>
  <c r="I1223"/>
  <c r="K1222"/>
  <c r="I1222"/>
  <c r="K795"/>
  <c r="I795"/>
  <c r="K726"/>
  <c r="I726"/>
  <c r="K702"/>
  <c r="I702"/>
  <c r="K1221"/>
  <c r="I1221"/>
  <c r="K1220"/>
  <c r="I1220"/>
  <c r="K921"/>
  <c r="I921"/>
  <c r="K1219"/>
  <c r="I1219"/>
  <c r="K1218"/>
  <c r="I1218"/>
  <c r="K1217"/>
  <c r="I1217"/>
  <c r="K1216"/>
  <c r="I1216"/>
  <c r="K1215"/>
  <c r="I1215"/>
  <c r="K1214"/>
  <c r="I1214"/>
  <c r="K1213"/>
  <c r="I1213"/>
  <c r="K794"/>
  <c r="I794"/>
  <c r="K920"/>
  <c r="I920"/>
  <c r="K975"/>
  <c r="I975"/>
  <c r="K1212"/>
  <c r="I1212"/>
  <c r="K1211"/>
  <c r="I1211"/>
  <c r="K919"/>
  <c r="I919"/>
  <c r="K1210"/>
  <c r="I1210"/>
  <c r="K1209"/>
  <c r="I1209"/>
  <c r="K1208"/>
  <c r="I1208"/>
  <c r="K597"/>
  <c r="I597"/>
  <c r="K701"/>
  <c r="I701"/>
  <c r="K530"/>
  <c r="I530"/>
  <c r="K1207"/>
  <c r="I1207"/>
  <c r="K700"/>
  <c r="I700"/>
  <c r="K407"/>
  <c r="I407"/>
  <c r="K918"/>
  <c r="I918"/>
  <c r="K1206"/>
  <c r="I1206"/>
  <c r="K1205"/>
  <c r="I1205"/>
  <c r="K1204"/>
  <c r="I1204"/>
  <c r="K500"/>
  <c r="I500"/>
  <c r="K1203"/>
  <c r="I1203"/>
  <c r="K917"/>
  <c r="I917"/>
  <c r="K1202"/>
  <c r="I1202"/>
  <c r="K793"/>
  <c r="I793"/>
  <c r="K1201"/>
  <c r="I1201"/>
  <c r="K235"/>
  <c r="I235"/>
  <c r="K139"/>
  <c r="I139"/>
  <c r="K359"/>
  <c r="I359"/>
  <c r="K792"/>
  <c r="I792"/>
  <c r="K1200"/>
  <c r="I1200"/>
  <c r="K406"/>
  <c r="I406"/>
  <c r="K1199"/>
  <c r="I1199"/>
  <c r="K1198"/>
  <c r="I1198"/>
  <c r="K1197"/>
  <c r="I1197"/>
  <c r="K916"/>
  <c r="I916"/>
  <c r="K699"/>
  <c r="I699"/>
  <c r="K150"/>
  <c r="I150"/>
  <c r="K1196"/>
  <c r="I1196"/>
  <c r="K1195"/>
  <c r="I1195"/>
  <c r="K1194"/>
  <c r="I1194"/>
  <c r="K219"/>
  <c r="I219"/>
  <c r="K791"/>
  <c r="I791"/>
  <c r="K1193"/>
  <c r="I1193"/>
  <c r="K1192"/>
  <c r="I1192"/>
  <c r="K1191"/>
  <c r="I1191"/>
  <c r="K1190"/>
  <c r="I1190"/>
  <c r="K1189"/>
  <c r="I1189"/>
  <c r="K1188"/>
  <c r="I1188"/>
  <c r="K915"/>
  <c r="I915"/>
  <c r="K333"/>
  <c r="I333"/>
  <c r="K1187"/>
  <c r="I1187"/>
  <c r="K698"/>
  <c r="I698"/>
  <c r="K914"/>
  <c r="I914"/>
  <c r="K1186"/>
  <c r="I1186"/>
  <c r="K1185"/>
  <c r="I1185"/>
  <c r="K1184"/>
  <c r="I1184"/>
  <c r="K1183"/>
  <c r="I1183"/>
  <c r="K1182"/>
  <c r="I1182"/>
  <c r="K1181"/>
  <c r="I1181"/>
  <c r="K1180"/>
  <c r="I1180"/>
  <c r="K1179"/>
  <c r="I1179"/>
  <c r="K1178"/>
  <c r="I1178"/>
  <c r="K974"/>
  <c r="I974"/>
  <c r="K1177"/>
  <c r="I1177"/>
  <c r="K1176"/>
  <c r="I1176"/>
  <c r="K1175"/>
  <c r="I1175"/>
  <c r="K596"/>
  <c r="I596"/>
  <c r="K1174"/>
  <c r="I1174"/>
  <c r="K1173"/>
  <c r="I1173"/>
  <c r="K190"/>
  <c r="I190"/>
  <c r="K1172"/>
  <c r="I1172"/>
  <c r="K1171"/>
  <c r="I1171"/>
  <c r="K1170"/>
  <c r="I1170"/>
  <c r="K90"/>
  <c r="I90"/>
  <c r="K358"/>
  <c r="I358"/>
  <c r="K234"/>
  <c r="I234"/>
  <c r="K1169"/>
  <c r="I1169"/>
  <c r="K1168"/>
  <c r="I1168"/>
  <c r="K1167"/>
  <c r="I1167"/>
  <c r="K1166"/>
  <c r="I1166"/>
  <c r="K1165"/>
  <c r="I1165"/>
  <c r="K973"/>
  <c r="I973"/>
  <c r="K221"/>
  <c r="I221"/>
  <c r="K233"/>
  <c r="I233"/>
  <c r="K537"/>
  <c r="I537"/>
  <c r="K1164"/>
  <c r="I1164"/>
  <c r="K1163"/>
  <c r="I1163"/>
  <c r="K950"/>
  <c r="I950"/>
  <c r="K790"/>
  <c r="I790"/>
  <c r="K697"/>
  <c r="I697"/>
  <c r="K1162"/>
  <c r="I1162"/>
  <c r="K696"/>
  <c r="I696"/>
  <c r="K1161"/>
  <c r="I1161"/>
  <c r="K1160"/>
  <c r="I1160"/>
  <c r="K1159"/>
  <c r="I1159"/>
  <c r="K913"/>
  <c r="I913"/>
  <c r="K912"/>
  <c r="I912"/>
  <c r="K499"/>
  <c r="I499"/>
  <c r="K1158"/>
  <c r="I1158"/>
  <c r="K1157"/>
  <c r="I1157"/>
  <c r="K274"/>
  <c r="I274"/>
  <c r="K1156"/>
  <c r="I1156"/>
  <c r="K1155"/>
  <c r="I1155"/>
  <c r="K1154"/>
  <c r="I1154"/>
  <c r="K498"/>
  <c r="I498"/>
  <c r="K1153"/>
  <c r="I1153"/>
  <c r="K1152"/>
  <c r="I1152"/>
  <c r="K1151"/>
  <c r="I1151"/>
  <c r="K1150"/>
  <c r="I1150"/>
  <c r="K1149"/>
  <c r="I1149"/>
  <c r="K1148"/>
  <c r="I1148"/>
  <c r="K736"/>
  <c r="I736"/>
  <c r="K1147"/>
  <c r="I1147"/>
  <c r="K789"/>
  <c r="I789"/>
  <c r="K1146"/>
  <c r="I1146"/>
  <c r="K175"/>
  <c r="I175"/>
  <c r="K497"/>
  <c r="I497"/>
  <c r="K595"/>
  <c r="I595"/>
  <c r="K911"/>
  <c r="I911"/>
  <c r="K218"/>
  <c r="I218"/>
  <c r="K68"/>
  <c r="I68"/>
  <c r="K910"/>
  <c r="I910"/>
  <c r="K1145"/>
  <c r="I1145"/>
  <c r="K735"/>
  <c r="I735"/>
  <c r="K496"/>
  <c r="I496"/>
  <c r="K1144"/>
  <c r="I1144"/>
  <c r="K909"/>
  <c r="I909"/>
  <c r="K1143"/>
  <c r="I1143"/>
  <c r="K1142"/>
  <c r="I1142"/>
  <c r="K1141"/>
  <c r="I1141"/>
  <c r="K1140"/>
  <c r="I1140"/>
  <c r="K1139"/>
  <c r="I1139"/>
  <c r="K1138"/>
  <c r="I1138"/>
  <c r="K1137"/>
  <c r="I1137"/>
  <c r="K31"/>
  <c r="I31"/>
  <c r="K1136"/>
  <c r="I1136"/>
  <c r="K338"/>
  <c r="I338"/>
  <c r="K1135"/>
  <c r="I1135"/>
  <c r="K1134"/>
  <c r="I1134"/>
  <c r="K788"/>
  <c r="I788"/>
  <c r="K1133"/>
  <c r="I1133"/>
  <c r="K1132"/>
  <c r="I1132"/>
  <c r="K1131"/>
  <c r="I1131"/>
  <c r="K1130"/>
  <c r="I1130"/>
  <c r="K138"/>
  <c r="I138"/>
  <c r="K1129"/>
  <c r="I1129"/>
  <c r="K1128"/>
  <c r="I1128"/>
  <c r="K120"/>
  <c r="I120"/>
  <c r="K695"/>
  <c r="I695"/>
  <c r="K1127"/>
  <c r="I1127"/>
  <c r="K908"/>
  <c r="I908"/>
  <c r="K1126"/>
  <c r="I1126"/>
  <c r="K63"/>
  <c r="I63"/>
  <c r="K1125"/>
  <c r="I1125"/>
  <c r="K495"/>
  <c r="I495"/>
  <c r="K1124"/>
  <c r="I1124"/>
  <c r="K1123"/>
  <c r="I1123"/>
  <c r="K1122"/>
  <c r="I1122"/>
  <c r="K1121"/>
  <c r="I1121"/>
  <c r="K1120"/>
  <c r="I1120"/>
  <c r="K1119"/>
  <c r="I1119"/>
  <c r="K694"/>
  <c r="I694"/>
  <c r="K273"/>
  <c r="I273"/>
  <c r="K1118"/>
  <c r="I1118"/>
  <c r="K494"/>
  <c r="I494"/>
  <c r="K493"/>
  <c r="I493"/>
  <c r="K1117"/>
  <c r="I1117"/>
  <c r="K174"/>
  <c r="I174"/>
  <c r="K242"/>
  <c r="I242"/>
  <c r="K492"/>
  <c r="I492"/>
  <c r="K1116"/>
  <c r="I1116"/>
  <c r="K1115"/>
  <c r="I1115"/>
  <c r="K1114"/>
  <c r="I1114"/>
  <c r="K1113"/>
  <c r="I1113"/>
  <c r="K1112"/>
  <c r="I1112"/>
  <c r="K1111"/>
  <c r="I1111"/>
  <c r="K1110"/>
  <c r="I1110"/>
  <c r="K787"/>
  <c r="I787"/>
  <c r="K1109"/>
  <c r="I1109"/>
  <c r="K357"/>
  <c r="I357"/>
  <c r="K1108"/>
  <c r="I1108"/>
  <c r="K907"/>
  <c r="I907"/>
  <c r="K972"/>
  <c r="I972"/>
  <c r="K1107"/>
  <c r="I1107"/>
  <c r="K1106"/>
  <c r="I1106"/>
  <c r="K786"/>
  <c r="I786"/>
  <c r="K491"/>
  <c r="I491"/>
  <c r="K906"/>
  <c r="I906"/>
  <c r="K1105"/>
  <c r="I1105"/>
  <c r="K241"/>
  <c r="I241"/>
  <c r="K1104"/>
  <c r="I1104"/>
  <c r="K1103"/>
  <c r="I1103"/>
  <c r="K785"/>
  <c r="I785"/>
  <c r="K232"/>
  <c r="I232"/>
  <c r="K490"/>
  <c r="I490"/>
  <c r="K1102"/>
  <c r="I1102"/>
  <c r="K784"/>
  <c r="I784"/>
  <c r="K594"/>
  <c r="I594"/>
  <c r="K1101"/>
  <c r="I1101"/>
  <c r="K405"/>
  <c r="I405"/>
  <c r="K1100"/>
  <c r="I1100"/>
  <c r="K1099"/>
  <c r="I1099"/>
  <c r="K1098"/>
  <c r="I1098"/>
  <c r="K1097"/>
  <c r="I1097"/>
  <c r="K1096"/>
  <c r="I1096"/>
  <c r="K1095"/>
  <c r="I1095"/>
  <c r="K1094"/>
  <c r="I1094"/>
  <c r="K693"/>
  <c r="I693"/>
  <c r="K1093"/>
  <c r="I1093"/>
  <c r="K1092"/>
  <c r="I1092"/>
  <c r="K1091"/>
  <c r="I1091"/>
  <c r="K1090"/>
  <c r="I1090"/>
  <c r="K1089"/>
  <c r="I1089"/>
  <c r="K1088"/>
  <c r="I1088"/>
  <c r="K356"/>
  <c r="I356"/>
  <c r="K1087"/>
  <c r="I1087"/>
  <c r="K1086"/>
  <c r="I1086"/>
  <c r="K1085"/>
  <c r="I1085"/>
  <c r="K355"/>
  <c r="I355"/>
  <c r="K1084"/>
  <c r="I1084"/>
  <c r="K1083"/>
  <c r="I1083"/>
  <c r="K1082"/>
  <c r="I1082"/>
  <c r="K1081"/>
  <c r="I1081"/>
  <c r="K1080"/>
  <c r="I1080"/>
  <c r="K593"/>
  <c r="I593"/>
  <c r="K62"/>
  <c r="I62"/>
  <c r="K1079"/>
  <c r="I1079"/>
  <c r="K272"/>
  <c r="I272"/>
  <c r="K244"/>
  <c r="I244"/>
  <c r="K1078"/>
  <c r="I1078"/>
  <c r="K1077"/>
  <c r="I1077"/>
  <c r="K725"/>
  <c r="I725"/>
  <c r="K1076"/>
  <c r="I1076"/>
  <c r="K1075"/>
  <c r="I1075"/>
  <c r="K1074"/>
  <c r="I1074"/>
  <c r="K1073"/>
  <c r="I1073"/>
  <c r="K1072"/>
  <c r="I1072"/>
  <c r="K724"/>
  <c r="I724"/>
  <c r="K1071"/>
  <c r="I1071"/>
  <c r="K1070"/>
  <c r="I1070"/>
  <c r="K489"/>
  <c r="I489"/>
  <c r="K1069"/>
  <c r="I1069"/>
  <c r="K1068"/>
  <c r="I1068"/>
  <c r="K1067"/>
  <c r="I1067"/>
  <c r="K1066"/>
  <c r="I1066"/>
  <c r="K1065"/>
  <c r="I1065"/>
  <c r="K1064"/>
  <c r="I1064"/>
  <c r="K905"/>
  <c r="I905"/>
  <c r="K904"/>
  <c r="I904"/>
  <c r="K692"/>
  <c r="I692"/>
  <c r="K903"/>
  <c r="I903"/>
  <c r="K271"/>
  <c r="I271"/>
  <c r="K1063"/>
  <c r="I1063"/>
  <c r="K363"/>
  <c r="I363"/>
  <c r="K231"/>
  <c r="I231"/>
  <c r="K1062"/>
  <c r="I1062"/>
  <c r="K691"/>
  <c r="I691"/>
  <c r="K1061"/>
  <c r="I1061"/>
  <c r="K1060"/>
  <c r="I1060"/>
  <c r="K1059"/>
  <c r="I1059"/>
  <c r="K1058"/>
  <c r="I1058"/>
  <c r="K404"/>
  <c r="I404"/>
  <c r="K111"/>
  <c r="I111"/>
  <c r="K1057"/>
  <c r="I1057"/>
  <c r="K1056"/>
  <c r="I1056"/>
  <c r="K1055"/>
  <c r="I1055"/>
  <c r="K1054"/>
  <c r="I1054"/>
  <c r="K1053"/>
  <c r="I1053"/>
  <c r="K1052"/>
  <c r="I1052"/>
  <c r="K1051"/>
  <c r="I1051"/>
  <c r="K1050"/>
  <c r="I1050"/>
  <c r="K1049"/>
  <c r="I1049"/>
  <c r="K137"/>
  <c r="I137"/>
  <c r="K1048"/>
  <c r="I1048"/>
  <c r="K1047"/>
  <c r="I1047"/>
  <c r="K1046"/>
  <c r="I1046"/>
  <c r="K1045"/>
  <c r="I1045"/>
  <c r="K1044"/>
  <c r="I1044"/>
  <c r="K488"/>
  <c r="I488"/>
  <c r="K592"/>
  <c r="I592"/>
  <c r="K546"/>
  <c r="I546"/>
  <c r="K487"/>
  <c r="I487"/>
  <c r="K53"/>
  <c r="I53"/>
  <c r="K332"/>
  <c r="I332"/>
  <c r="K1043"/>
  <c r="I1043"/>
  <c r="K149"/>
  <c r="I149"/>
  <c r="K1042"/>
  <c r="I1042"/>
  <c r="K1041"/>
  <c r="I1041"/>
  <c r="K734"/>
  <c r="I734"/>
  <c r="K283"/>
  <c r="I283"/>
  <c r="K1040"/>
  <c r="I1040"/>
  <c r="K1039"/>
  <c r="I1039"/>
  <c r="K690"/>
  <c r="I690"/>
  <c r="K1038"/>
  <c r="I1038"/>
  <c r="K1037"/>
  <c r="I1037"/>
  <c r="K270"/>
  <c r="I270"/>
  <c r="K902"/>
  <c r="I902"/>
  <c r="K689"/>
  <c r="I689"/>
  <c r="K733"/>
  <c r="I733"/>
  <c r="K1036"/>
  <c r="I1036"/>
  <c r="K529"/>
  <c r="I529"/>
  <c r="K1035"/>
  <c r="I1035"/>
  <c r="K1034"/>
  <c r="I1034"/>
  <c r="K189"/>
  <c r="I189"/>
  <c r="K1033"/>
  <c r="I1033"/>
  <c r="K1032"/>
  <c r="I1032"/>
  <c r="K1031"/>
  <c r="I1031"/>
  <c r="K1030"/>
  <c r="I1030"/>
  <c r="K1029"/>
  <c r="I1029"/>
  <c r="K1028"/>
  <c r="I1028"/>
  <c r="K1027"/>
  <c r="I1027"/>
  <c r="K1026"/>
  <c r="I1026"/>
  <c r="K723"/>
  <c r="I723"/>
  <c r="K1025"/>
  <c r="I1025"/>
  <c r="K1024"/>
  <c r="I1024"/>
  <c r="K36"/>
  <c r="I36"/>
  <c r="K1023"/>
  <c r="I1023"/>
  <c r="K1022"/>
  <c r="I1022"/>
  <c r="K1021"/>
  <c r="I1021"/>
  <c r="K1020"/>
  <c r="I1020"/>
  <c r="K61"/>
  <c r="I61"/>
  <c r="K269"/>
  <c r="I269"/>
  <c r="K1019"/>
  <c r="I1019"/>
  <c r="K136"/>
  <c r="I136"/>
  <c r="K1018"/>
  <c r="I1018"/>
  <c r="K591"/>
  <c r="I591"/>
  <c r="K1017"/>
  <c r="I1017"/>
  <c r="K1016"/>
  <c r="I1016"/>
  <c r="K331"/>
  <c r="I331"/>
  <c r="K1015"/>
  <c r="I1015"/>
  <c r="K783"/>
  <c r="I783"/>
  <c r="K24"/>
  <c r="I24"/>
  <c r="K782"/>
  <c r="I782"/>
  <c r="K1014"/>
  <c r="I1014"/>
  <c r="K1013"/>
  <c r="I1013"/>
  <c r="K230"/>
  <c r="I230"/>
  <c r="K732"/>
  <c r="I732"/>
  <c r="K486"/>
  <c r="I486"/>
  <c r="K1012"/>
  <c r="I1012"/>
  <c r="K485"/>
  <c r="I485"/>
  <c r="K66"/>
  <c r="I66"/>
  <c r="K1011"/>
  <c r="I1011"/>
  <c r="K901"/>
  <c r="I901"/>
  <c r="K971"/>
  <c r="I971"/>
  <c r="K1010"/>
  <c r="I1010"/>
  <c r="K1009"/>
  <c r="I1009"/>
  <c r="K268"/>
  <c r="I268"/>
  <c r="K267"/>
  <c r="I267"/>
  <c r="K900"/>
  <c r="I900"/>
  <c r="K1008"/>
  <c r="I1008"/>
  <c r="K970"/>
  <c r="I970"/>
  <c r="K1007"/>
  <c r="I1007"/>
  <c r="K1006"/>
  <c r="I1006"/>
  <c r="K1005"/>
  <c r="I1005"/>
  <c r="K1004"/>
  <c r="I1004"/>
  <c r="K528"/>
  <c r="I528"/>
  <c r="K722"/>
  <c r="I722"/>
  <c r="K1003"/>
  <c r="I1003"/>
  <c r="K1002"/>
  <c r="I1002"/>
  <c r="K1001"/>
  <c r="I1001"/>
  <c r="K425"/>
  <c r="I425"/>
  <c r="K1000"/>
  <c r="I1000"/>
  <c r="K688"/>
  <c r="I688"/>
  <c r="K999"/>
  <c r="I999"/>
  <c r="K998"/>
  <c r="I998"/>
  <c r="K997"/>
  <c r="I997"/>
  <c r="K996"/>
  <c r="I996"/>
  <c r="K995"/>
  <c r="I995"/>
  <c r="K994"/>
  <c r="I994"/>
  <c r="K993"/>
  <c r="I993"/>
  <c r="K899"/>
  <c r="I899"/>
  <c r="K613"/>
  <c r="I613"/>
  <c r="K781"/>
  <c r="I781"/>
  <c r="K992"/>
  <c r="I992"/>
  <c r="K590"/>
  <c r="I590"/>
  <c r="K991"/>
  <c r="I991"/>
  <c r="K990"/>
  <c r="I990"/>
  <c r="K898"/>
  <c r="I898"/>
  <c r="K989"/>
  <c r="I989"/>
  <c r="K55"/>
  <c r="I55"/>
  <c r="K988"/>
  <c r="I988"/>
  <c r="K987"/>
  <c r="I987"/>
  <c r="K986"/>
  <c r="I986"/>
  <c r="K985"/>
  <c r="I985"/>
  <c r="K484"/>
  <c r="I484"/>
  <c r="K984"/>
  <c r="I984"/>
  <c r="K969"/>
  <c r="I969"/>
  <c r="K968"/>
  <c r="I968"/>
  <c r="K967"/>
  <c r="I967"/>
  <c r="K966"/>
  <c r="I966"/>
  <c r="K965"/>
  <c r="I965"/>
  <c r="K964"/>
  <c r="I964"/>
  <c r="K963"/>
  <c r="I963"/>
  <c r="K962"/>
  <c r="I962"/>
  <c r="K961"/>
  <c r="I961"/>
  <c r="K960"/>
  <c r="I960"/>
  <c r="K959"/>
  <c r="I959"/>
  <c r="K958"/>
  <c r="I958"/>
  <c r="K957"/>
  <c r="I957"/>
  <c r="K956"/>
  <c r="I956"/>
  <c r="K955"/>
  <c r="I955"/>
  <c r="K954"/>
  <c r="I954"/>
  <c r="K953"/>
  <c r="I953"/>
  <c r="K952"/>
  <c r="I952"/>
  <c r="K949"/>
  <c r="I949"/>
  <c r="K948"/>
  <c r="I948"/>
  <c r="K946"/>
  <c r="I946"/>
  <c r="K897"/>
  <c r="I897"/>
  <c r="K896"/>
  <c r="I896"/>
  <c r="K895"/>
  <c r="I895"/>
  <c r="K894"/>
  <c r="I894"/>
  <c r="K893"/>
  <c r="I893"/>
  <c r="K892"/>
  <c r="I892"/>
  <c r="K891"/>
  <c r="I891"/>
  <c r="K890"/>
  <c r="I890"/>
  <c r="K889"/>
  <c r="I889"/>
  <c r="K888"/>
  <c r="I888"/>
  <c r="K887"/>
  <c r="I887"/>
  <c r="K886"/>
  <c r="I886"/>
  <c r="K885"/>
  <c r="I885"/>
  <c r="K884"/>
  <c r="I884"/>
  <c r="K883"/>
  <c r="I883"/>
  <c r="K882"/>
  <c r="I882"/>
  <c r="K881"/>
  <c r="I881"/>
  <c r="K880"/>
  <c r="I880"/>
  <c r="K879"/>
  <c r="I879"/>
  <c r="K878"/>
  <c r="I878"/>
  <c r="K877"/>
  <c r="I877"/>
  <c r="K876"/>
  <c r="I876"/>
  <c r="K875"/>
  <c r="I875"/>
  <c r="K874"/>
  <c r="I874"/>
  <c r="K873"/>
  <c r="I873"/>
  <c r="K872"/>
  <c r="I872"/>
  <c r="K871"/>
  <c r="I871"/>
  <c r="K870"/>
  <c r="I870"/>
  <c r="K869"/>
  <c r="I869"/>
  <c r="K868"/>
  <c r="I868"/>
  <c r="K867"/>
  <c r="I867"/>
  <c r="K866"/>
  <c r="I866"/>
  <c r="K865"/>
  <c r="I865"/>
  <c r="K864"/>
  <c r="I864"/>
  <c r="K863"/>
  <c r="I863"/>
  <c r="K862"/>
  <c r="I862"/>
  <c r="K861"/>
  <c r="I861"/>
  <c r="K860"/>
  <c r="I860"/>
  <c r="K859"/>
  <c r="I859"/>
  <c r="K858"/>
  <c r="I858"/>
  <c r="K857"/>
  <c r="I857"/>
  <c r="K856"/>
  <c r="I856"/>
  <c r="K855"/>
  <c r="I855"/>
  <c r="K854"/>
  <c r="I854"/>
  <c r="K853"/>
  <c r="I853"/>
  <c r="K852"/>
  <c r="I852"/>
  <c r="K851"/>
  <c r="I851"/>
  <c r="K850"/>
  <c r="I850"/>
  <c r="K849"/>
  <c r="I849"/>
  <c r="K848"/>
  <c r="I848"/>
  <c r="K847"/>
  <c r="I847"/>
  <c r="K846"/>
  <c r="I846"/>
  <c r="K845"/>
  <c r="I845"/>
  <c r="K844"/>
  <c r="I844"/>
  <c r="K843"/>
  <c r="I843"/>
  <c r="K842"/>
  <c r="I842"/>
  <c r="K841"/>
  <c r="I841"/>
  <c r="K840"/>
  <c r="I840"/>
  <c r="K839"/>
  <c r="I839"/>
  <c r="K838"/>
  <c r="I838"/>
  <c r="K837"/>
  <c r="I837"/>
  <c r="K836"/>
  <c r="I836"/>
  <c r="K835"/>
  <c r="I835"/>
  <c r="K834"/>
  <c r="I834"/>
  <c r="K833"/>
  <c r="I833"/>
  <c r="K832"/>
  <c r="I832"/>
  <c r="K831"/>
  <c r="I831"/>
  <c r="K830"/>
  <c r="I830"/>
  <c r="K829"/>
  <c r="I829"/>
  <c r="K828"/>
  <c r="I828"/>
  <c r="K827"/>
  <c r="I827"/>
  <c r="K826"/>
  <c r="I826"/>
  <c r="K825"/>
  <c r="I825"/>
  <c r="K824"/>
  <c r="I824"/>
  <c r="K823"/>
  <c r="I823"/>
  <c r="K822"/>
  <c r="I822"/>
  <c r="K821"/>
  <c r="I821"/>
  <c r="K820"/>
  <c r="I820"/>
  <c r="K819"/>
  <c r="I819"/>
  <c r="K818"/>
  <c r="I818"/>
  <c r="K817"/>
  <c r="I817"/>
  <c r="K816"/>
  <c r="I816"/>
  <c r="K815"/>
  <c r="I815"/>
  <c r="K814"/>
  <c r="I814"/>
  <c r="K813"/>
  <c r="I813"/>
  <c r="K812"/>
  <c r="I812"/>
  <c r="K811"/>
  <c r="I811"/>
  <c r="K810"/>
  <c r="I810"/>
  <c r="K809"/>
  <c r="I809"/>
  <c r="K808"/>
  <c r="I808"/>
  <c r="K807"/>
  <c r="I807"/>
  <c r="K806"/>
  <c r="I806"/>
  <c r="K805"/>
  <c r="I805"/>
  <c r="K804"/>
  <c r="I804"/>
  <c r="K780"/>
  <c r="I780"/>
  <c r="K779"/>
  <c r="I779"/>
  <c r="K778"/>
  <c r="I778"/>
  <c r="K777"/>
  <c r="I777"/>
  <c r="K776"/>
  <c r="I776"/>
  <c r="K775"/>
  <c r="I775"/>
  <c r="K774"/>
  <c r="I774"/>
  <c r="K773"/>
  <c r="I773"/>
  <c r="K772"/>
  <c r="I772"/>
  <c r="K771"/>
  <c r="I771"/>
  <c r="K770"/>
  <c r="I770"/>
  <c r="K769"/>
  <c r="I769"/>
  <c r="K768"/>
  <c r="I768"/>
  <c r="K767"/>
  <c r="I767"/>
  <c r="K766"/>
  <c r="I766"/>
  <c r="K765"/>
  <c r="I765"/>
  <c r="K764"/>
  <c r="I764"/>
  <c r="K763"/>
  <c r="I763"/>
  <c r="K762"/>
  <c r="I762"/>
  <c r="K761"/>
  <c r="I761"/>
  <c r="K760"/>
  <c r="I760"/>
  <c r="K759"/>
  <c r="I759"/>
  <c r="K758"/>
  <c r="I758"/>
  <c r="K757"/>
  <c r="I757"/>
  <c r="K756"/>
  <c r="I756"/>
  <c r="K755"/>
  <c r="I755"/>
  <c r="K754"/>
  <c r="I754"/>
  <c r="K753"/>
  <c r="I753"/>
  <c r="K752"/>
  <c r="I752"/>
  <c r="K751"/>
  <c r="I751"/>
  <c r="K750"/>
  <c r="I750"/>
  <c r="K749"/>
  <c r="I749"/>
  <c r="K748"/>
  <c r="I748"/>
  <c r="K747"/>
  <c r="I747"/>
  <c r="K746"/>
  <c r="I746"/>
  <c r="K745"/>
  <c r="I745"/>
  <c r="K744"/>
  <c r="I744"/>
  <c r="K743"/>
  <c r="I743"/>
  <c r="K742"/>
  <c r="I742"/>
  <c r="K741"/>
  <c r="I741"/>
  <c r="K740"/>
  <c r="I740"/>
  <c r="K739"/>
  <c r="I739"/>
  <c r="K731"/>
  <c r="I731"/>
  <c r="K730"/>
  <c r="I730"/>
  <c r="K729"/>
  <c r="I729"/>
  <c r="K721"/>
  <c r="I721"/>
  <c r="K720"/>
  <c r="I720"/>
  <c r="K719"/>
  <c r="I719"/>
  <c r="K687"/>
  <c r="I687"/>
  <c r="K686"/>
  <c r="I686"/>
  <c r="K685"/>
  <c r="I685"/>
  <c r="K684"/>
  <c r="I684"/>
  <c r="K683"/>
  <c r="I683"/>
  <c r="K682"/>
  <c r="I682"/>
  <c r="K681"/>
  <c r="I681"/>
  <c r="K680"/>
  <c r="I680"/>
  <c r="K679"/>
  <c r="I679"/>
  <c r="K678"/>
  <c r="I678"/>
  <c r="K677"/>
  <c r="I677"/>
  <c r="K676"/>
  <c r="I676"/>
  <c r="K675"/>
  <c r="I675"/>
  <c r="K674"/>
  <c r="I674"/>
  <c r="K673"/>
  <c r="I673"/>
  <c r="K672"/>
  <c r="I672"/>
  <c r="K671"/>
  <c r="I671"/>
  <c r="K670"/>
  <c r="I670"/>
  <c r="K669"/>
  <c r="I669"/>
  <c r="K668"/>
  <c r="I668"/>
  <c r="K667"/>
  <c r="I667"/>
  <c r="K666"/>
  <c r="I666"/>
  <c r="K665"/>
  <c r="I665"/>
  <c r="K664"/>
  <c r="I664"/>
  <c r="K663"/>
  <c r="I663"/>
  <c r="K662"/>
  <c r="I662"/>
  <c r="K661"/>
  <c r="I661"/>
  <c r="K660"/>
  <c r="I660"/>
  <c r="K659"/>
  <c r="I659"/>
  <c r="K658"/>
  <c r="I658"/>
  <c r="K657"/>
  <c r="I657"/>
  <c r="K656"/>
  <c r="I656"/>
  <c r="K655"/>
  <c r="I655"/>
  <c r="K654"/>
  <c r="I654"/>
  <c r="K653"/>
  <c r="I653"/>
  <c r="K652"/>
  <c r="I652"/>
  <c r="K651"/>
  <c r="I651"/>
  <c r="K650"/>
  <c r="I650"/>
  <c r="K649"/>
  <c r="I649"/>
  <c r="K648"/>
  <c r="I648"/>
  <c r="K647"/>
  <c r="I647"/>
  <c r="K646"/>
  <c r="I646"/>
  <c r="K645"/>
  <c r="I645"/>
  <c r="K644"/>
  <c r="I644"/>
  <c r="K643"/>
  <c r="I643"/>
  <c r="K642"/>
  <c r="I642"/>
  <c r="K641"/>
  <c r="I641"/>
  <c r="K640"/>
  <c r="I640"/>
  <c r="K639"/>
  <c r="I639"/>
  <c r="K638"/>
  <c r="I638"/>
  <c r="K637"/>
  <c r="I637"/>
  <c r="K636"/>
  <c r="I636"/>
  <c r="K635"/>
  <c r="I635"/>
  <c r="K634"/>
  <c r="I634"/>
  <c r="K633"/>
  <c r="I633"/>
  <c r="K632"/>
  <c r="I632"/>
  <c r="K631"/>
  <c r="I631"/>
  <c r="K630"/>
  <c r="I630"/>
  <c r="K629"/>
  <c r="I629"/>
  <c r="K628"/>
  <c r="I628"/>
  <c r="K627"/>
  <c r="I627"/>
  <c r="K626"/>
  <c r="I626"/>
  <c r="K625"/>
  <c r="I625"/>
  <c r="K624"/>
  <c r="I624"/>
  <c r="K623"/>
  <c r="I623"/>
  <c r="K622"/>
  <c r="I622"/>
  <c r="K621"/>
  <c r="I621"/>
  <c r="K620"/>
  <c r="I620"/>
  <c r="K619"/>
  <c r="I619"/>
  <c r="K618"/>
  <c r="I618"/>
  <c r="K617"/>
  <c r="I617"/>
  <c r="K616"/>
  <c r="I616"/>
  <c r="K612"/>
  <c r="I612"/>
  <c r="K611"/>
  <c r="I611"/>
  <c r="K610"/>
  <c r="I610"/>
  <c r="K609"/>
  <c r="I609"/>
  <c r="K589"/>
  <c r="I589"/>
  <c r="K588"/>
  <c r="I588"/>
  <c r="K587"/>
  <c r="I587"/>
  <c r="K586"/>
  <c r="I586"/>
  <c r="K585"/>
  <c r="I585"/>
  <c r="K584"/>
  <c r="I584"/>
  <c r="K583"/>
  <c r="I583"/>
  <c r="K582"/>
  <c r="I582"/>
  <c r="K581"/>
  <c r="I581"/>
  <c r="K580"/>
  <c r="I580"/>
  <c r="K579"/>
  <c r="I579"/>
  <c r="K578"/>
  <c r="I578"/>
  <c r="K577"/>
  <c r="I577"/>
  <c r="K576"/>
  <c r="I576"/>
  <c r="K575"/>
  <c r="I575"/>
  <c r="K574"/>
  <c r="I574"/>
  <c r="K573"/>
  <c r="I573"/>
  <c r="K572"/>
  <c r="I572"/>
  <c r="K571"/>
  <c r="I571"/>
  <c r="K570"/>
  <c r="I570"/>
  <c r="K569"/>
  <c r="I569"/>
  <c r="K568"/>
  <c r="I568"/>
  <c r="K567"/>
  <c r="I567"/>
  <c r="K566"/>
  <c r="I566"/>
  <c r="K565"/>
  <c r="I565"/>
  <c r="K564"/>
  <c r="I564"/>
  <c r="K563"/>
  <c r="I563"/>
  <c r="K562"/>
  <c r="I562"/>
  <c r="K561"/>
  <c r="I561"/>
  <c r="K560"/>
  <c r="I560"/>
  <c r="K559"/>
  <c r="I559"/>
  <c r="K558"/>
  <c r="I558"/>
  <c r="K557"/>
  <c r="I557"/>
  <c r="K556"/>
  <c r="I556"/>
  <c r="K555"/>
  <c r="I555"/>
  <c r="K608"/>
  <c r="I608"/>
  <c r="K554"/>
  <c r="I554"/>
  <c r="K553"/>
  <c r="I553"/>
  <c r="K552"/>
  <c r="I552"/>
  <c r="K551"/>
  <c r="I551"/>
  <c r="K550"/>
  <c r="I550"/>
  <c r="K549"/>
  <c r="I549"/>
  <c r="K545"/>
  <c r="I545"/>
  <c r="K544"/>
  <c r="I544"/>
  <c r="K543"/>
  <c r="I543"/>
  <c r="K542"/>
  <c r="I542"/>
  <c r="K541"/>
  <c r="I541"/>
  <c r="K538"/>
  <c r="I538"/>
  <c r="K548"/>
  <c r="I548"/>
  <c r="K536"/>
  <c r="I536"/>
  <c r="K527"/>
  <c r="I527"/>
  <c r="K526"/>
  <c r="I526"/>
  <c r="K525"/>
  <c r="I525"/>
  <c r="K524"/>
  <c r="I524"/>
  <c r="K523"/>
  <c r="I523"/>
  <c r="K522"/>
  <c r="I522"/>
  <c r="K521"/>
  <c r="I521"/>
  <c r="K520"/>
  <c r="I520"/>
  <c r="K519"/>
  <c r="I519"/>
  <c r="K518"/>
  <c r="I518"/>
  <c r="K517"/>
  <c r="I517"/>
  <c r="K516"/>
  <c r="I516"/>
  <c r="K515"/>
  <c r="I515"/>
  <c r="K514"/>
  <c r="I514"/>
  <c r="K513"/>
  <c r="I513"/>
  <c r="K512"/>
  <c r="I512"/>
  <c r="K511"/>
  <c r="I511"/>
  <c r="K483"/>
  <c r="I483"/>
  <c r="K482"/>
  <c r="I482"/>
  <c r="K481"/>
  <c r="I481"/>
  <c r="K480"/>
  <c r="I480"/>
  <c r="K479"/>
  <c r="I479"/>
  <c r="K478"/>
  <c r="I478"/>
  <c r="K477"/>
  <c r="I477"/>
  <c r="K476"/>
  <c r="I476"/>
  <c r="K475"/>
  <c r="I475"/>
  <c r="K474"/>
  <c r="I474"/>
  <c r="K473"/>
  <c r="I473"/>
  <c r="K472"/>
  <c r="I472"/>
  <c r="K471"/>
  <c r="I471"/>
  <c r="K470"/>
  <c r="I470"/>
  <c r="K469"/>
  <c r="I469"/>
  <c r="K468"/>
  <c r="I468"/>
  <c r="K467"/>
  <c r="I467"/>
  <c r="K466"/>
  <c r="I466"/>
  <c r="K465"/>
  <c r="I465"/>
  <c r="K464"/>
  <c r="I464"/>
  <c r="K463"/>
  <c r="I463"/>
  <c r="K462"/>
  <c r="I462"/>
  <c r="K461"/>
  <c r="I461"/>
  <c r="K460"/>
  <c r="I460"/>
  <c r="K459"/>
  <c r="I459"/>
  <c r="K458"/>
  <c r="I458"/>
  <c r="K457"/>
  <c r="I457"/>
  <c r="K456"/>
  <c r="I456"/>
  <c r="K455"/>
  <c r="I455"/>
  <c r="K454"/>
  <c r="I454"/>
  <c r="K453"/>
  <c r="I453"/>
  <c r="K452"/>
  <c r="I452"/>
  <c r="K451"/>
  <c r="I451"/>
  <c r="K450"/>
  <c r="I450"/>
  <c r="K449"/>
  <c r="I449"/>
  <c r="K448"/>
  <c r="I448"/>
  <c r="K447"/>
  <c r="I447"/>
  <c r="K446"/>
  <c r="I446"/>
  <c r="K445"/>
  <c r="I445"/>
  <c r="K444"/>
  <c r="I444"/>
  <c r="K443"/>
  <c r="I443"/>
  <c r="K442"/>
  <c r="I442"/>
  <c r="K441"/>
  <c r="I441"/>
  <c r="K440"/>
  <c r="I440"/>
  <c r="K439"/>
  <c r="I439"/>
  <c r="K438"/>
  <c r="I438"/>
  <c r="K437"/>
  <c r="I437"/>
  <c r="K433"/>
  <c r="I433"/>
  <c r="K432"/>
  <c r="I432"/>
  <c r="K431"/>
  <c r="I431"/>
  <c r="K430"/>
  <c r="I430"/>
  <c r="K429"/>
  <c r="I429"/>
  <c r="K428"/>
  <c r="I428"/>
  <c r="K427"/>
  <c r="I427"/>
  <c r="K426"/>
  <c r="I426"/>
  <c r="K421"/>
  <c r="I421"/>
  <c r="K420"/>
  <c r="I420"/>
  <c r="K419"/>
  <c r="I419"/>
  <c r="K418"/>
  <c r="I418"/>
  <c r="K417"/>
  <c r="I417"/>
  <c r="K416"/>
  <c r="I416"/>
  <c r="K415"/>
  <c r="I415"/>
  <c r="K414"/>
  <c r="I414"/>
  <c r="K424"/>
  <c r="I424"/>
  <c r="K423"/>
  <c r="I423"/>
  <c r="K422"/>
  <c r="I422"/>
  <c r="K403"/>
  <c r="I403"/>
  <c r="K402"/>
  <c r="I402"/>
  <c r="K401"/>
  <c r="I401"/>
  <c r="K400"/>
  <c r="I400"/>
  <c r="K399"/>
  <c r="I399"/>
  <c r="K398"/>
  <c r="I398"/>
  <c r="K397"/>
  <c r="I397"/>
  <c r="K396"/>
  <c r="I396"/>
  <c r="K395"/>
  <c r="I395"/>
  <c r="K394"/>
  <c r="I394"/>
  <c r="K393"/>
  <c r="I393"/>
  <c r="K392"/>
  <c r="I392"/>
  <c r="K391"/>
  <c r="I391"/>
  <c r="K390"/>
  <c r="I390"/>
  <c r="K389"/>
  <c r="I389"/>
  <c r="K388"/>
  <c r="I388"/>
  <c r="K387"/>
  <c r="I387"/>
  <c r="K386"/>
  <c r="I386"/>
  <c r="K385"/>
  <c r="I385"/>
  <c r="K384"/>
  <c r="I384"/>
  <c r="K383"/>
  <c r="I383"/>
  <c r="K382"/>
  <c r="I382"/>
  <c r="K381"/>
  <c r="I381"/>
  <c r="K380"/>
  <c r="I380"/>
  <c r="K379"/>
  <c r="I379"/>
  <c r="K378"/>
  <c r="I378"/>
  <c r="K377"/>
  <c r="I377"/>
  <c r="K376"/>
  <c r="I376"/>
  <c r="K375"/>
  <c r="I375"/>
  <c r="K374"/>
  <c r="I374"/>
  <c r="K373"/>
  <c r="I373"/>
  <c r="K372"/>
  <c r="I372"/>
  <c r="K371"/>
  <c r="I371"/>
  <c r="K370"/>
  <c r="I370"/>
  <c r="K369"/>
  <c r="I369"/>
  <c r="K368"/>
  <c r="I368"/>
  <c r="K367"/>
  <c r="I367"/>
  <c r="K366"/>
  <c r="I366"/>
  <c r="K365"/>
  <c r="I365"/>
  <c r="K364"/>
  <c r="I364"/>
  <c r="K361"/>
  <c r="I361"/>
  <c r="K360"/>
  <c r="I360"/>
  <c r="K362"/>
  <c r="I362"/>
  <c r="K354"/>
  <c r="I354"/>
  <c r="K353"/>
  <c r="I353"/>
  <c r="K352"/>
  <c r="I352"/>
  <c r="K351"/>
  <c r="I351"/>
  <c r="K350"/>
  <c r="I350"/>
  <c r="K349"/>
  <c r="I349"/>
  <c r="K348"/>
  <c r="I348"/>
  <c r="K347"/>
  <c r="I347"/>
  <c r="K346"/>
  <c r="I346"/>
  <c r="K345"/>
  <c r="I345"/>
  <c r="K344"/>
  <c r="I344"/>
  <c r="K343"/>
  <c r="I343"/>
  <c r="K342"/>
  <c r="I342"/>
  <c r="K341"/>
  <c r="I341"/>
  <c r="K340"/>
  <c r="I340"/>
  <c r="K339"/>
  <c r="I339"/>
  <c r="K330"/>
  <c r="I330"/>
  <c r="K329"/>
  <c r="I329"/>
  <c r="K328"/>
  <c r="I328"/>
  <c r="K327"/>
  <c r="I327"/>
  <c r="K326"/>
  <c r="I326"/>
  <c r="K325"/>
  <c r="I325"/>
  <c r="K324"/>
  <c r="I324"/>
  <c r="K323"/>
  <c r="I323"/>
  <c r="K322"/>
  <c r="I322"/>
  <c r="K321"/>
  <c r="I321"/>
  <c r="K320"/>
  <c r="I320"/>
  <c r="K319"/>
  <c r="I319"/>
  <c r="K318"/>
  <c r="I318"/>
  <c r="K317"/>
  <c r="I317"/>
  <c r="K316"/>
  <c r="I316"/>
  <c r="K315"/>
  <c r="I315"/>
  <c r="K314"/>
  <c r="I314"/>
  <c r="K313"/>
  <c r="I313"/>
  <c r="K312"/>
  <c r="I312"/>
  <c r="K311"/>
  <c r="I311"/>
  <c r="K310"/>
  <c r="I310"/>
  <c r="K309"/>
  <c r="I309"/>
  <c r="K308"/>
  <c r="I308"/>
  <c r="K307"/>
  <c r="I307"/>
  <c r="K306"/>
  <c r="I306"/>
  <c r="K305"/>
  <c r="I305"/>
  <c r="K304"/>
  <c r="I304"/>
  <c r="K303"/>
  <c r="I303"/>
  <c r="K302"/>
  <c r="I302"/>
  <c r="K301"/>
  <c r="I301"/>
  <c r="K300"/>
  <c r="I300"/>
  <c r="K299"/>
  <c r="I299"/>
  <c r="K298"/>
  <c r="I298"/>
  <c r="K297"/>
  <c r="I297"/>
  <c r="K296"/>
  <c r="I296"/>
  <c r="K295"/>
  <c r="I295"/>
  <c r="K294"/>
  <c r="I294"/>
  <c r="K293"/>
  <c r="I293"/>
  <c r="K292"/>
  <c r="I292"/>
  <c r="K291"/>
  <c r="I291"/>
  <c r="K289"/>
  <c r="I289"/>
  <c r="K288"/>
  <c r="I288"/>
  <c r="K287"/>
  <c r="I287"/>
  <c r="K286"/>
  <c r="I286"/>
  <c r="K285"/>
  <c r="I285"/>
  <c r="K282"/>
  <c r="I282"/>
  <c r="K281"/>
  <c r="I281"/>
  <c r="K280"/>
  <c r="I280"/>
  <c r="K279"/>
  <c r="I279"/>
  <c r="K278"/>
  <c r="I278"/>
  <c r="K266"/>
  <c r="I266"/>
  <c r="K265"/>
  <c r="I265"/>
  <c r="K264"/>
  <c r="I264"/>
  <c r="K263"/>
  <c r="I263"/>
  <c r="K262"/>
  <c r="I262"/>
  <c r="K261"/>
  <c r="I261"/>
  <c r="K260"/>
  <c r="I260"/>
  <c r="K259"/>
  <c r="I259"/>
  <c r="K258"/>
  <c r="I258"/>
  <c r="K257"/>
  <c r="I257"/>
  <c r="K256"/>
  <c r="I256"/>
  <c r="K255"/>
  <c r="I255"/>
  <c r="K254"/>
  <c r="I254"/>
  <c r="K253"/>
  <c r="I253"/>
  <c r="K252"/>
  <c r="I252"/>
  <c r="K251"/>
  <c r="I251"/>
  <c r="K250"/>
  <c r="I250"/>
  <c r="K249"/>
  <c r="I249"/>
  <c r="K248"/>
  <c r="I248"/>
  <c r="K247"/>
  <c r="I247"/>
  <c r="K246"/>
  <c r="I246"/>
  <c r="K245"/>
  <c r="I245"/>
  <c r="K243"/>
  <c r="I243"/>
  <c r="K240"/>
  <c r="I240"/>
  <c r="K239"/>
  <c r="I239"/>
  <c r="K229"/>
  <c r="I229"/>
  <c r="K228"/>
  <c r="I228"/>
  <c r="K227"/>
  <c r="I227"/>
  <c r="K226"/>
  <c r="I226"/>
  <c r="K225"/>
  <c r="I225"/>
  <c r="K224"/>
  <c r="I224"/>
  <c r="K223"/>
  <c r="I223"/>
  <c r="K222"/>
  <c r="I222"/>
  <c r="K217"/>
  <c r="I217"/>
  <c r="K216"/>
  <c r="I216"/>
  <c r="K215"/>
  <c r="I215"/>
  <c r="K214"/>
  <c r="I214"/>
  <c r="K213"/>
  <c r="I213"/>
  <c r="K212"/>
  <c r="I212"/>
  <c r="K211"/>
  <c r="I211"/>
  <c r="K210"/>
  <c r="I210"/>
  <c r="K209"/>
  <c r="I209"/>
  <c r="K208"/>
  <c r="I208"/>
  <c r="K207"/>
  <c r="I207"/>
  <c r="K206"/>
  <c r="I206"/>
  <c r="K205"/>
  <c r="I205"/>
  <c r="K204"/>
  <c r="I204"/>
  <c r="K203"/>
  <c r="I203"/>
  <c r="K202"/>
  <c r="I202"/>
  <c r="K201"/>
  <c r="I201"/>
  <c r="K200"/>
  <c r="I200"/>
  <c r="K199"/>
  <c r="I199"/>
  <c r="K198"/>
  <c r="I198"/>
  <c r="K197"/>
  <c r="I197"/>
  <c r="K196"/>
  <c r="I196"/>
  <c r="K195"/>
  <c r="I195"/>
  <c r="K194"/>
  <c r="I194"/>
  <c r="K193"/>
  <c r="I193"/>
  <c r="K192"/>
  <c r="I192"/>
  <c r="K191"/>
  <c r="I191"/>
  <c r="K188"/>
  <c r="I188"/>
  <c r="K187"/>
  <c r="I187"/>
  <c r="K186"/>
  <c r="I186"/>
  <c r="K185"/>
  <c r="I185"/>
  <c r="K184"/>
  <c r="I184"/>
  <c r="K183"/>
  <c r="I183"/>
  <c r="K182"/>
  <c r="I182"/>
  <c r="K181"/>
  <c r="I181"/>
  <c r="K180"/>
  <c r="I180"/>
  <c r="K179"/>
  <c r="I179"/>
  <c r="K173"/>
  <c r="I173"/>
  <c r="K172"/>
  <c r="I172"/>
  <c r="K171"/>
  <c r="I171"/>
  <c r="K170"/>
  <c r="I170"/>
  <c r="K169"/>
  <c r="I169"/>
  <c r="K168"/>
  <c r="I168"/>
  <c r="K167"/>
  <c r="I167"/>
  <c r="K166"/>
  <c r="I166"/>
  <c r="K165"/>
  <c r="I165"/>
  <c r="K164"/>
  <c r="I164"/>
  <c r="K163"/>
  <c r="I163"/>
  <c r="K162"/>
  <c r="I162"/>
  <c r="K161"/>
  <c r="I161"/>
  <c r="K160"/>
  <c r="I160"/>
  <c r="K159"/>
  <c r="I159"/>
  <c r="K158"/>
  <c r="I158"/>
  <c r="K157"/>
  <c r="I157"/>
  <c r="K156"/>
  <c r="I156"/>
  <c r="K155"/>
  <c r="I155"/>
  <c r="K154"/>
  <c r="I154"/>
  <c r="K152"/>
  <c r="I152"/>
  <c r="K135"/>
  <c r="I135"/>
  <c r="K134"/>
  <c r="I134"/>
  <c r="K133"/>
  <c r="I133"/>
  <c r="K132"/>
  <c r="I132"/>
  <c r="K131"/>
  <c r="I131"/>
  <c r="K130"/>
  <c r="I130"/>
  <c r="K129"/>
  <c r="I129"/>
  <c r="K128"/>
  <c r="I128"/>
  <c r="K127"/>
  <c r="I127"/>
  <c r="K126"/>
  <c r="I126"/>
  <c r="K125"/>
  <c r="I125"/>
  <c r="K124"/>
  <c r="I124"/>
  <c r="K123"/>
  <c r="I123"/>
  <c r="K122"/>
  <c r="I122"/>
  <c r="K148"/>
  <c r="I148"/>
  <c r="K147"/>
  <c r="I147"/>
  <c r="K146"/>
  <c r="I146"/>
  <c r="K145"/>
  <c r="I145"/>
  <c r="K144"/>
  <c r="I144"/>
  <c r="K143"/>
  <c r="I143"/>
  <c r="K142"/>
  <c r="I142"/>
  <c r="K119"/>
  <c r="I119"/>
  <c r="K118"/>
  <c r="I118"/>
  <c r="K117"/>
  <c r="I117"/>
  <c r="K116"/>
  <c r="I116"/>
  <c r="K115"/>
  <c r="I115"/>
  <c r="K110"/>
  <c r="I110"/>
  <c r="K109"/>
  <c r="I109"/>
  <c r="K108"/>
  <c r="I108"/>
  <c r="K107"/>
  <c r="I107"/>
  <c r="K106"/>
  <c r="I106"/>
  <c r="K105"/>
  <c r="I105"/>
  <c r="K104"/>
  <c r="I104"/>
  <c r="K103"/>
  <c r="I103"/>
  <c r="K102"/>
  <c r="I102"/>
  <c r="K101"/>
  <c r="I101"/>
  <c r="K100"/>
  <c r="I100"/>
  <c r="K99"/>
  <c r="I99"/>
  <c r="K98"/>
  <c r="I98"/>
  <c r="K113"/>
  <c r="I113"/>
  <c r="K97"/>
  <c r="I97"/>
  <c r="K96"/>
  <c r="I96"/>
  <c r="K95"/>
  <c r="I95"/>
  <c r="K94"/>
  <c r="I94"/>
  <c r="K93"/>
  <c r="I93"/>
  <c r="K89"/>
  <c r="I89"/>
  <c r="K88"/>
  <c r="I88"/>
  <c r="K87"/>
  <c r="I87"/>
  <c r="K86"/>
  <c r="I86"/>
  <c r="K85"/>
  <c r="I85"/>
  <c r="K84"/>
  <c r="I84"/>
  <c r="K83"/>
  <c r="I83"/>
  <c r="K82"/>
  <c r="I82"/>
  <c r="K81"/>
  <c r="I81"/>
  <c r="K79"/>
  <c r="I79"/>
  <c r="K78"/>
  <c r="I78"/>
  <c r="K77"/>
  <c r="I77"/>
  <c r="K76"/>
  <c r="I76"/>
  <c r="K75"/>
  <c r="I75"/>
  <c r="K74"/>
  <c r="I74"/>
  <c r="K73"/>
  <c r="I73"/>
  <c r="K72"/>
  <c r="I72"/>
  <c r="K71"/>
  <c r="I71"/>
  <c r="K69"/>
  <c r="I69"/>
  <c r="K65"/>
  <c r="I65"/>
  <c r="K64"/>
  <c r="I64"/>
  <c r="K60"/>
  <c r="I60"/>
  <c r="K59"/>
  <c r="I59"/>
  <c r="K58"/>
  <c r="I58"/>
  <c r="K57"/>
  <c r="I57"/>
  <c r="K54"/>
  <c r="I54"/>
  <c r="K56"/>
  <c r="I56"/>
  <c r="K52"/>
  <c r="I52"/>
  <c r="K51"/>
  <c r="I51"/>
  <c r="K50"/>
  <c r="I50"/>
  <c r="K49"/>
  <c r="I49"/>
  <c r="K48"/>
  <c r="I48"/>
  <c r="K47"/>
  <c r="I47"/>
  <c r="K46"/>
  <c r="I46"/>
  <c r="K45"/>
  <c r="I45"/>
  <c r="K44"/>
  <c r="I44"/>
  <c r="K238"/>
  <c r="I238"/>
  <c r="K43"/>
  <c r="I43"/>
  <c r="K40"/>
  <c r="I40"/>
  <c r="K39"/>
  <c r="I39"/>
  <c r="K38"/>
  <c r="I38"/>
  <c r="K42"/>
  <c r="I42"/>
  <c r="K41"/>
  <c r="I41"/>
  <c r="K738"/>
  <c r="I738"/>
  <c r="K37"/>
  <c r="I37"/>
  <c r="K34"/>
  <c r="I34"/>
  <c r="K32"/>
  <c r="I32"/>
  <c r="K33"/>
  <c r="I33"/>
  <c r="K30"/>
  <c r="I30"/>
  <c r="K29"/>
  <c r="I29"/>
  <c r="K27"/>
  <c r="I27"/>
  <c r="K28"/>
  <c r="I28"/>
  <c r="K26"/>
  <c r="I26"/>
  <c r="K25"/>
  <c r="I25"/>
  <c r="K23"/>
  <c r="I23"/>
  <c r="K22"/>
  <c r="I22"/>
  <c r="K21"/>
  <c r="I21"/>
  <c r="K20"/>
  <c r="I20"/>
  <c r="K19"/>
  <c r="I19"/>
  <c r="K18"/>
  <c r="I18"/>
  <c r="K15"/>
  <c r="I15"/>
  <c r="K17"/>
  <c r="I17"/>
  <c r="K16"/>
  <c r="I16"/>
  <c r="K14"/>
  <c r="I14"/>
  <c r="K13"/>
  <c r="I13"/>
  <c r="K12"/>
  <c r="I12"/>
  <c r="K11"/>
  <c r="I11"/>
  <c r="K7"/>
  <c r="I7"/>
  <c r="K9"/>
  <c r="I9"/>
  <c r="K8"/>
  <c r="I8"/>
  <c r="K6"/>
  <c r="I6"/>
  <c r="K5"/>
  <c r="I5"/>
  <c r="K3"/>
  <c r="I3"/>
  <c r="K2"/>
  <c r="I2"/>
  <c r="H680" i="18" l="1"/>
  <c r="H681"/>
  <c r="H682"/>
  <c r="H683"/>
  <c r="H684"/>
  <c r="H685"/>
  <c r="H686"/>
  <c r="H687"/>
  <c r="H688"/>
  <c r="H689"/>
  <c r="H690"/>
  <c r="H691"/>
  <c r="H692"/>
  <c r="H693"/>
  <c r="H694"/>
  <c r="H695"/>
  <c r="H696"/>
  <c r="H697"/>
  <c r="H698"/>
  <c r="H699"/>
  <c r="H700"/>
  <c r="H701"/>
  <c r="H702"/>
  <c r="H703"/>
  <c r="H704"/>
  <c r="H705"/>
  <c r="H706"/>
  <c r="H707"/>
  <c r="H708"/>
  <c r="H709"/>
  <c r="H710"/>
  <c r="H711"/>
  <c r="H712"/>
  <c r="H713"/>
  <c r="H714"/>
  <c r="H715"/>
  <c r="H716"/>
  <c r="H717"/>
  <c r="H718"/>
  <c r="H719"/>
  <c r="H720"/>
  <c r="H721"/>
  <c r="H722"/>
  <c r="H723"/>
  <c r="H724"/>
  <c r="H725"/>
  <c r="H726"/>
  <c r="H727"/>
  <c r="H728"/>
  <c r="H729"/>
  <c r="H730"/>
  <c r="H731"/>
  <c r="H732"/>
  <c r="H733"/>
  <c r="H734"/>
  <c r="H735"/>
  <c r="H736"/>
  <c r="H737"/>
  <c r="H738"/>
  <c r="H739"/>
  <c r="H740"/>
  <c r="H741"/>
  <c r="H742"/>
  <c r="H743"/>
  <c r="H744"/>
  <c r="H745"/>
  <c r="H746"/>
  <c r="H747"/>
  <c r="H748"/>
  <c r="H749"/>
  <c r="H750"/>
  <c r="H751"/>
  <c r="H752"/>
  <c r="H753"/>
  <c r="H754"/>
  <c r="H755"/>
  <c r="H756"/>
  <c r="H757"/>
  <c r="H758"/>
  <c r="H759"/>
  <c r="H760"/>
  <c r="H761"/>
  <c r="H762"/>
  <c r="H763"/>
  <c r="H764"/>
  <c r="H765"/>
  <c r="H766"/>
  <c r="H767"/>
  <c r="H768"/>
  <c r="H769"/>
  <c r="H770"/>
  <c r="H771"/>
  <c r="H772"/>
  <c r="H773"/>
  <c r="H774"/>
  <c r="H775"/>
  <c r="H776"/>
  <c r="H777"/>
  <c r="H778"/>
  <c r="H779"/>
  <c r="H780"/>
  <c r="H781"/>
  <c r="H782"/>
  <c r="H783"/>
  <c r="H784"/>
  <c r="H785"/>
  <c r="H786"/>
  <c r="H787"/>
  <c r="H788"/>
  <c r="H789"/>
  <c r="H790"/>
  <c r="H791"/>
  <c r="H792"/>
  <c r="H793"/>
  <c r="H794"/>
  <c r="H795"/>
  <c r="H796"/>
  <c r="H797"/>
  <c r="H798"/>
  <c r="H799"/>
  <c r="H800"/>
  <c r="H801"/>
  <c r="H802"/>
  <c r="H803"/>
  <c r="H804"/>
  <c r="H805"/>
  <c r="H806"/>
  <c r="H807"/>
  <c r="H808"/>
  <c r="H809"/>
  <c r="H810"/>
  <c r="H811"/>
  <c r="H812"/>
  <c r="H813"/>
  <c r="H814"/>
  <c r="H815"/>
  <c r="H816"/>
  <c r="H817"/>
  <c r="H818"/>
  <c r="H819"/>
  <c r="H820"/>
  <c r="H821"/>
  <c r="H822"/>
  <c r="H823"/>
  <c r="H824"/>
  <c r="H825"/>
  <c r="H826"/>
  <c r="H827"/>
  <c r="H828"/>
  <c r="H829"/>
  <c r="H830"/>
  <c r="H831"/>
  <c r="H832"/>
  <c r="H833"/>
  <c r="H834"/>
  <c r="H835"/>
  <c r="H836"/>
  <c r="H837"/>
  <c r="H838"/>
  <c r="H839"/>
  <c r="H840"/>
  <c r="H841"/>
  <c r="H842"/>
  <c r="H843"/>
  <c r="H844"/>
  <c r="H845"/>
  <c r="H846"/>
  <c r="H847"/>
  <c r="H848"/>
  <c r="H849"/>
  <c r="H850"/>
  <c r="H851"/>
  <c r="H852"/>
  <c r="H853"/>
  <c r="H854"/>
  <c r="H855"/>
  <c r="H856"/>
  <c r="H857"/>
  <c r="H858"/>
  <c r="H859"/>
  <c r="H860"/>
  <c r="H861"/>
  <c r="H862"/>
  <c r="H863"/>
  <c r="H864"/>
  <c r="H865"/>
  <c r="H866"/>
  <c r="H867"/>
  <c r="H868"/>
  <c r="H869"/>
  <c r="H870"/>
  <c r="H871"/>
  <c r="H872"/>
  <c r="H873"/>
  <c r="H874"/>
  <c r="H875"/>
  <c r="H876"/>
  <c r="H877"/>
  <c r="H878"/>
  <c r="H879"/>
  <c r="H880"/>
  <c r="H881"/>
  <c r="H882"/>
  <c r="H883"/>
  <c r="H884"/>
  <c r="H885"/>
  <c r="H886"/>
  <c r="H887"/>
  <c r="H888"/>
  <c r="H889"/>
  <c r="H890"/>
  <c r="H891"/>
  <c r="H892"/>
  <c r="H893"/>
  <c r="H894"/>
  <c r="H895"/>
  <c r="H896"/>
  <c r="H897"/>
  <c r="H898"/>
  <c r="H899"/>
  <c r="H900"/>
  <c r="H901"/>
  <c r="H902"/>
  <c r="H903"/>
  <c r="H904"/>
  <c r="H905"/>
  <c r="H906"/>
  <c r="H907"/>
  <c r="H908"/>
  <c r="H909"/>
  <c r="H910"/>
  <c r="H911"/>
  <c r="H912"/>
  <c r="H913"/>
  <c r="H914"/>
  <c r="H915"/>
  <c r="H916"/>
  <c r="H917"/>
  <c r="H918"/>
  <c r="H919"/>
  <c r="H920"/>
  <c r="H921"/>
  <c r="H922"/>
  <c r="H923"/>
  <c r="H924"/>
  <c r="H925"/>
  <c r="H926"/>
  <c r="H927"/>
  <c r="H928"/>
  <c r="H929"/>
  <c r="H930"/>
  <c r="H931"/>
  <c r="H932"/>
  <c r="H933"/>
  <c r="H934"/>
  <c r="H935"/>
  <c r="H936"/>
  <c r="H937"/>
  <c r="H938"/>
  <c r="H939"/>
  <c r="H940"/>
  <c r="H941"/>
  <c r="H942"/>
  <c r="H943"/>
  <c r="H944"/>
  <c r="H945"/>
  <c r="H946"/>
  <c r="H947"/>
  <c r="H948"/>
  <c r="H949"/>
  <c r="H950"/>
  <c r="H951"/>
  <c r="H952"/>
  <c r="H953"/>
  <c r="H954"/>
  <c r="H955"/>
  <c r="H956"/>
  <c r="H957"/>
  <c r="H958"/>
  <c r="H959"/>
  <c r="H960"/>
  <c r="H961"/>
  <c r="H962"/>
  <c r="H963"/>
  <c r="H964"/>
  <c r="H965"/>
  <c r="H966"/>
  <c r="H967"/>
  <c r="H968"/>
  <c r="H969"/>
  <c r="H970"/>
  <c r="H971"/>
  <c r="H972"/>
  <c r="H973"/>
  <c r="H974"/>
  <c r="H975"/>
  <c r="H976"/>
  <c r="H977"/>
  <c r="H978"/>
  <c r="H979"/>
  <c r="H980"/>
  <c r="H981"/>
  <c r="H982"/>
  <c r="H983"/>
  <c r="H984"/>
  <c r="H985"/>
  <c r="H986"/>
  <c r="H987"/>
  <c r="H988"/>
  <c r="H989"/>
  <c r="H990"/>
  <c r="H991"/>
  <c r="H992"/>
  <c r="H993"/>
  <c r="H994"/>
  <c r="H995"/>
  <c r="H996"/>
  <c r="H997"/>
  <c r="H998"/>
  <c r="H999"/>
  <c r="H1000"/>
  <c r="H1001"/>
  <c r="H1002"/>
  <c r="H1003"/>
  <c r="H1004"/>
  <c r="H1005"/>
  <c r="H1006"/>
  <c r="H1007"/>
  <c r="H1008"/>
  <c r="H1009"/>
  <c r="H1010"/>
  <c r="H1011"/>
  <c r="H1012"/>
  <c r="H1013"/>
  <c r="H1014"/>
  <c r="H1015"/>
  <c r="H1016"/>
  <c r="H1017"/>
  <c r="H1018"/>
  <c r="H1019"/>
  <c r="H1020"/>
  <c r="H1021"/>
  <c r="H1022"/>
  <c r="H1023"/>
  <c r="H1024"/>
  <c r="H1025"/>
  <c r="H1026"/>
  <c r="H1027"/>
  <c r="H1028"/>
  <c r="H1029"/>
  <c r="H1030"/>
  <c r="H1031"/>
  <c r="H1032"/>
  <c r="H1033"/>
  <c r="H1034"/>
  <c r="H1035"/>
  <c r="H1036"/>
  <c r="H1037"/>
  <c r="H1038"/>
  <c r="H1039"/>
  <c r="H1040"/>
  <c r="H1041"/>
  <c r="H1042"/>
  <c r="H1043"/>
  <c r="H1044"/>
  <c r="H1045"/>
  <c r="H1046"/>
  <c r="H1047"/>
  <c r="H1048"/>
  <c r="H1049"/>
  <c r="H1050"/>
  <c r="H1051"/>
  <c r="H1052"/>
  <c r="H1053"/>
  <c r="H1054"/>
  <c r="H1055"/>
  <c r="H1056"/>
  <c r="H1057"/>
  <c r="H1058"/>
  <c r="H1059"/>
  <c r="H1060"/>
  <c r="H1061"/>
  <c r="H1062"/>
  <c r="H1063"/>
  <c r="H1064"/>
  <c r="H1065"/>
  <c r="H1066"/>
  <c r="H1067"/>
  <c r="H1068"/>
  <c r="H1069"/>
  <c r="H1070"/>
  <c r="H1071"/>
  <c r="H1072"/>
  <c r="H1073"/>
  <c r="H1074"/>
  <c r="H1075"/>
  <c r="H1076"/>
  <c r="H1077"/>
  <c r="H1078"/>
  <c r="H1079"/>
  <c r="H1080"/>
  <c r="H1081"/>
  <c r="H1082"/>
  <c r="H1083"/>
  <c r="H1084"/>
  <c r="H1085"/>
  <c r="H1086"/>
  <c r="H1087"/>
  <c r="H1088"/>
  <c r="H1089"/>
  <c r="H1090"/>
  <c r="H1091"/>
  <c r="H1092"/>
  <c r="H1093"/>
  <c r="H1094"/>
  <c r="H1095"/>
  <c r="H1096"/>
  <c r="H1097"/>
  <c r="H1098"/>
  <c r="H1099"/>
  <c r="H1100"/>
  <c r="H1101"/>
  <c r="H1102"/>
  <c r="H1103"/>
  <c r="H1104"/>
  <c r="H1105"/>
  <c r="H1106"/>
  <c r="H1107"/>
  <c r="H1108"/>
  <c r="H1109"/>
  <c r="H1110"/>
  <c r="H1111"/>
  <c r="H1112"/>
  <c r="H1113"/>
  <c r="H1114"/>
  <c r="H1115"/>
  <c r="H1116"/>
  <c r="H1117"/>
  <c r="H1118"/>
  <c r="H1119"/>
  <c r="H1120"/>
  <c r="H1121"/>
  <c r="H1122"/>
  <c r="H1123"/>
  <c r="H1124"/>
  <c r="H1125"/>
  <c r="H1126"/>
  <c r="H1127"/>
  <c r="H1128"/>
  <c r="H1129"/>
  <c r="H1130"/>
  <c r="H1131"/>
  <c r="H1132"/>
  <c r="H1133"/>
  <c r="H1134"/>
  <c r="H1135"/>
  <c r="H1136"/>
  <c r="H1137"/>
  <c r="H1138"/>
  <c r="H1139"/>
  <c r="H1140"/>
  <c r="H1141"/>
  <c r="H1142"/>
  <c r="H1143"/>
  <c r="H1144"/>
  <c r="H1145"/>
  <c r="H1146"/>
  <c r="H1147"/>
  <c r="H1148"/>
  <c r="H1149"/>
  <c r="H1150"/>
  <c r="H1151"/>
  <c r="H1152"/>
  <c r="H1153"/>
  <c r="H1154"/>
  <c r="H1155"/>
  <c r="H1156"/>
  <c r="H1157"/>
  <c r="H1158"/>
  <c r="H1159"/>
  <c r="H1160"/>
  <c r="H1161"/>
  <c r="H1162"/>
  <c r="H1163"/>
  <c r="H1164"/>
  <c r="H1165"/>
  <c r="H1166"/>
  <c r="H1167"/>
  <c r="H1168"/>
  <c r="H1169"/>
  <c r="H1170"/>
  <c r="H1171"/>
  <c r="H1172"/>
  <c r="H1173"/>
  <c r="H1174"/>
  <c r="H1175"/>
  <c r="H1176"/>
  <c r="H1177"/>
  <c r="H1178"/>
  <c r="H1179"/>
  <c r="H1180"/>
  <c r="H1181"/>
  <c r="H1182"/>
  <c r="H1183"/>
  <c r="H1184"/>
  <c r="H1185"/>
  <c r="H1186"/>
  <c r="H1187"/>
  <c r="H1188"/>
  <c r="H1189"/>
  <c r="H1190"/>
  <c r="H1191"/>
  <c r="H1192"/>
  <c r="H1193"/>
  <c r="H1194"/>
  <c r="H1195"/>
  <c r="H1196"/>
  <c r="H1197"/>
  <c r="H1198"/>
  <c r="H1199"/>
  <c r="H1200"/>
  <c r="H1201"/>
  <c r="H1202"/>
  <c r="H1203"/>
  <c r="H1204"/>
  <c r="H1205"/>
  <c r="H1206"/>
  <c r="H1207"/>
  <c r="H1208"/>
  <c r="H1209"/>
  <c r="H1210"/>
  <c r="H1211"/>
  <c r="H1212"/>
  <c r="H1213"/>
  <c r="H1214"/>
  <c r="H1215"/>
  <c r="H1216"/>
  <c r="H1217"/>
  <c r="H1218"/>
  <c r="H1219"/>
  <c r="H1220"/>
  <c r="H1221"/>
  <c r="H1222"/>
  <c r="H1223"/>
  <c r="H1224"/>
  <c r="H1225"/>
  <c r="H1226"/>
  <c r="H1227"/>
  <c r="H1228"/>
  <c r="H1229"/>
  <c r="H1230"/>
  <c r="H1231"/>
  <c r="H1232"/>
  <c r="H1233"/>
  <c r="H1234"/>
  <c r="H1235"/>
  <c r="H1236"/>
  <c r="H1237"/>
  <c r="H1238"/>
  <c r="H1239"/>
  <c r="H1240"/>
  <c r="H1241"/>
  <c r="H1242"/>
  <c r="H1243"/>
  <c r="H1244"/>
  <c r="H1245"/>
  <c r="H1246"/>
  <c r="H1247"/>
  <c r="H1248"/>
  <c r="H1249"/>
  <c r="H1250"/>
  <c r="H1251"/>
  <c r="H1252"/>
  <c r="H1253"/>
  <c r="H1254"/>
  <c r="H1255"/>
  <c r="H1256"/>
  <c r="H1257"/>
  <c r="H1258"/>
  <c r="H1259"/>
  <c r="H1260"/>
  <c r="H1261"/>
  <c r="H1262"/>
  <c r="H1263"/>
  <c r="H1264"/>
  <c r="H1265"/>
  <c r="H1266"/>
  <c r="H1267"/>
  <c r="H1268"/>
  <c r="H1269"/>
  <c r="H1270"/>
  <c r="H1271"/>
  <c r="H1272"/>
  <c r="H1273"/>
  <c r="H1274"/>
  <c r="H1275"/>
  <c r="H1276"/>
  <c r="H1277"/>
  <c r="H1278"/>
  <c r="H1279"/>
  <c r="H1280"/>
  <c r="H1281"/>
  <c r="H1282"/>
  <c r="H1283"/>
  <c r="H1284"/>
  <c r="H1285"/>
  <c r="H1286"/>
  <c r="H1287"/>
  <c r="H1288"/>
  <c r="H1289"/>
  <c r="H1290"/>
  <c r="H1291"/>
  <c r="H1292"/>
  <c r="H1293"/>
  <c r="H1294"/>
  <c r="H1295"/>
  <c r="H1296"/>
  <c r="H1297"/>
  <c r="H1298"/>
  <c r="H1299"/>
  <c r="H1300"/>
  <c r="H1301"/>
  <c r="H1302"/>
  <c r="H1303"/>
  <c r="H1304"/>
  <c r="H1305"/>
  <c r="H1306"/>
  <c r="H1307"/>
  <c r="H1308"/>
  <c r="H1309"/>
  <c r="H1310"/>
  <c r="H1311"/>
  <c r="H1312"/>
  <c r="H1313"/>
  <c r="H1314"/>
  <c r="H1315"/>
  <c r="H1316"/>
  <c r="H1317"/>
  <c r="H1318"/>
  <c r="H1319"/>
  <c r="H1320"/>
  <c r="H1321"/>
  <c r="H1322"/>
  <c r="H1323"/>
  <c r="H1324"/>
  <c r="H1325"/>
  <c r="H1326"/>
  <c r="H1327"/>
  <c r="H1328"/>
  <c r="H1329"/>
  <c r="H1330"/>
  <c r="H1331"/>
  <c r="H1332"/>
  <c r="H1333"/>
  <c r="H1334"/>
  <c r="H1335"/>
  <c r="H1336"/>
  <c r="H1337"/>
  <c r="H1338"/>
  <c r="H1339"/>
  <c r="H1340"/>
  <c r="H1341"/>
  <c r="H1342"/>
  <c r="H1343"/>
  <c r="H1344"/>
  <c r="H1345"/>
  <c r="H1346"/>
  <c r="H1347"/>
  <c r="H1348"/>
  <c r="H1349"/>
  <c r="H1350"/>
  <c r="H1351"/>
  <c r="H1352"/>
  <c r="H1353"/>
  <c r="H1354"/>
  <c r="H1355"/>
  <c r="H1356"/>
  <c r="H1357"/>
  <c r="H1358"/>
  <c r="H1359"/>
  <c r="H1360"/>
  <c r="H1361"/>
  <c r="H1362"/>
  <c r="H1363"/>
  <c r="H1364"/>
  <c r="H1365"/>
  <c r="H1366"/>
  <c r="H1367"/>
  <c r="H1368"/>
  <c r="H1369"/>
  <c r="H1370"/>
  <c r="H1371"/>
  <c r="H1372"/>
  <c r="H1373"/>
  <c r="H1374"/>
  <c r="H1375"/>
  <c r="H1376"/>
  <c r="H1377"/>
  <c r="H1378"/>
  <c r="H1379"/>
  <c r="H1380"/>
  <c r="H1381"/>
  <c r="H1382"/>
  <c r="H1383"/>
  <c r="H1384"/>
  <c r="H1385"/>
  <c r="H1386"/>
  <c r="H1387"/>
  <c r="H1388"/>
  <c r="H1389"/>
  <c r="H1390"/>
  <c r="H1391"/>
  <c r="H1392"/>
  <c r="H1393"/>
  <c r="H1394"/>
  <c r="H1395"/>
  <c r="H1396"/>
  <c r="H1397"/>
  <c r="H1398"/>
  <c r="H1399"/>
  <c r="H1400"/>
  <c r="H1401"/>
  <c r="H1402"/>
  <c r="H1403"/>
  <c r="H1404"/>
  <c r="H1405"/>
  <c r="H1406"/>
  <c r="H1407"/>
  <c r="H1408"/>
  <c r="H1409"/>
  <c r="H1410"/>
  <c r="H1411"/>
  <c r="H1412"/>
  <c r="H1413"/>
  <c r="H1414"/>
  <c r="H1415"/>
  <c r="H1416"/>
  <c r="H1417"/>
  <c r="H1418"/>
  <c r="H1419"/>
  <c r="H1420"/>
  <c r="H1421"/>
  <c r="H1422"/>
  <c r="H1423"/>
  <c r="H1424"/>
  <c r="H1425"/>
  <c r="H1426"/>
  <c r="H1427"/>
  <c r="H1428"/>
  <c r="H1429"/>
  <c r="H1430"/>
  <c r="H1431"/>
  <c r="H1432"/>
  <c r="H1433"/>
  <c r="H1434"/>
  <c r="H1435"/>
  <c r="H1436"/>
  <c r="H1437"/>
  <c r="H1438"/>
  <c r="H1439"/>
  <c r="H1440"/>
  <c r="H1441"/>
  <c r="H1442"/>
  <c r="H1443"/>
  <c r="H1444"/>
  <c r="H1445"/>
  <c r="H1446"/>
  <c r="H1447"/>
  <c r="H1448"/>
  <c r="H1449"/>
  <c r="H1450"/>
  <c r="H1451"/>
  <c r="H1452"/>
  <c r="H1453"/>
  <c r="H1454"/>
  <c r="H1455"/>
  <c r="H1456"/>
  <c r="H1457"/>
  <c r="H1458"/>
  <c r="H1459"/>
  <c r="H1460"/>
  <c r="H1461"/>
  <c r="H1462"/>
  <c r="H1463"/>
  <c r="H1464"/>
  <c r="H1465"/>
  <c r="H1466"/>
  <c r="H1467"/>
  <c r="H1468"/>
  <c r="H1469"/>
  <c r="H1470"/>
  <c r="H1471"/>
  <c r="H1472"/>
  <c r="H1473"/>
  <c r="H1474"/>
  <c r="H1475"/>
  <c r="H1476"/>
  <c r="H1477"/>
  <c r="H1478"/>
  <c r="H1479"/>
  <c r="H1480"/>
  <c r="H1481"/>
  <c r="H1482"/>
  <c r="H1483"/>
  <c r="H1484"/>
  <c r="H1485"/>
  <c r="H1486"/>
  <c r="H1487"/>
  <c r="H1488"/>
  <c r="H1489"/>
  <c r="H1490"/>
  <c r="H1491"/>
  <c r="H1492"/>
  <c r="H1493"/>
  <c r="H1494"/>
  <c r="H1495"/>
  <c r="H1496"/>
  <c r="H1497"/>
  <c r="H1498"/>
  <c r="H1499"/>
  <c r="H1500"/>
  <c r="H1501"/>
  <c r="H1502"/>
  <c r="H1503"/>
  <c r="H1504"/>
  <c r="H1505"/>
  <c r="H1506"/>
  <c r="H1507"/>
  <c r="H1508"/>
  <c r="H1509"/>
  <c r="H1510"/>
  <c r="H1511"/>
  <c r="H1512"/>
  <c r="H1513"/>
  <c r="H1514"/>
  <c r="H671"/>
  <c r="E211" i="3" l="1"/>
  <c r="E773"/>
  <c r="E507"/>
  <c r="E462"/>
  <c r="E1302"/>
  <c r="E264"/>
  <c r="E1017"/>
  <c r="E736"/>
  <c r="E1363"/>
  <c r="E682"/>
  <c r="E1239"/>
  <c r="E1165"/>
  <c r="E874"/>
  <c r="E1193"/>
  <c r="E730"/>
  <c r="E1201"/>
  <c r="E397"/>
  <c r="E562"/>
  <c r="E164"/>
  <c r="E311"/>
  <c r="E62"/>
  <c r="E1075"/>
  <c r="E999"/>
  <c r="E1015"/>
  <c r="E402"/>
  <c r="E1273"/>
  <c r="E1153"/>
  <c r="E861"/>
  <c r="E947"/>
  <c r="E424"/>
  <c r="E1223"/>
  <c r="E1310"/>
  <c r="E1112"/>
  <c r="E534"/>
  <c r="E754"/>
  <c r="E1130"/>
  <c r="E1219"/>
  <c r="E527"/>
  <c r="E823"/>
  <c r="E386"/>
  <c r="E1406"/>
  <c r="E598"/>
  <c r="E1088"/>
  <c r="E1276"/>
  <c r="E620"/>
  <c r="E511"/>
  <c r="E232"/>
  <c r="E1143"/>
  <c r="E1020"/>
  <c r="E767"/>
  <c r="E61"/>
  <c r="E303"/>
  <c r="E259"/>
  <c r="E1046"/>
  <c r="E418"/>
  <c r="E477"/>
  <c r="E790"/>
  <c r="E60"/>
  <c r="E1420"/>
  <c r="E59"/>
  <c r="E396"/>
  <c r="E58"/>
  <c r="E57"/>
  <c r="E56"/>
  <c r="E583"/>
  <c r="E1481"/>
  <c r="E724"/>
  <c r="E1038"/>
  <c r="E450"/>
  <c r="E794"/>
  <c r="E896"/>
  <c r="E1386"/>
  <c r="E1352"/>
  <c r="E1194"/>
  <c r="E559"/>
  <c r="E1414"/>
  <c r="E1307"/>
  <c r="E1187"/>
  <c r="E1297"/>
  <c r="E1385"/>
  <c r="E1266"/>
  <c r="E1014"/>
  <c r="E751"/>
  <c r="E587"/>
  <c r="E1035"/>
  <c r="E1013"/>
  <c r="E1408"/>
  <c r="E333"/>
  <c r="E722"/>
  <c r="E348"/>
  <c r="E1291"/>
  <c r="E518"/>
  <c r="E820"/>
  <c r="E1311"/>
  <c r="E1393"/>
  <c r="E1206"/>
  <c r="E960"/>
  <c r="E319"/>
  <c r="E55"/>
  <c r="E1134"/>
  <c r="E148"/>
  <c r="E301"/>
  <c r="E786"/>
  <c r="E592"/>
  <c r="E1431"/>
  <c r="E939"/>
  <c r="E579"/>
  <c r="E417"/>
  <c r="E96"/>
  <c r="E870"/>
  <c r="E220"/>
  <c r="E237"/>
  <c r="E1065"/>
  <c r="E1212"/>
  <c r="E448"/>
  <c r="E122"/>
  <c r="E635"/>
  <c r="E1070"/>
  <c r="E375"/>
  <c r="E276"/>
  <c r="E774"/>
  <c r="E681"/>
  <c r="E54"/>
  <c r="E365"/>
  <c r="E443"/>
  <c r="E121"/>
  <c r="E173"/>
  <c r="E466"/>
  <c r="E991"/>
  <c r="E948"/>
  <c r="E810"/>
  <c r="E855"/>
  <c r="E1340"/>
  <c r="E67"/>
  <c r="E454"/>
  <c r="E470"/>
  <c r="E1347"/>
  <c r="E1144"/>
  <c r="E779"/>
  <c r="E531"/>
  <c r="E102"/>
  <c r="E224"/>
  <c r="E1391"/>
  <c r="E72"/>
  <c r="E515"/>
  <c r="E519"/>
  <c r="E1106"/>
  <c r="E352"/>
  <c r="E53"/>
  <c r="E1241"/>
  <c r="E234"/>
  <c r="E498"/>
  <c r="E1336"/>
  <c r="E1480"/>
  <c r="E950"/>
  <c r="E1102"/>
  <c r="E1146"/>
  <c r="E52"/>
  <c r="E1416"/>
  <c r="E920"/>
  <c r="E1009"/>
  <c r="E201"/>
  <c r="E315"/>
  <c r="E910"/>
  <c r="E51"/>
  <c r="E247"/>
  <c r="E244"/>
  <c r="E381"/>
  <c r="E414"/>
  <c r="E523"/>
  <c r="E118"/>
  <c r="E964"/>
  <c r="E674"/>
  <c r="E1023"/>
  <c r="E553"/>
  <c r="E586"/>
  <c r="E909"/>
  <c r="E135"/>
  <c r="E879"/>
  <c r="E707"/>
  <c r="E618"/>
  <c r="E1479"/>
  <c r="E50"/>
  <c r="E990"/>
  <c r="E233"/>
  <c r="E597"/>
  <c r="E1063"/>
  <c r="E843"/>
  <c r="E831"/>
  <c r="E969"/>
  <c r="E1238"/>
  <c r="E309"/>
  <c r="E604"/>
  <c r="E922"/>
  <c r="E384"/>
  <c r="E846"/>
  <c r="E735"/>
  <c r="E484"/>
  <c r="E839"/>
  <c r="E1189"/>
  <c r="E1064"/>
  <c r="E1141"/>
  <c r="E659"/>
  <c r="E1403"/>
  <c r="E1226"/>
  <c r="E940"/>
  <c r="E652"/>
  <c r="E695"/>
  <c r="E491"/>
  <c r="E917"/>
  <c r="E1169"/>
  <c r="E763"/>
  <c r="E923"/>
  <c r="E1054"/>
  <c r="E1398"/>
  <c r="E1185"/>
  <c r="E324"/>
  <c r="E805"/>
  <c r="E1367"/>
  <c r="E842"/>
  <c r="E1133"/>
  <c r="E394"/>
  <c r="E1176"/>
  <c r="E755"/>
  <c r="E209"/>
  <c r="E335"/>
  <c r="E1203"/>
  <c r="E576"/>
  <c r="E1172"/>
  <c r="E452"/>
  <c r="E496"/>
  <c r="E473"/>
  <c r="E536"/>
  <c r="E230"/>
  <c r="E1360"/>
  <c r="E194"/>
  <c r="E1051"/>
  <c r="E155"/>
  <c r="E212"/>
  <c r="E422"/>
  <c r="E1049"/>
  <c r="E227"/>
  <c r="E927"/>
  <c r="E401"/>
  <c r="E76"/>
  <c r="E1478"/>
  <c r="E1198"/>
  <c r="E1001"/>
  <c r="E330"/>
  <c r="E1040"/>
  <c r="E154"/>
  <c r="E49"/>
  <c r="E475"/>
  <c r="E494"/>
  <c r="E216"/>
  <c r="E636"/>
  <c r="E750"/>
  <c r="E1150"/>
  <c r="E48"/>
  <c r="E1228"/>
  <c r="E47"/>
  <c r="E936"/>
  <c r="E1259"/>
  <c r="E1410"/>
  <c r="E1394"/>
  <c r="E645"/>
  <c r="E858"/>
  <c r="E1188"/>
  <c r="E993"/>
  <c r="E845"/>
  <c r="E46"/>
  <c r="E1424"/>
  <c r="E166"/>
  <c r="E400"/>
  <c r="E1305"/>
  <c r="E1320"/>
  <c r="E907"/>
  <c r="E1359"/>
  <c r="E262"/>
  <c r="E187"/>
  <c r="E853"/>
  <c r="E45"/>
  <c r="E1030"/>
  <c r="E1123"/>
  <c r="E440"/>
  <c r="E709"/>
  <c r="E239"/>
  <c r="E1140"/>
  <c r="E44"/>
  <c r="E1004"/>
  <c r="E488"/>
  <c r="E740"/>
  <c r="E847"/>
  <c r="E1267"/>
  <c r="E733"/>
  <c r="E913"/>
  <c r="E972"/>
  <c r="E1268"/>
  <c r="E548"/>
  <c r="E43"/>
  <c r="E1365"/>
  <c r="E775"/>
  <c r="E127"/>
  <c r="E912"/>
  <c r="E1400"/>
  <c r="E781"/>
  <c r="E112"/>
  <c r="E105"/>
  <c r="E196"/>
  <c r="E353"/>
  <c r="E1164"/>
  <c r="E1097"/>
  <c r="E1356"/>
  <c r="E1275"/>
  <c r="E667"/>
  <c r="E591"/>
  <c r="E932"/>
  <c r="E788"/>
  <c r="E677"/>
  <c r="E701"/>
  <c r="E915"/>
  <c r="E595"/>
  <c r="E714"/>
  <c r="E1477"/>
  <c r="E176"/>
  <c r="E1362"/>
  <c r="E451"/>
  <c r="E261"/>
  <c r="E1077"/>
  <c r="E1205"/>
  <c r="E611"/>
  <c r="E226"/>
  <c r="E185"/>
  <c r="E485"/>
  <c r="E387"/>
  <c r="E174"/>
  <c r="E1204"/>
  <c r="E150"/>
  <c r="E371"/>
  <c r="E99"/>
  <c r="E474"/>
  <c r="E86"/>
  <c r="E88"/>
  <c r="E1110"/>
  <c r="E1379"/>
  <c r="E357"/>
  <c r="E42"/>
  <c r="E783"/>
  <c r="E192"/>
  <c r="E312"/>
  <c r="E41"/>
  <c r="E126"/>
  <c r="E585"/>
  <c r="E1337"/>
  <c r="E119"/>
  <c r="E800"/>
  <c r="E1343"/>
  <c r="E40"/>
  <c r="E778"/>
  <c r="E1042"/>
  <c r="E712"/>
  <c r="E178"/>
  <c r="E200"/>
  <c r="E1207"/>
  <c r="E249"/>
  <c r="E326"/>
  <c r="E415"/>
  <c r="E117"/>
  <c r="E501"/>
  <c r="E503"/>
  <c r="E675"/>
  <c r="E851"/>
  <c r="E153"/>
  <c r="E198"/>
  <c r="E1390"/>
  <c r="E369"/>
  <c r="E149"/>
  <c r="E631"/>
  <c r="E627"/>
  <c r="E1062"/>
  <c r="E975"/>
  <c r="E970"/>
  <c r="E629"/>
  <c r="E92"/>
  <c r="E875"/>
  <c r="E1287"/>
  <c r="E642"/>
  <c r="E334"/>
  <c r="E39"/>
  <c r="E1086"/>
  <c r="E685"/>
  <c r="E1298"/>
  <c r="E918"/>
  <c r="E441"/>
  <c r="E100"/>
  <c r="E648"/>
  <c r="E1129"/>
  <c r="E1242"/>
  <c r="E429"/>
  <c r="E1476"/>
  <c r="E569"/>
  <c r="E367"/>
  <c r="E1315"/>
  <c r="E1021"/>
  <c r="E1349"/>
  <c r="E1395"/>
  <c r="E1475"/>
  <c r="E640"/>
  <c r="E431"/>
  <c r="E793"/>
  <c r="E439"/>
  <c r="E669"/>
  <c r="E703"/>
  <c r="E543"/>
  <c r="E444"/>
  <c r="E1474"/>
  <c r="E1335"/>
  <c r="E671"/>
  <c r="E1300"/>
  <c r="E63"/>
  <c r="E902"/>
  <c r="E544"/>
  <c r="E116"/>
  <c r="E1209"/>
  <c r="E1155"/>
  <c r="E161"/>
  <c r="E942"/>
  <c r="E291"/>
  <c r="E715"/>
  <c r="E1473"/>
  <c r="E251"/>
  <c r="E388"/>
  <c r="E229"/>
  <c r="E1162"/>
  <c r="E1052"/>
  <c r="E79"/>
  <c r="E614"/>
  <c r="E639"/>
  <c r="E698"/>
  <c r="E710"/>
  <c r="E1157"/>
  <c r="E1472"/>
  <c r="E146"/>
  <c r="E307"/>
  <c r="E482"/>
  <c r="E623"/>
  <c r="E495"/>
  <c r="E337"/>
  <c r="E1220"/>
  <c r="E38"/>
  <c r="E796"/>
  <c r="E332"/>
  <c r="E836"/>
  <c r="E1289"/>
  <c r="E1121"/>
  <c r="E743"/>
  <c r="E432"/>
  <c r="E114"/>
  <c r="E71"/>
  <c r="E690"/>
  <c r="E156"/>
  <c r="E143"/>
  <c r="E37"/>
  <c r="E399"/>
  <c r="E628"/>
  <c r="E589"/>
  <c r="E588"/>
  <c r="E745"/>
  <c r="E36"/>
  <c r="E1257"/>
  <c r="E1319"/>
  <c r="E1342"/>
  <c r="E613"/>
  <c r="E769"/>
  <c r="E1388"/>
  <c r="E554"/>
  <c r="E876"/>
  <c r="E766"/>
  <c r="E1234"/>
  <c r="E1114"/>
  <c r="E1371"/>
  <c r="E1142"/>
  <c r="E1369"/>
  <c r="E664"/>
  <c r="E564"/>
  <c r="E1341"/>
  <c r="E1068"/>
  <c r="E408"/>
  <c r="E954"/>
  <c r="E1168"/>
  <c r="E1422"/>
  <c r="E764"/>
  <c r="E1159"/>
  <c r="E1003"/>
  <c r="E811"/>
  <c r="E1471"/>
  <c r="E1303"/>
  <c r="E1399"/>
  <c r="E1087"/>
  <c r="E956"/>
  <c r="E1470"/>
  <c r="E378"/>
  <c r="E35"/>
  <c r="E1262"/>
  <c r="E468"/>
  <c r="E673"/>
  <c r="E1041"/>
  <c r="E1378"/>
  <c r="E280"/>
  <c r="E835"/>
  <c r="E959"/>
  <c r="E849"/>
  <c r="E1250"/>
  <c r="E995"/>
  <c r="E530"/>
  <c r="E866"/>
  <c r="E34"/>
  <c r="E1331"/>
  <c r="E1263"/>
  <c r="E978"/>
  <c r="E856"/>
  <c r="E391"/>
  <c r="E368"/>
  <c r="E70"/>
  <c r="E221"/>
  <c r="E742"/>
  <c r="E535"/>
  <c r="E1256"/>
  <c r="E1027"/>
  <c r="E1044"/>
  <c r="E1402"/>
  <c r="E1230"/>
  <c r="E1074"/>
  <c r="E1012"/>
  <c r="E984"/>
  <c r="E1079"/>
  <c r="E864"/>
  <c r="E566"/>
  <c r="E113"/>
  <c r="E829"/>
  <c r="E1354"/>
  <c r="E1225"/>
  <c r="E1105"/>
  <c r="E688"/>
  <c r="E702"/>
  <c r="E638"/>
  <c r="E256"/>
  <c r="E987"/>
  <c r="E1290"/>
  <c r="E1292"/>
  <c r="E1116"/>
  <c r="E854"/>
  <c r="E350"/>
  <c r="E370"/>
  <c r="E115"/>
  <c r="E951"/>
  <c r="E691"/>
  <c r="E382"/>
  <c r="E33"/>
  <c r="E467"/>
  <c r="E284"/>
  <c r="E696"/>
  <c r="E197"/>
  <c r="E819"/>
  <c r="E1469"/>
  <c r="E963"/>
  <c r="E982"/>
  <c r="E152"/>
  <c r="E1468"/>
  <c r="E1191"/>
  <c r="E331"/>
  <c r="E487"/>
  <c r="E1329"/>
  <c r="E1214"/>
  <c r="E903"/>
  <c r="E1467"/>
  <c r="E541"/>
  <c r="E1108"/>
  <c r="E1264"/>
  <c r="E725"/>
  <c r="E1104"/>
  <c r="E180"/>
  <c r="E1466"/>
  <c r="E1465"/>
  <c r="E248"/>
  <c r="E500"/>
  <c r="E795"/>
  <c r="E434"/>
  <c r="E526"/>
  <c r="E657"/>
  <c r="E479"/>
  <c r="E469"/>
  <c r="E647"/>
  <c r="E1280"/>
  <c r="E275"/>
  <c r="E1405"/>
  <c r="E1326"/>
  <c r="E1139"/>
  <c r="E524"/>
  <c r="E1333"/>
  <c r="E787"/>
  <c r="E1037"/>
  <c r="E1033"/>
  <c r="E785"/>
  <c r="E584"/>
  <c r="E411"/>
  <c r="E560"/>
  <c r="E1026"/>
  <c r="E1464"/>
  <c r="E1181"/>
  <c r="E593"/>
  <c r="E532"/>
  <c r="E630"/>
  <c r="E246"/>
  <c r="E700"/>
  <c r="E888"/>
  <c r="E1312"/>
  <c r="E362"/>
  <c r="E594"/>
  <c r="E1053"/>
  <c r="E660"/>
  <c r="E621"/>
  <c r="E1417"/>
  <c r="E1294"/>
  <c r="E1113"/>
  <c r="E792"/>
  <c r="E32"/>
  <c r="E807"/>
  <c r="E31"/>
  <c r="E30"/>
  <c r="E151"/>
  <c r="E1232"/>
  <c r="E258"/>
  <c r="E862"/>
  <c r="E998"/>
  <c r="E968"/>
  <c r="E360"/>
  <c r="E1166"/>
  <c r="E1423"/>
  <c r="E1463"/>
  <c r="E1462"/>
  <c r="E1461"/>
  <c r="E1460"/>
  <c r="E389"/>
  <c r="E29"/>
  <c r="E737"/>
  <c r="E1429"/>
  <c r="E1459"/>
  <c r="E1375"/>
  <c r="E1321"/>
  <c r="E1282"/>
  <c r="E1458"/>
  <c r="E1409"/>
  <c r="E1301"/>
  <c r="E1457"/>
  <c r="E729"/>
  <c r="E1199"/>
  <c r="E1456"/>
  <c r="E1058"/>
  <c r="E1455"/>
  <c r="E416"/>
  <c r="E1278"/>
  <c r="E1010"/>
  <c r="E1404"/>
  <c r="E1376"/>
  <c r="E1454"/>
  <c r="E1453"/>
  <c r="E1318"/>
  <c r="E1407"/>
  <c r="E930"/>
  <c r="E1316"/>
  <c r="E1334"/>
  <c r="E267"/>
  <c r="E804"/>
  <c r="E1325"/>
  <c r="E1235"/>
  <c r="E1348"/>
  <c r="E1061"/>
  <c r="E1227"/>
  <c r="E1452"/>
  <c r="E1415"/>
  <c r="E1036"/>
  <c r="E1413"/>
  <c r="E758"/>
  <c r="E1031"/>
  <c r="E1346"/>
  <c r="E294"/>
  <c r="E252"/>
  <c r="E1174"/>
  <c r="E175"/>
  <c r="E308"/>
  <c r="E78"/>
  <c r="E134"/>
  <c r="E568"/>
  <c r="E265"/>
  <c r="E753"/>
  <c r="E1252"/>
  <c r="E409"/>
  <c r="E1279"/>
  <c r="E1072"/>
  <c r="E1382"/>
  <c r="E1120"/>
  <c r="E1246"/>
  <c r="E765"/>
  <c r="E646"/>
  <c r="E738"/>
  <c r="E169"/>
  <c r="E997"/>
  <c r="E616"/>
  <c r="E728"/>
  <c r="E1022"/>
  <c r="E821"/>
  <c r="E317"/>
  <c r="E1384"/>
  <c r="E497"/>
  <c r="E1451"/>
  <c r="E943"/>
  <c r="E449"/>
  <c r="E686"/>
  <c r="E1178"/>
  <c r="E693"/>
  <c r="E436"/>
  <c r="E1255"/>
  <c r="E1098"/>
  <c r="E28"/>
  <c r="E632"/>
  <c r="E605"/>
  <c r="E1096"/>
  <c r="E1156"/>
  <c r="E504"/>
  <c r="E1032"/>
  <c r="E1082"/>
  <c r="E1366"/>
  <c r="E272"/>
  <c r="E513"/>
  <c r="E694"/>
  <c r="E293"/>
  <c r="E202"/>
  <c r="E844"/>
  <c r="E985"/>
  <c r="E798"/>
  <c r="E929"/>
  <c r="E1213"/>
  <c r="E97"/>
  <c r="E1152"/>
  <c r="E672"/>
  <c r="E445"/>
  <c r="E73"/>
  <c r="E1089"/>
  <c r="E670"/>
  <c r="E542"/>
  <c r="E908"/>
  <c r="E924"/>
  <c r="E780"/>
  <c r="E1285"/>
  <c r="E120"/>
  <c r="E580"/>
  <c r="E1048"/>
  <c r="E1029"/>
  <c r="E460"/>
  <c r="E1293"/>
  <c r="E403"/>
  <c r="E215"/>
  <c r="E1339"/>
  <c r="E953"/>
  <c r="E188"/>
  <c r="E393"/>
  <c r="E1005"/>
  <c r="E830"/>
  <c r="E1190"/>
  <c r="E199"/>
  <c r="E373"/>
  <c r="E407"/>
  <c r="E679"/>
  <c r="E937"/>
  <c r="E1245"/>
  <c r="E349"/>
  <c r="E1450"/>
  <c r="E412"/>
  <c r="E547"/>
  <c r="E676"/>
  <c r="E1171"/>
  <c r="E191"/>
  <c r="E935"/>
  <c r="E1419"/>
  <c r="E339"/>
  <c r="E1210"/>
  <c r="E687"/>
  <c r="E603"/>
  <c r="E561"/>
  <c r="E1182"/>
  <c r="E825"/>
  <c r="E340"/>
  <c r="E734"/>
  <c r="E833"/>
  <c r="E27"/>
  <c r="E1056"/>
  <c r="E905"/>
  <c r="E859"/>
  <c r="E1258"/>
  <c r="E1125"/>
  <c r="E746"/>
  <c r="E546"/>
  <c r="E133"/>
  <c r="E160"/>
  <c r="E852"/>
  <c r="E1163"/>
  <c r="E26"/>
  <c r="E850"/>
  <c r="E916"/>
  <c r="E988"/>
  <c r="E1192"/>
  <c r="E1091"/>
  <c r="E25"/>
  <c r="E885"/>
  <c r="E528"/>
  <c r="E622"/>
  <c r="E420"/>
  <c r="E289"/>
  <c r="E808"/>
  <c r="E430"/>
  <c r="E1202"/>
  <c r="E617"/>
  <c r="E1195"/>
  <c r="E777"/>
  <c r="E601"/>
  <c r="E273"/>
  <c r="E891"/>
  <c r="E404"/>
  <c r="E718"/>
  <c r="E24"/>
  <c r="E305"/>
  <c r="H18" i="18" l="1"/>
  <c r="H19"/>
  <c r="H20"/>
  <c r="H21"/>
  <c r="H22"/>
  <c r="H23"/>
  <c r="H24"/>
  <c r="H25"/>
  <c r="H26"/>
  <c r="H27"/>
  <c r="H28"/>
  <c r="H29"/>
  <c r="H30"/>
  <c r="H31"/>
  <c r="H32"/>
  <c r="H33"/>
  <c r="H34"/>
  <c r="H35"/>
  <c r="H36"/>
  <c r="H37"/>
  <c r="H38"/>
  <c r="H39"/>
  <c r="H40"/>
  <c r="H41"/>
  <c r="H42"/>
  <c r="H43"/>
  <c r="H44"/>
  <c r="H45"/>
  <c r="H46"/>
  <c r="H47"/>
  <c r="H48"/>
  <c r="H49"/>
  <c r="H50"/>
  <c r="H51"/>
  <c r="H52"/>
  <c r="H53"/>
  <c r="H54"/>
  <c r="H55"/>
  <c r="H56"/>
  <c r="H57"/>
  <c r="H58"/>
  <c r="H59"/>
  <c r="H60"/>
  <c r="H61"/>
  <c r="H62"/>
  <c r="H63"/>
  <c r="H64"/>
  <c r="H65"/>
  <c r="H66"/>
  <c r="H67"/>
  <c r="H68"/>
  <c r="H69"/>
  <c r="H70"/>
  <c r="H71"/>
  <c r="H72"/>
  <c r="H73"/>
  <c r="H74"/>
  <c r="H75"/>
  <c r="H76"/>
  <c r="H77"/>
  <c r="H78"/>
  <c r="H79"/>
  <c r="H80"/>
  <c r="H81"/>
  <c r="H82"/>
  <c r="H83"/>
  <c r="H84"/>
  <c r="H85"/>
  <c r="H86"/>
  <c r="H87"/>
  <c r="H88"/>
  <c r="H89"/>
  <c r="H90"/>
  <c r="H91"/>
  <c r="H92"/>
  <c r="H93"/>
  <c r="H94"/>
  <c r="H95"/>
  <c r="H96"/>
  <c r="H97"/>
  <c r="H98"/>
  <c r="H99"/>
  <c r="H100"/>
  <c r="H101"/>
  <c r="H102"/>
  <c r="H103"/>
  <c r="H104"/>
  <c r="H105"/>
  <c r="H106"/>
  <c r="H107"/>
  <c r="H108"/>
  <c r="H109"/>
  <c r="H110"/>
  <c r="H111"/>
  <c r="H112"/>
  <c r="H113"/>
  <c r="H114"/>
  <c r="H115"/>
  <c r="H116"/>
  <c r="H117"/>
  <c r="H118"/>
  <c r="H119"/>
  <c r="H120"/>
  <c r="H121"/>
  <c r="H122"/>
  <c r="H123"/>
  <c r="H124"/>
  <c r="H125"/>
  <c r="H126"/>
  <c r="H127"/>
  <c r="H128"/>
  <c r="H129"/>
  <c r="H130"/>
  <c r="H131"/>
  <c r="H132"/>
  <c r="H133"/>
  <c r="H134"/>
  <c r="H135"/>
  <c r="H136"/>
  <c r="H137"/>
  <c r="H138"/>
  <c r="H139"/>
  <c r="H140"/>
  <c r="H141"/>
  <c r="H142"/>
  <c r="H143"/>
  <c r="H144"/>
  <c r="H145"/>
  <c r="H146"/>
  <c r="H147"/>
  <c r="H148"/>
  <c r="H149"/>
  <c r="H150"/>
  <c r="H151"/>
  <c r="H152"/>
  <c r="H153"/>
  <c r="H154"/>
  <c r="H155"/>
  <c r="H156"/>
  <c r="H157"/>
  <c r="H158"/>
  <c r="H159"/>
  <c r="H160"/>
  <c r="H161"/>
  <c r="H162"/>
  <c r="H163"/>
  <c r="H164"/>
  <c r="H165"/>
  <c r="H166"/>
  <c r="H167"/>
  <c r="H168"/>
  <c r="H169"/>
  <c r="H170"/>
  <c r="H171"/>
  <c r="H172"/>
  <c r="H173"/>
  <c r="H174"/>
  <c r="H175"/>
  <c r="H176"/>
  <c r="H177"/>
  <c r="H178"/>
  <c r="H179"/>
  <c r="H180"/>
  <c r="H181"/>
  <c r="H182"/>
  <c r="H183"/>
  <c r="H184"/>
  <c r="H185"/>
  <c r="H186"/>
  <c r="H187"/>
  <c r="H188"/>
  <c r="H189"/>
  <c r="H190"/>
  <c r="H191"/>
  <c r="H192"/>
  <c r="H193"/>
  <c r="H194"/>
  <c r="H195"/>
  <c r="H196"/>
  <c r="H197"/>
  <c r="H198"/>
  <c r="H199"/>
  <c r="H200"/>
  <c r="H201"/>
  <c r="H202"/>
  <c r="H203"/>
  <c r="H204"/>
  <c r="H205"/>
  <c r="H206"/>
  <c r="H207"/>
  <c r="H208"/>
  <c r="H209"/>
  <c r="H210"/>
  <c r="H211"/>
  <c r="H212"/>
  <c r="H213"/>
  <c r="H214"/>
  <c r="H215"/>
  <c r="H216"/>
  <c r="H217"/>
  <c r="H218"/>
  <c r="H219"/>
  <c r="H220"/>
  <c r="H221"/>
  <c r="H222"/>
  <c r="H223"/>
  <c r="H224"/>
  <c r="H225"/>
  <c r="H226"/>
  <c r="H227"/>
  <c r="H228"/>
  <c r="H229"/>
  <c r="H230"/>
  <c r="H231"/>
  <c r="H232"/>
  <c r="H233"/>
  <c r="H234"/>
  <c r="H235"/>
  <c r="H236"/>
  <c r="H237"/>
  <c r="H238"/>
  <c r="H239"/>
  <c r="H240"/>
  <c r="H241"/>
  <c r="H242"/>
  <c r="H243"/>
  <c r="H244"/>
  <c r="H245"/>
  <c r="H246"/>
  <c r="H247"/>
  <c r="H248"/>
  <c r="H249"/>
  <c r="H250"/>
  <c r="H251"/>
  <c r="H252"/>
  <c r="H253"/>
  <c r="H254"/>
  <c r="H255"/>
  <c r="H256"/>
  <c r="H257"/>
  <c r="H258"/>
  <c r="H259"/>
  <c r="H260"/>
  <c r="H261"/>
  <c r="H262"/>
  <c r="H263"/>
  <c r="H264"/>
  <c r="H265"/>
  <c r="H266"/>
  <c r="H267"/>
  <c r="H268"/>
  <c r="H269"/>
  <c r="H270"/>
  <c r="H271"/>
  <c r="H272"/>
  <c r="H273"/>
  <c r="H274"/>
  <c r="H275"/>
  <c r="H276"/>
  <c r="H277"/>
  <c r="H278"/>
  <c r="H279"/>
  <c r="H280"/>
  <c r="H281"/>
  <c r="H282"/>
  <c r="H283"/>
  <c r="H284"/>
  <c r="H285"/>
  <c r="H286"/>
  <c r="H287"/>
  <c r="H288"/>
  <c r="H289"/>
  <c r="H290"/>
  <c r="H291"/>
  <c r="H292"/>
  <c r="H293"/>
  <c r="H294"/>
  <c r="H295"/>
  <c r="H296"/>
  <c r="H297"/>
  <c r="H298"/>
  <c r="H299"/>
  <c r="H300"/>
  <c r="H301"/>
  <c r="H302"/>
  <c r="H303"/>
  <c r="H304"/>
  <c r="H305"/>
  <c r="H306"/>
  <c r="H307"/>
  <c r="H308"/>
  <c r="H309"/>
  <c r="H310"/>
  <c r="H311"/>
  <c r="H312"/>
  <c r="H313"/>
  <c r="H314"/>
  <c r="H315"/>
  <c r="H316"/>
  <c r="H317"/>
  <c r="H318"/>
  <c r="H319"/>
  <c r="H320"/>
  <c r="H321"/>
  <c r="H322"/>
  <c r="H323"/>
  <c r="H324"/>
  <c r="H325"/>
  <c r="H326"/>
  <c r="H327"/>
  <c r="H328"/>
  <c r="H329"/>
  <c r="H330"/>
  <c r="H331"/>
  <c r="H332"/>
  <c r="H333"/>
  <c r="H334"/>
  <c r="H335"/>
  <c r="H336"/>
  <c r="H337"/>
  <c r="H338"/>
  <c r="H339"/>
  <c r="H340"/>
  <c r="H341"/>
  <c r="H342"/>
  <c r="H343"/>
  <c r="H344"/>
  <c r="H345"/>
  <c r="H346"/>
  <c r="H347"/>
  <c r="H348"/>
  <c r="H349"/>
  <c r="H350"/>
  <c r="H351"/>
  <c r="H352"/>
  <c r="H353"/>
  <c r="H354"/>
  <c r="H355"/>
  <c r="H356"/>
  <c r="H357"/>
  <c r="H358"/>
  <c r="H359"/>
  <c r="H360"/>
  <c r="H361"/>
  <c r="H362"/>
  <c r="H363"/>
  <c r="H364"/>
  <c r="H365"/>
  <c r="H366"/>
  <c r="H367"/>
  <c r="H368"/>
  <c r="H369"/>
  <c r="H370"/>
  <c r="H371"/>
  <c r="H372"/>
  <c r="H373"/>
  <c r="H374"/>
  <c r="H375"/>
  <c r="H376"/>
  <c r="H377"/>
  <c r="H378"/>
  <c r="H379"/>
  <c r="H380"/>
  <c r="H381"/>
  <c r="H382"/>
  <c r="H383"/>
  <c r="H384"/>
  <c r="H385"/>
  <c r="H386"/>
  <c r="H387"/>
  <c r="H388"/>
  <c r="H389"/>
  <c r="H390"/>
  <c r="H391"/>
  <c r="H392"/>
  <c r="H393"/>
  <c r="H394"/>
  <c r="H395"/>
  <c r="H396"/>
  <c r="H397"/>
  <c r="H398"/>
  <c r="H399"/>
  <c r="H400"/>
  <c r="H401"/>
  <c r="H402"/>
  <c r="H403"/>
  <c r="H404"/>
  <c r="H405"/>
  <c r="H406"/>
  <c r="H407"/>
  <c r="H408"/>
  <c r="H409"/>
  <c r="H410"/>
  <c r="H411"/>
  <c r="H412"/>
  <c r="H413"/>
  <c r="H414"/>
  <c r="H415"/>
  <c r="H416"/>
  <c r="H417"/>
  <c r="H418"/>
  <c r="H419"/>
  <c r="H420"/>
  <c r="H421"/>
  <c r="H422"/>
  <c r="H423"/>
  <c r="H424"/>
  <c r="H425"/>
  <c r="H426"/>
  <c r="H427"/>
  <c r="H428"/>
  <c r="H429"/>
  <c r="H430"/>
  <c r="H431"/>
  <c r="H432"/>
  <c r="H433"/>
  <c r="H434"/>
  <c r="H435"/>
  <c r="H436"/>
  <c r="H437"/>
  <c r="H438"/>
  <c r="H439"/>
  <c r="H440"/>
  <c r="H441"/>
  <c r="H442"/>
  <c r="H443"/>
  <c r="H444"/>
  <c r="H445"/>
  <c r="H446"/>
  <c r="H447"/>
  <c r="H448"/>
  <c r="H449"/>
  <c r="H450"/>
  <c r="H451"/>
  <c r="H452"/>
  <c r="H453"/>
  <c r="H454"/>
  <c r="H455"/>
  <c r="H456"/>
  <c r="H457"/>
  <c r="H458"/>
  <c r="H459"/>
  <c r="H460"/>
  <c r="H461"/>
  <c r="H462"/>
  <c r="H463"/>
  <c r="H464"/>
  <c r="H465"/>
  <c r="H466"/>
  <c r="H467"/>
  <c r="H468"/>
  <c r="H469"/>
  <c r="H470"/>
  <c r="H471"/>
  <c r="H472"/>
  <c r="H473"/>
  <c r="H474"/>
  <c r="H475"/>
  <c r="H476"/>
  <c r="H477"/>
  <c r="H478"/>
  <c r="H479"/>
  <c r="H480"/>
  <c r="H481"/>
  <c r="H482"/>
  <c r="H483"/>
  <c r="H484"/>
  <c r="H485"/>
  <c r="H486"/>
  <c r="H487"/>
  <c r="H488"/>
  <c r="H489"/>
  <c r="H490"/>
  <c r="H491"/>
  <c r="H492"/>
  <c r="H493"/>
  <c r="H494"/>
  <c r="H495"/>
  <c r="H496"/>
  <c r="H497"/>
  <c r="H498"/>
  <c r="H499"/>
  <c r="H500"/>
  <c r="H501"/>
  <c r="H502"/>
  <c r="H503"/>
  <c r="H504"/>
  <c r="H505"/>
  <c r="H506"/>
  <c r="H507"/>
  <c r="H508"/>
  <c r="H509"/>
  <c r="H510"/>
  <c r="H511"/>
  <c r="H512"/>
  <c r="H513"/>
  <c r="H514"/>
  <c r="H515"/>
  <c r="H516"/>
  <c r="H517"/>
  <c r="H518"/>
  <c r="H519"/>
  <c r="H520"/>
  <c r="H521"/>
  <c r="H522"/>
  <c r="H523"/>
  <c r="H524"/>
  <c r="H525"/>
  <c r="H526"/>
  <c r="H527"/>
  <c r="H528"/>
  <c r="H529"/>
  <c r="H530"/>
  <c r="H531"/>
  <c r="H532"/>
  <c r="H533"/>
  <c r="H534"/>
  <c r="H535"/>
  <c r="H536"/>
  <c r="H537"/>
  <c r="H538"/>
  <c r="H539"/>
  <c r="H540"/>
  <c r="H541"/>
  <c r="H542"/>
  <c r="H543"/>
  <c r="H544"/>
  <c r="H545"/>
  <c r="H546"/>
  <c r="H547"/>
  <c r="H548"/>
  <c r="H549"/>
  <c r="H550"/>
  <c r="H551"/>
  <c r="H552"/>
  <c r="H553"/>
  <c r="H554"/>
  <c r="H555"/>
  <c r="H556"/>
  <c r="H557"/>
  <c r="H558"/>
  <c r="H559"/>
  <c r="H560"/>
  <c r="H561"/>
  <c r="H562"/>
  <c r="H563"/>
  <c r="H564"/>
  <c r="H565"/>
  <c r="H566"/>
  <c r="H567"/>
  <c r="H568"/>
  <c r="H569"/>
  <c r="H570"/>
  <c r="H571"/>
  <c r="H572"/>
  <c r="H573"/>
  <c r="H574"/>
  <c r="H575"/>
  <c r="H576"/>
  <c r="H577"/>
  <c r="H578"/>
  <c r="H579"/>
  <c r="H580"/>
  <c r="H581"/>
  <c r="H582"/>
  <c r="H583"/>
  <c r="H584"/>
  <c r="H585"/>
  <c r="H586"/>
  <c r="H587"/>
  <c r="H588"/>
  <c r="H589"/>
  <c r="H590"/>
  <c r="H591"/>
  <c r="H592"/>
  <c r="H593"/>
  <c r="H594"/>
  <c r="H595"/>
  <c r="H596"/>
  <c r="H597"/>
  <c r="H598"/>
  <c r="H599"/>
  <c r="H600"/>
  <c r="H601"/>
  <c r="H602"/>
  <c r="H603"/>
  <c r="H604"/>
  <c r="H605"/>
  <c r="H606"/>
  <c r="H607"/>
  <c r="H608"/>
  <c r="H609"/>
  <c r="H610"/>
  <c r="H611"/>
  <c r="H612"/>
  <c r="H613"/>
  <c r="H614"/>
  <c r="H615"/>
  <c r="H616"/>
  <c r="H617"/>
  <c r="H618"/>
  <c r="H619"/>
  <c r="H620"/>
  <c r="H621"/>
  <c r="H622"/>
  <c r="H623"/>
  <c r="H624"/>
  <c r="H625"/>
  <c r="H626"/>
  <c r="H627"/>
  <c r="H628"/>
  <c r="H629"/>
  <c r="H630"/>
  <c r="H631"/>
  <c r="H632"/>
  <c r="H633"/>
  <c r="H634"/>
  <c r="H635"/>
  <c r="H636"/>
  <c r="H637"/>
  <c r="H638"/>
  <c r="H639"/>
  <c r="H640"/>
  <c r="H641"/>
  <c r="H642"/>
  <c r="H643"/>
  <c r="H644"/>
  <c r="H645"/>
  <c r="H646"/>
  <c r="H647"/>
  <c r="H648"/>
  <c r="H649"/>
  <c r="H650"/>
  <c r="H651"/>
  <c r="H652"/>
  <c r="H653"/>
  <c r="H654"/>
  <c r="H655"/>
  <c r="H656"/>
  <c r="H657"/>
  <c r="H658"/>
  <c r="H659"/>
  <c r="H660"/>
  <c r="H661"/>
  <c r="H662"/>
  <c r="H663"/>
  <c r="H664"/>
  <c r="H665"/>
  <c r="H666"/>
  <c r="H667"/>
  <c r="H668"/>
  <c r="H669"/>
  <c r="H670"/>
  <c r="H672"/>
  <c r="H673"/>
  <c r="H674"/>
  <c r="H675"/>
  <c r="H676"/>
  <c r="H677"/>
  <c r="H678"/>
  <c r="H679"/>
  <c r="E225" i="3" l="1"/>
  <c r="E385"/>
  <c r="E994"/>
  <c r="E892"/>
  <c r="E624"/>
  <c r="E1128"/>
  <c r="E529"/>
  <c r="E683"/>
  <c r="E961"/>
  <c r="E1094"/>
  <c r="E739"/>
  <c r="E1186"/>
  <c r="E901"/>
  <c r="E522"/>
  <c r="E1160"/>
  <c r="E897"/>
  <c r="E310"/>
  <c r="E81"/>
  <c r="E421"/>
  <c r="E80"/>
  <c r="E565"/>
  <c r="E109"/>
  <c r="E1389"/>
  <c r="E318"/>
  <c r="E612"/>
  <c r="E1281"/>
  <c r="E195"/>
  <c r="E509"/>
  <c r="E1304"/>
  <c r="E840"/>
  <c r="E577"/>
  <c r="E1381"/>
  <c r="E351"/>
  <c r="E168"/>
  <c r="E517"/>
  <c r="E395"/>
  <c r="E1269"/>
  <c r="E756"/>
  <c r="E366"/>
  <c r="E338"/>
  <c r="E425"/>
  <c r="E426"/>
  <c r="E1039"/>
  <c r="E824"/>
  <c r="E865"/>
  <c r="E555"/>
  <c r="E240"/>
  <c r="E302"/>
  <c r="E1439"/>
  <c r="E1330"/>
  <c r="E1283"/>
  <c r="E944"/>
  <c r="E883"/>
  <c r="E834"/>
  <c r="E214"/>
  <c r="E1131"/>
  <c r="E692"/>
  <c r="E281"/>
  <c r="E578"/>
  <c r="E193"/>
  <c r="E832"/>
  <c r="E538"/>
  <c r="E1109"/>
  <c r="E321"/>
  <c r="E934"/>
  <c r="E1132"/>
  <c r="E322"/>
  <c r="E512"/>
  <c r="E438"/>
  <c r="E253"/>
  <c r="E493"/>
  <c r="E241"/>
  <c r="E882"/>
  <c r="E986"/>
  <c r="E741"/>
  <c r="E828"/>
  <c r="E266"/>
  <c r="E955"/>
  <c r="E957"/>
  <c r="E327"/>
  <c r="E1179"/>
  <c r="E884"/>
  <c r="E299"/>
  <c r="E139"/>
  <c r="E650"/>
  <c r="E1387"/>
  <c r="E481"/>
  <c r="E894"/>
  <c r="E486"/>
  <c r="E107"/>
  <c r="E607"/>
  <c r="E140"/>
  <c r="E77"/>
  <c r="E478"/>
  <c r="E9"/>
  <c r="E8"/>
  <c r="E437"/>
  <c r="E890"/>
  <c r="E711"/>
  <c r="E822"/>
  <c r="E242"/>
  <c r="E75"/>
  <c r="E572"/>
  <c r="E236"/>
  <c r="E231"/>
  <c r="E537"/>
  <c r="E716"/>
  <c r="E1438"/>
  <c r="E1411"/>
  <c r="E1183"/>
  <c r="E1167"/>
  <c r="E181"/>
  <c r="E658"/>
  <c r="E946"/>
  <c r="E809"/>
  <c r="E919"/>
  <c r="E110"/>
  <c r="E967"/>
  <c r="E925"/>
  <c r="E713"/>
  <c r="E941"/>
  <c r="E1050"/>
  <c r="E1272"/>
  <c r="E570"/>
  <c r="E124"/>
  <c r="E1368"/>
  <c r="E1107"/>
  <c r="E816"/>
  <c r="E213"/>
  <c r="E283"/>
  <c r="E223"/>
  <c r="E447"/>
  <c r="E1244"/>
  <c r="E899"/>
  <c r="E1083"/>
  <c r="E91"/>
  <c r="E1222"/>
  <c r="E771"/>
  <c r="E1306"/>
  <c r="E921"/>
  <c r="E708"/>
  <c r="E600"/>
  <c r="E1332"/>
  <c r="E838"/>
  <c r="E857"/>
  <c r="E520"/>
  <c r="E1427"/>
  <c r="E552"/>
  <c r="E556"/>
  <c r="E533"/>
  <c r="E325"/>
  <c r="E1295"/>
  <c r="E869"/>
  <c r="E655"/>
  <c r="E359"/>
  <c r="E643"/>
  <c r="E1002"/>
  <c r="E668"/>
  <c r="E141"/>
  <c r="E372"/>
  <c r="E1196"/>
  <c r="E581"/>
  <c r="E1034"/>
  <c r="E958"/>
  <c r="E345"/>
  <c r="E286"/>
  <c r="E516"/>
  <c r="E1426"/>
  <c r="E911"/>
  <c r="E678"/>
  <c r="E158"/>
  <c r="E1145"/>
  <c r="E68"/>
  <c r="E887"/>
  <c r="E499"/>
  <c r="E801"/>
  <c r="E464"/>
  <c r="E510"/>
  <c r="E757"/>
  <c r="E18"/>
  <c r="E15"/>
  <c r="E933"/>
  <c r="E1184"/>
  <c r="E573"/>
  <c r="E602"/>
  <c r="E177"/>
  <c r="E1119"/>
  <c r="E1274"/>
  <c r="E1135"/>
  <c r="E567"/>
  <c r="E128"/>
  <c r="E292"/>
  <c r="E90"/>
  <c r="E142"/>
  <c r="E442"/>
  <c r="E1440"/>
  <c r="E506"/>
  <c r="E799"/>
  <c r="E145"/>
  <c r="E721"/>
  <c r="E539"/>
  <c r="E1286"/>
  <c r="E1247"/>
  <c r="E1180"/>
  <c r="E5"/>
  <c r="E457"/>
  <c r="E144"/>
  <c r="E1433"/>
  <c r="E483"/>
  <c r="E806"/>
  <c r="E1016"/>
  <c r="E1137"/>
  <c r="E906"/>
  <c r="E255"/>
  <c r="E82"/>
  <c r="E803"/>
  <c r="E354"/>
  <c r="E895"/>
  <c r="E1085"/>
  <c r="E238"/>
  <c r="E981"/>
  <c r="E218"/>
  <c r="E606"/>
  <c r="E17"/>
  <c r="E1355"/>
  <c r="E374"/>
  <c r="E1024"/>
  <c r="E22"/>
  <c r="E314"/>
  <c r="E1158"/>
  <c r="E1081"/>
  <c r="E455"/>
  <c r="E87"/>
  <c r="E123"/>
  <c r="E257"/>
  <c r="E163"/>
  <c r="E1148"/>
  <c r="E1397"/>
  <c r="E996"/>
  <c r="E1008"/>
  <c r="E1444"/>
  <c r="E1066"/>
  <c r="E1080"/>
  <c r="E14"/>
  <c r="E1126"/>
  <c r="E599"/>
  <c r="E608"/>
  <c r="E871"/>
  <c r="E582"/>
  <c r="E379"/>
  <c r="E376"/>
  <c r="E1345"/>
  <c r="E797"/>
  <c r="E761"/>
  <c r="E328"/>
  <c r="E210"/>
  <c r="E720"/>
  <c r="E1115"/>
  <c r="E380"/>
  <c r="E662"/>
  <c r="E878"/>
  <c r="E84"/>
  <c r="E1441"/>
  <c r="E313"/>
  <c r="E471"/>
  <c r="E545"/>
  <c r="E1353"/>
  <c r="E405"/>
  <c r="E190"/>
  <c r="E245"/>
  <c r="E1284"/>
  <c r="E661"/>
  <c r="E1328"/>
  <c r="E1149"/>
  <c r="E563"/>
  <c r="E7"/>
  <c r="E131"/>
  <c r="E290"/>
  <c r="E575"/>
  <c r="E186"/>
  <c r="E971"/>
  <c r="E358"/>
  <c r="E893"/>
  <c r="E6"/>
  <c r="E1095"/>
  <c r="E979"/>
  <c r="E826"/>
  <c r="E329"/>
  <c r="E514"/>
  <c r="E159"/>
  <c r="E64"/>
  <c r="E505"/>
  <c r="E463"/>
  <c r="E723"/>
  <c r="E288"/>
  <c r="E665"/>
  <c r="E435"/>
  <c r="E651"/>
  <c r="E615"/>
  <c r="E699"/>
  <c r="E1073"/>
  <c r="E1361"/>
  <c r="E1373"/>
  <c r="E465"/>
  <c r="E1217"/>
  <c r="E817"/>
  <c r="E873"/>
  <c r="E1177"/>
  <c r="E1218"/>
  <c r="E1060"/>
  <c r="E1028"/>
  <c r="E1071"/>
  <c r="E1000"/>
  <c r="E1432"/>
  <c r="E1211"/>
  <c r="E827"/>
  <c r="E250"/>
  <c r="E974"/>
  <c r="E300"/>
  <c r="E748"/>
  <c r="E744"/>
  <c r="E928"/>
  <c r="E1240"/>
  <c r="E129"/>
  <c r="E182"/>
  <c r="E1265"/>
  <c r="E170"/>
  <c r="E1236"/>
  <c r="E791"/>
  <c r="E492"/>
  <c r="E23"/>
  <c r="E285"/>
  <c r="E551"/>
  <c r="E184"/>
  <c r="E472"/>
  <c r="E125"/>
  <c r="E1011"/>
  <c r="E540"/>
  <c r="E347"/>
  <c r="E1270"/>
  <c r="E183"/>
  <c r="E19"/>
  <c r="E1350"/>
  <c r="E1447"/>
  <c r="E356"/>
  <c r="E268"/>
  <c r="E1224"/>
  <c r="E69"/>
  <c r="E666"/>
  <c r="E208"/>
  <c r="E446"/>
  <c r="E1313"/>
  <c r="E762"/>
  <c r="E1078"/>
  <c r="E320"/>
  <c r="E1377"/>
  <c r="E1059"/>
  <c r="E489"/>
  <c r="E574"/>
  <c r="E1425"/>
  <c r="E1055"/>
  <c r="E85"/>
  <c r="E863"/>
  <c r="E1392"/>
  <c r="E243"/>
  <c r="E626"/>
  <c r="E66"/>
  <c r="E881"/>
  <c r="E1260"/>
  <c r="E298"/>
  <c r="E813"/>
  <c r="E1043"/>
  <c r="E1396"/>
  <c r="E1069"/>
  <c r="E1430"/>
  <c r="E1323"/>
  <c r="E279"/>
  <c r="E16"/>
  <c r="E872"/>
  <c r="E1092"/>
  <c r="E101"/>
  <c r="E295"/>
  <c r="E219"/>
  <c r="E383"/>
  <c r="E782"/>
  <c r="E992"/>
  <c r="E697"/>
  <c r="E13"/>
  <c r="E274"/>
  <c r="E1138"/>
  <c r="E304"/>
  <c r="E1124"/>
  <c r="E94"/>
  <c r="E1442"/>
  <c r="E410"/>
  <c r="E413"/>
  <c r="E989"/>
  <c r="E204"/>
  <c r="E296"/>
  <c r="E508"/>
  <c r="E867"/>
  <c r="E106"/>
  <c r="E502"/>
  <c r="E776"/>
  <c r="E476"/>
  <c r="E95"/>
  <c r="E749"/>
  <c r="E980"/>
  <c r="E1200"/>
  <c r="E277"/>
  <c r="E952"/>
  <c r="E427"/>
  <c r="E1418"/>
  <c r="E157"/>
  <c r="E98"/>
  <c r="E705"/>
  <c r="E1057"/>
  <c r="E1314"/>
  <c r="E732"/>
  <c r="E1344"/>
  <c r="E815"/>
  <c r="E1351"/>
  <c r="E770"/>
  <c r="E759"/>
  <c r="E1358"/>
  <c r="E111"/>
  <c r="E938"/>
  <c r="E747"/>
  <c r="E633"/>
  <c r="E4"/>
  <c r="E898"/>
  <c r="E653"/>
  <c r="E1383"/>
  <c r="E428"/>
  <c r="E868"/>
  <c r="E1372"/>
  <c r="E1175"/>
  <c r="E900"/>
  <c r="E271"/>
  <c r="E1249"/>
  <c r="E656"/>
  <c r="E1127"/>
  <c r="E549"/>
  <c r="E3"/>
  <c r="E1412"/>
  <c r="E886"/>
  <c r="E973"/>
  <c r="E558"/>
  <c r="E525"/>
  <c r="E976"/>
  <c r="E1299"/>
  <c r="E1147"/>
  <c r="E346"/>
  <c r="E772"/>
  <c r="E205"/>
  <c r="E167"/>
  <c r="E1216"/>
  <c r="E784"/>
  <c r="E654"/>
  <c r="E89"/>
  <c r="E977"/>
  <c r="E316"/>
  <c r="E1446"/>
  <c r="E1271"/>
  <c r="E203"/>
  <c r="E1161"/>
  <c r="E1380"/>
  <c r="E342"/>
  <c r="E1170"/>
  <c r="E297"/>
  <c r="E521"/>
  <c r="E103"/>
  <c r="E1122"/>
  <c r="E361"/>
  <c r="E138"/>
  <c r="E1357"/>
  <c r="E609"/>
  <c r="E147"/>
  <c r="E949"/>
  <c r="E1435"/>
  <c r="E1007"/>
  <c r="E355"/>
  <c r="E1243"/>
  <c r="E162"/>
  <c r="E727"/>
  <c r="E860"/>
  <c r="E1364"/>
  <c r="E235"/>
  <c r="E1090"/>
  <c r="E1428"/>
  <c r="E1197"/>
  <c r="E406"/>
  <c r="E1118"/>
  <c r="E1445"/>
  <c r="E1443"/>
  <c r="E1103"/>
  <c r="E1317"/>
  <c r="E962"/>
  <c r="E1019"/>
  <c r="E490"/>
  <c r="E456"/>
  <c r="E1277"/>
  <c r="E21"/>
  <c r="E1221"/>
  <c r="E1208"/>
  <c r="E1448"/>
  <c r="E719"/>
  <c r="E557"/>
  <c r="E717"/>
  <c r="E433"/>
  <c r="E1154"/>
  <c r="E172"/>
  <c r="E458"/>
  <c r="E848"/>
  <c r="E1288"/>
  <c r="E841"/>
  <c r="E83"/>
  <c r="E726"/>
  <c r="E1253"/>
  <c r="E20"/>
  <c r="E1449"/>
  <c r="E1233"/>
  <c r="E689"/>
  <c r="E802"/>
  <c r="E1229"/>
  <c r="E1100"/>
  <c r="E1254"/>
  <c r="E287"/>
  <c r="E65"/>
  <c r="E590"/>
  <c r="E637"/>
  <c r="E461"/>
  <c r="E1076"/>
  <c r="E1215"/>
  <c r="E1173"/>
  <c r="E684"/>
  <c r="E1421"/>
  <c r="E1237"/>
  <c r="E480"/>
  <c r="E789"/>
  <c r="E1401"/>
  <c r="E1067"/>
  <c r="E165"/>
  <c r="E904"/>
  <c r="E1093"/>
  <c r="E260"/>
  <c r="E965"/>
  <c r="E945"/>
  <c r="E93"/>
  <c r="E1117"/>
  <c r="E206"/>
  <c r="E663"/>
  <c r="E1101"/>
  <c r="E812"/>
  <c r="E453"/>
  <c r="E1025"/>
  <c r="E132"/>
  <c r="E1261"/>
  <c r="E1045"/>
  <c r="E398"/>
  <c r="E136"/>
  <c r="E269"/>
  <c r="E966"/>
  <c r="E550"/>
  <c r="E768"/>
  <c r="E74"/>
  <c r="E1322"/>
  <c r="E222"/>
  <c r="E179"/>
  <c r="E1231"/>
  <c r="E641"/>
  <c r="E12"/>
  <c r="E814"/>
  <c r="E108"/>
  <c r="E363"/>
  <c r="E1338"/>
  <c r="E459"/>
  <c r="E306"/>
  <c r="E171"/>
  <c r="E11"/>
  <c r="E706"/>
  <c r="E10"/>
  <c r="E889"/>
  <c r="E263"/>
  <c r="E189"/>
  <c r="E1111"/>
  <c r="E1374"/>
  <c r="E760"/>
  <c r="E914"/>
  <c r="E1006"/>
  <c r="E1308"/>
  <c r="E1251"/>
  <c r="E377"/>
  <c r="E343"/>
  <c r="E130"/>
  <c r="E254"/>
  <c r="E419"/>
  <c r="E1327"/>
  <c r="E571"/>
  <c r="E1437"/>
  <c r="E731"/>
  <c r="E217"/>
  <c r="E1436"/>
  <c r="E1136"/>
  <c r="E1309"/>
  <c r="E1324"/>
  <c r="E207"/>
  <c r="E837"/>
  <c r="E752"/>
  <c r="E1296"/>
  <c r="E931"/>
  <c r="E1099"/>
  <c r="E983"/>
  <c r="E644"/>
  <c r="E364"/>
  <c r="E423"/>
  <c r="E818"/>
  <c r="E270"/>
  <c r="E282"/>
  <c r="E625"/>
  <c r="E1047"/>
  <c r="E680"/>
  <c r="E1434"/>
  <c r="E1084"/>
  <c r="E278"/>
  <c r="E880"/>
  <c r="E619"/>
  <c r="E137"/>
  <c r="E392"/>
  <c r="E344"/>
  <c r="E1018"/>
  <c r="E390"/>
  <c r="J46" i="8"/>
  <c r="I46"/>
  <c r="H46"/>
  <c r="G46"/>
  <c r="F46"/>
  <c r="E46"/>
  <c r="D46"/>
  <c r="C46"/>
  <c r="J43"/>
  <c r="I43"/>
  <c r="H43"/>
  <c r="G43"/>
  <c r="F43"/>
  <c r="E43"/>
  <c r="D43"/>
  <c r="C43"/>
  <c r="J40"/>
  <c r="I40"/>
  <c r="H40"/>
  <c r="G40"/>
  <c r="F40"/>
  <c r="E40"/>
  <c r="D40"/>
  <c r="C40"/>
  <c r="J37"/>
  <c r="I37"/>
  <c r="H37"/>
  <c r="G37"/>
  <c r="F37"/>
  <c r="E37"/>
  <c r="D37"/>
  <c r="C37"/>
  <c r="J34"/>
  <c r="I34"/>
  <c r="H34"/>
  <c r="G34"/>
  <c r="F34"/>
  <c r="E34"/>
  <c r="D34"/>
  <c r="C34"/>
  <c r="J31"/>
  <c r="I31"/>
  <c r="H31"/>
  <c r="G31"/>
  <c r="F31"/>
  <c r="E31"/>
  <c r="D31"/>
  <c r="C31"/>
  <c r="J28"/>
  <c r="I28"/>
  <c r="H28"/>
  <c r="G28"/>
  <c r="F28"/>
  <c r="E28"/>
  <c r="D28"/>
  <c r="C28"/>
  <c r="J25"/>
  <c r="I25"/>
  <c r="H25"/>
  <c r="G25"/>
  <c r="F25"/>
  <c r="E25"/>
  <c r="D25"/>
  <c r="C25"/>
  <c r="J22"/>
  <c r="I22"/>
  <c r="H22"/>
  <c r="G22"/>
  <c r="F22"/>
  <c r="E22"/>
  <c r="D22"/>
  <c r="C22"/>
  <c r="J19"/>
  <c r="I19"/>
  <c r="H19"/>
  <c r="G19"/>
  <c r="F19"/>
  <c r="E19"/>
  <c r="D19"/>
  <c r="C19"/>
  <c r="J16"/>
  <c r="I16"/>
  <c r="H16"/>
  <c r="G16"/>
  <c r="F16"/>
  <c r="E16"/>
  <c r="D16"/>
  <c r="C16"/>
  <c r="J13"/>
  <c r="I13"/>
  <c r="H13"/>
  <c r="G13"/>
  <c r="F13"/>
  <c r="E13"/>
  <c r="D13"/>
  <c r="C13"/>
  <c r="J10"/>
  <c r="I10"/>
  <c r="H10"/>
  <c r="G10"/>
  <c r="F10"/>
  <c r="E10"/>
  <c r="D10"/>
  <c r="C10"/>
  <c r="J7"/>
  <c r="I7"/>
  <c r="H7"/>
  <c r="G7"/>
  <c r="F7"/>
  <c r="E7"/>
  <c r="D7"/>
  <c r="C7"/>
  <c r="J4"/>
  <c r="I4"/>
  <c r="H4"/>
  <c r="G4"/>
  <c r="F4"/>
  <c r="E4"/>
  <c r="D4"/>
  <c r="C4"/>
  <c r="J45"/>
  <c r="I45"/>
  <c r="H45"/>
  <c r="G45"/>
  <c r="F45"/>
  <c r="E45"/>
  <c r="D45"/>
  <c r="C45"/>
  <c r="J42"/>
  <c r="I42"/>
  <c r="H42"/>
  <c r="G42"/>
  <c r="F42"/>
  <c r="E42"/>
  <c r="D42"/>
  <c r="C42"/>
  <c r="J39"/>
  <c r="I39"/>
  <c r="H39"/>
  <c r="G39"/>
  <c r="F39"/>
  <c r="E39"/>
  <c r="D39"/>
  <c r="C39"/>
  <c r="J36"/>
  <c r="I36"/>
  <c r="H36"/>
  <c r="G36"/>
  <c r="F36"/>
  <c r="E36"/>
  <c r="D36"/>
  <c r="C36"/>
  <c r="J33"/>
  <c r="I33"/>
  <c r="H33"/>
  <c r="G33"/>
  <c r="F33"/>
  <c r="E33"/>
  <c r="D33"/>
  <c r="C33"/>
  <c r="J30"/>
  <c r="I30"/>
  <c r="H30"/>
  <c r="G30"/>
  <c r="F30"/>
  <c r="E30"/>
  <c r="D30"/>
  <c r="C30"/>
  <c r="J27"/>
  <c r="I27"/>
  <c r="H27"/>
  <c r="G27"/>
  <c r="F27"/>
  <c r="E27"/>
  <c r="D27"/>
  <c r="C27"/>
  <c r="J24"/>
  <c r="I24"/>
  <c r="H24"/>
  <c r="G24"/>
  <c r="F24"/>
  <c r="E24"/>
  <c r="D24"/>
  <c r="C24"/>
  <c r="J21"/>
  <c r="I21"/>
  <c r="H21"/>
  <c r="G21"/>
  <c r="F21"/>
  <c r="E21"/>
  <c r="D21"/>
  <c r="C21"/>
  <c r="J18"/>
  <c r="I18"/>
  <c r="H18"/>
  <c r="G18"/>
  <c r="F18"/>
  <c r="E18"/>
  <c r="D18"/>
  <c r="C18"/>
  <c r="J15"/>
  <c r="I15"/>
  <c r="H15"/>
  <c r="G15"/>
  <c r="F15"/>
  <c r="E15"/>
  <c r="D15"/>
  <c r="C15"/>
  <c r="J12"/>
  <c r="I12"/>
  <c r="H12"/>
  <c r="G12"/>
  <c r="F12"/>
  <c r="E12"/>
  <c r="D12"/>
  <c r="C12"/>
  <c r="J9"/>
  <c r="I9"/>
  <c r="H9"/>
  <c r="G9"/>
  <c r="F9"/>
  <c r="E9"/>
  <c r="D9"/>
  <c r="C9"/>
  <c r="J6"/>
  <c r="I6"/>
  <c r="H6"/>
  <c r="G6"/>
  <c r="F6"/>
  <c r="E6"/>
  <c r="D6"/>
  <c r="C6"/>
  <c r="J3"/>
  <c r="I3"/>
  <c r="H3"/>
  <c r="G3"/>
  <c r="F3"/>
  <c r="E3"/>
  <c r="D3"/>
  <c r="C3"/>
  <c r="J44"/>
  <c r="I44"/>
  <c r="H44"/>
  <c r="G44"/>
  <c r="F44"/>
  <c r="E44"/>
  <c r="D44"/>
  <c r="C44"/>
  <c r="J41"/>
  <c r="I41"/>
  <c r="H41"/>
  <c r="G41"/>
  <c r="F41"/>
  <c r="E41"/>
  <c r="D41"/>
  <c r="C41"/>
  <c r="J38"/>
  <c r="I38"/>
  <c r="H38"/>
  <c r="G38"/>
  <c r="F38"/>
  <c r="E38"/>
  <c r="D38"/>
  <c r="C38"/>
  <c r="J35"/>
  <c r="I35"/>
  <c r="H35"/>
  <c r="G35"/>
  <c r="F35"/>
  <c r="E35"/>
  <c r="D35"/>
  <c r="C35"/>
  <c r="J32"/>
  <c r="I32"/>
  <c r="H32"/>
  <c r="G32"/>
  <c r="F32"/>
  <c r="E32"/>
  <c r="D32"/>
  <c r="C32"/>
  <c r="J29"/>
  <c r="I29"/>
  <c r="H29"/>
  <c r="G29"/>
  <c r="F29"/>
  <c r="E29"/>
  <c r="D29"/>
  <c r="C29"/>
  <c r="J26"/>
  <c r="I26"/>
  <c r="H26"/>
  <c r="G26"/>
  <c r="F26"/>
  <c r="E26"/>
  <c r="D26"/>
  <c r="C26"/>
  <c r="J23"/>
  <c r="I23"/>
  <c r="H23"/>
  <c r="G23"/>
  <c r="F23"/>
  <c r="E23"/>
  <c r="D23"/>
  <c r="C23"/>
  <c r="J20"/>
  <c r="I20"/>
  <c r="H20"/>
  <c r="G20"/>
  <c r="F20"/>
  <c r="E20"/>
  <c r="D20"/>
  <c r="C20"/>
  <c r="J17"/>
  <c r="I17"/>
  <c r="H17"/>
  <c r="G17"/>
  <c r="F17"/>
  <c r="E17"/>
  <c r="D17"/>
  <c r="C17"/>
  <c r="J14"/>
  <c r="I14"/>
  <c r="H14"/>
  <c r="G14"/>
  <c r="F14"/>
  <c r="E14"/>
  <c r="D14"/>
  <c r="C14"/>
  <c r="J11"/>
  <c r="I11"/>
  <c r="H11"/>
  <c r="G11"/>
  <c r="F11"/>
  <c r="E11"/>
  <c r="D11"/>
  <c r="C11"/>
  <c r="J8"/>
  <c r="I8"/>
  <c r="H8"/>
  <c r="G8"/>
  <c r="F8"/>
  <c r="E8"/>
  <c r="D8"/>
  <c r="C8"/>
  <c r="J5"/>
  <c r="I5"/>
  <c r="H5"/>
  <c r="G5"/>
  <c r="F5"/>
  <c r="E5"/>
  <c r="D5"/>
  <c r="C5"/>
  <c r="J2"/>
  <c r="I2"/>
  <c r="H2"/>
  <c r="G2"/>
  <c r="F2"/>
  <c r="E2"/>
  <c r="D2"/>
  <c r="C2"/>
  <c r="U23" i="1" l="1"/>
  <c r="R23"/>
  <c r="O23"/>
  <c r="P23" l="1"/>
  <c r="V23"/>
  <c r="Q23"/>
  <c r="S23"/>
  <c r="T23"/>
  <c r="H3" i="18" l="1"/>
  <c r="H4"/>
  <c r="H5"/>
  <c r="H6"/>
  <c r="H7"/>
  <c r="H8"/>
  <c r="H9"/>
  <c r="H10"/>
  <c r="H11"/>
  <c r="H12"/>
  <c r="H13"/>
  <c r="H14"/>
  <c r="H15"/>
  <c r="H16"/>
  <c r="H17"/>
  <c r="H2"/>
  <c r="E596" i="3" l="1"/>
  <c r="E704"/>
  <c r="E104"/>
  <c r="E1370"/>
  <c r="E877"/>
  <c r="E634"/>
  <c r="E1151"/>
  <c r="E228"/>
  <c r="E2"/>
  <c r="E341"/>
  <c r="E1248"/>
  <c r="E323"/>
  <c r="E649"/>
  <c r="E610"/>
  <c r="E336"/>
  <c r="E926"/>
  <c r="J68" i="8"/>
  <c r="D68"/>
  <c r="J65"/>
  <c r="I65"/>
  <c r="H65"/>
  <c r="G65"/>
  <c r="F65"/>
  <c r="E65"/>
  <c r="D65"/>
  <c r="C65"/>
  <c r="J76"/>
  <c r="I76"/>
  <c r="H76"/>
  <c r="G76"/>
  <c r="F76"/>
  <c r="E76"/>
  <c r="D76"/>
  <c r="C76"/>
  <c r="J75"/>
  <c r="I75"/>
  <c r="H75"/>
  <c r="G75"/>
  <c r="F75"/>
  <c r="E75"/>
  <c r="D75"/>
  <c r="C75"/>
  <c r="J74"/>
  <c r="I74"/>
  <c r="H74"/>
  <c r="G74"/>
  <c r="F74"/>
  <c r="E74"/>
  <c r="D74"/>
  <c r="C74"/>
  <c r="J73"/>
  <c r="I73"/>
  <c r="H73"/>
  <c r="G73"/>
  <c r="F73"/>
  <c r="E73"/>
  <c r="D73"/>
  <c r="K26"/>
  <c r="J72"/>
  <c r="I72"/>
  <c r="H72"/>
  <c r="G72"/>
  <c r="F72"/>
  <c r="E72"/>
  <c r="D72"/>
  <c r="C72"/>
  <c r="J71"/>
  <c r="I71"/>
  <c r="H71"/>
  <c r="G71"/>
  <c r="F71"/>
  <c r="E71"/>
  <c r="D71"/>
  <c r="C71"/>
  <c r="J58"/>
  <c r="I58"/>
  <c r="H58"/>
  <c r="G58"/>
  <c r="F58"/>
  <c r="E58"/>
  <c r="D58"/>
  <c r="C58"/>
  <c r="J57"/>
  <c r="I57"/>
  <c r="H57"/>
  <c r="G57"/>
  <c r="F57"/>
  <c r="E57"/>
  <c r="D57"/>
  <c r="C57"/>
  <c r="J56"/>
  <c r="I56"/>
  <c r="H56"/>
  <c r="G56"/>
  <c r="F56"/>
  <c r="E56"/>
  <c r="D56"/>
  <c r="C56"/>
  <c r="I50"/>
  <c r="J61"/>
  <c r="I61"/>
  <c r="H61"/>
  <c r="G61"/>
  <c r="F61"/>
  <c r="E61"/>
  <c r="D61"/>
  <c r="C61"/>
  <c r="J60"/>
  <c r="I60"/>
  <c r="H60"/>
  <c r="G60"/>
  <c r="F60"/>
  <c r="E60"/>
  <c r="D60"/>
  <c r="C60"/>
  <c r="J59"/>
  <c r="I59"/>
  <c r="H59"/>
  <c r="G59"/>
  <c r="F59"/>
  <c r="E59"/>
  <c r="D59"/>
  <c r="C59"/>
  <c r="I55"/>
  <c r="F64"/>
  <c r="H54"/>
  <c r="G54"/>
  <c r="E54"/>
  <c r="J62"/>
  <c r="G53"/>
  <c r="E47"/>
  <c r="D62"/>
  <c r="J70"/>
  <c r="I49"/>
  <c r="H49"/>
  <c r="G49"/>
  <c r="F52"/>
  <c r="D70"/>
  <c r="C49"/>
  <c r="J48"/>
  <c r="H51"/>
  <c r="F69"/>
  <c r="E48"/>
  <c r="D48"/>
  <c r="C48"/>
  <c r="J50"/>
  <c r="I47"/>
  <c r="H68"/>
  <c r="D50"/>
  <c r="C50" s="1"/>
  <c r="C47"/>
  <c r="N1" i="3"/>
  <c r="S6" i="7"/>
  <c r="R6"/>
  <c r="U6" s="1"/>
  <c r="S5"/>
  <c r="R5"/>
  <c r="U5" s="1"/>
  <c r="S4"/>
  <c r="R4"/>
  <c r="U4" s="1"/>
  <c r="A1" i="2"/>
  <c r="U29" i="1"/>
  <c r="S29"/>
  <c r="X16"/>
  <c r="W16"/>
  <c r="V37"/>
  <c r="U37"/>
  <c r="T37"/>
  <c r="S37"/>
  <c r="Q37"/>
  <c r="P37"/>
  <c r="O37"/>
  <c r="U24"/>
  <c r="O24"/>
  <c r="S32"/>
  <c r="R22"/>
  <c r="Q22"/>
  <c r="T1"/>
  <c r="B2" i="4"/>
  <c r="G1"/>
  <c r="F1"/>
  <c r="C2" l="1"/>
  <c r="L59" i="8"/>
  <c r="I51"/>
  <c r="G55"/>
  <c r="E50"/>
  <c r="F50"/>
  <c r="F53"/>
  <c r="D54"/>
  <c r="C54" s="1"/>
  <c r="J54"/>
  <c r="H55"/>
  <c r="I54"/>
  <c r="D55"/>
  <c r="C55" s="1"/>
  <c r="J55"/>
  <c r="H53"/>
  <c r="F54"/>
  <c r="L13"/>
  <c r="T6" i="7" s="1"/>
  <c r="V6" s="1"/>
  <c r="H62" i="8"/>
  <c r="F63"/>
  <c r="D64"/>
  <c r="J64"/>
  <c r="F66"/>
  <c r="D67"/>
  <c r="J67"/>
  <c r="E53"/>
  <c r="G51"/>
  <c r="E52"/>
  <c r="I53"/>
  <c r="E55"/>
  <c r="C62"/>
  <c r="I62"/>
  <c r="G63"/>
  <c r="E64"/>
  <c r="G66"/>
  <c r="E67"/>
  <c r="L2"/>
  <c r="L11"/>
  <c r="T4" i="7" s="1"/>
  <c r="V4" s="1"/>
  <c r="G48" i="8"/>
  <c r="E51"/>
  <c r="E62"/>
  <c r="C63"/>
  <c r="I63"/>
  <c r="G64"/>
  <c r="C66"/>
  <c r="I66"/>
  <c r="G67"/>
  <c r="E49"/>
  <c r="G50"/>
  <c r="L12"/>
  <c r="T5" i="7" s="1"/>
  <c r="V5" s="1"/>
  <c r="F62" i="8"/>
  <c r="D63"/>
  <c r="J63"/>
  <c r="H64"/>
  <c r="D66"/>
  <c r="J66"/>
  <c r="H67"/>
  <c r="G62"/>
  <c r="E63"/>
  <c r="C64"/>
  <c r="I64"/>
  <c r="E66"/>
  <c r="C67"/>
  <c r="I67"/>
  <c r="H52"/>
  <c r="K56"/>
  <c r="L56"/>
  <c r="K2"/>
  <c r="L26"/>
  <c r="D47"/>
  <c r="J47"/>
  <c r="F48"/>
  <c r="D49"/>
  <c r="J49"/>
  <c r="H50"/>
  <c r="D51"/>
  <c r="C51" s="1"/>
  <c r="J51"/>
  <c r="G52"/>
  <c r="D53"/>
  <c r="C53" s="1"/>
  <c r="J53"/>
  <c r="C68"/>
  <c r="I68"/>
  <c r="G69"/>
  <c r="E70"/>
  <c r="H63"/>
  <c r="H66"/>
  <c r="F67"/>
  <c r="H69"/>
  <c r="F70"/>
  <c r="F47"/>
  <c r="H48"/>
  <c r="F49"/>
  <c r="F51"/>
  <c r="I52"/>
  <c r="E68"/>
  <c r="C69"/>
  <c r="I69"/>
  <c r="G70"/>
  <c r="G47"/>
  <c r="I48"/>
  <c r="D52"/>
  <c r="C52" s="1"/>
  <c r="J52"/>
  <c r="F55"/>
  <c r="F68"/>
  <c r="D69"/>
  <c r="J69"/>
  <c r="H70"/>
  <c r="H47"/>
  <c r="G68"/>
  <c r="E69"/>
  <c r="C70"/>
  <c r="I70"/>
  <c r="C73"/>
  <c r="W15" i="1"/>
  <c r="T22"/>
  <c r="P32"/>
  <c r="R24"/>
  <c r="P29"/>
  <c r="P31" s="1"/>
  <c r="V29"/>
  <c r="V30" s="1"/>
  <c r="R34"/>
  <c r="R35" s="1"/>
  <c r="T36"/>
  <c r="W9"/>
  <c r="P24"/>
  <c r="V24"/>
  <c r="T29"/>
  <c r="T30" s="1"/>
  <c r="S26"/>
  <c r="O29"/>
  <c r="O31" s="1"/>
  <c r="O22"/>
  <c r="O34"/>
  <c r="O35" s="1"/>
  <c r="U34"/>
  <c r="U35" s="1"/>
  <c r="Q29"/>
  <c r="Q31" s="1"/>
  <c r="U31"/>
  <c r="T27"/>
  <c r="P34"/>
  <c r="P35" s="1"/>
  <c r="V35"/>
  <c r="W3"/>
  <c r="R36"/>
  <c r="S24"/>
  <c r="R26"/>
  <c r="U27"/>
  <c r="Q34"/>
  <c r="Q35" s="1"/>
  <c r="P25"/>
  <c r="O25" s="1"/>
  <c r="V25"/>
  <c r="T24"/>
  <c r="R29"/>
  <c r="R30" s="1"/>
  <c r="S34"/>
  <c r="S35" s="1"/>
  <c r="U32"/>
  <c r="T32"/>
  <c r="T26"/>
  <c r="Q27"/>
  <c r="O32"/>
  <c r="U26"/>
  <c r="R27"/>
  <c r="T34"/>
  <c r="T35" s="1"/>
  <c r="V36"/>
  <c r="Q24"/>
  <c r="V32"/>
  <c r="R37"/>
  <c r="V26"/>
  <c r="S27"/>
  <c r="Q36"/>
  <c r="P36" s="1"/>
  <c r="P27"/>
  <c r="O27" s="1"/>
  <c r="V27"/>
  <c r="T25"/>
  <c r="S31"/>
  <c r="S30"/>
  <c r="S22"/>
  <c r="U25"/>
  <c r="Q26"/>
  <c r="U22"/>
  <c r="Q25"/>
  <c r="Q32"/>
  <c r="P26"/>
  <c r="S36"/>
  <c r="U30"/>
  <c r="U36"/>
  <c r="X15"/>
  <c r="P22"/>
  <c r="V22"/>
  <c r="R25"/>
  <c r="R32"/>
  <c r="S25"/>
  <c r="C3" i="4" l="1"/>
  <c r="L54" i="8"/>
  <c r="L51"/>
  <c r="L55"/>
  <c r="L50"/>
  <c r="K50"/>
  <c r="K47"/>
  <c r="L52"/>
  <c r="K53"/>
  <c r="L53"/>
  <c r="L47"/>
  <c r="T31" i="1"/>
  <c r="Q30"/>
  <c r="P30"/>
  <c r="O30" s="1"/>
  <c r="V31"/>
  <c r="X24"/>
  <c r="S28"/>
  <c r="U28"/>
  <c r="Q28"/>
  <c r="W24"/>
  <c r="R31"/>
  <c r="W31"/>
  <c r="O33" s="1"/>
  <c r="X22"/>
  <c r="T28"/>
  <c r="W22"/>
  <c r="V28"/>
  <c r="R28"/>
  <c r="O26"/>
  <c r="O28" s="1"/>
  <c r="P28"/>
  <c r="C4" i="4" l="1"/>
  <c r="R33" i="1"/>
  <c r="U33"/>
  <c r="V33"/>
  <c r="Q33"/>
  <c r="S33"/>
  <c r="T33"/>
  <c r="P33"/>
  <c r="X25"/>
  <c r="W28"/>
  <c r="W25"/>
  <c r="C5" i="4" l="1"/>
  <c r="C6" l="1"/>
  <c r="C7" s="1"/>
</calcChain>
</file>

<file path=xl/comments1.xml><?xml version="1.0" encoding="utf-8"?>
<comments xmlns="http://schemas.openxmlformats.org/spreadsheetml/2006/main">
  <authors>
    <author>SW</author>
  </authors>
  <commentList>
    <comment ref="C9" authorId="0">
      <text>
        <r>
          <rPr>
            <b/>
            <sz val="9"/>
            <color indexed="81"/>
            <rFont val="Tahoma"/>
            <family val="2"/>
          </rPr>
          <t>SW: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方法</t>
        </r>
        <r>
          <rPr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細明體"/>
            <family val="3"/>
            <charset val="136"/>
          </rPr>
          <t>查詢月份</t>
        </r>
        <r>
          <rPr>
            <sz val="9"/>
            <color indexed="81"/>
            <rFont val="Tahoma"/>
            <family val="2"/>
          </rPr>
          <t>+15</t>
        </r>
      </text>
    </comment>
  </commentList>
</comments>
</file>

<file path=xl/comments2.xml><?xml version="1.0" encoding="utf-8"?>
<comments xmlns="http://schemas.openxmlformats.org/spreadsheetml/2006/main">
  <authors>
    <author>SW</author>
  </authors>
  <commentList>
    <comment ref="C1" authorId="0">
      <text>
        <r>
          <rPr>
            <sz val="14"/>
            <color indexed="81"/>
            <rFont val="細明體"/>
            <family val="3"/>
            <charset val="136"/>
          </rPr>
          <t>關於本益比的計算原則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3.xml><?xml version="1.0" encoding="utf-8"?>
<comments xmlns="http://schemas.openxmlformats.org/spreadsheetml/2006/main">
  <authors>
    <author>Windows User</author>
  </authors>
  <commentList>
    <comment ref="H3" authorId="0">
      <text>
        <r>
          <rPr>
            <b/>
            <sz val="12"/>
            <color indexed="81"/>
            <rFont val="細明體"/>
            <family val="3"/>
            <charset val="136"/>
          </rPr>
          <t>季線向上且乖離很小加分</t>
        </r>
        <r>
          <rPr>
            <sz val="12"/>
            <color indexed="81"/>
            <rFont val="Tahoma"/>
            <family val="2"/>
          </rPr>
          <t xml:space="preserve">
</t>
        </r>
      </text>
    </comment>
    <comment ref="J3" authorId="0">
      <text>
        <r>
          <rPr>
            <b/>
            <sz val="12"/>
            <color indexed="81"/>
            <rFont val="細明體"/>
            <family val="3"/>
            <charset val="136"/>
          </rPr>
          <t>大型股或8%以上適用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nnections.xml><?xml version="1.0" encoding="utf-8"?>
<connections xmlns="http://schemas.openxmlformats.org/spreadsheetml/2006/main">
  <connection id="1" name="連線" type="4" refreshedVersion="0" background="1">
    <webPr url="http://justdata.yuanta.com.tw/z/zc/zcq/zcq_5607.asp.htm" htmlTables="1" htmlFormat="all"/>
  </connection>
  <connection id="2" name="連線1" type="4" refreshedVersion="0" background="1">
    <webPr url="http://justdata.yuanta.com.tw/z/zc/zcq/zcq_1229.asp.htm" htmlTables="1" htmlFormat="all"/>
  </connection>
  <connection id="3" name="連線10" type="4" refreshedVersion="5" saveData="1">
    <webPr sourceData="1" xl2000="1" url="http://www.tdcc.com.tw/smWeb/QryStock.jsp?SCA_DATE=20151204&amp;SqlMethod=StockNo&amp;StockNo=9802&amp;StockName=&amp;sub=%ACd%B8%DF" htmlTables="1">
      <tables count="1">
        <x v="8"/>
      </tables>
    </webPr>
  </connection>
  <connection id="4" name="連線100" type="4" refreshedVersion="5" saveData="1">
    <webPr sourceData="1" xl2000="1" url="http://www.tdcc.com.tw/smWeb/QryStock.jsp?SCA_DATE=20151120&amp;SqlMethod=StockNo&amp;StockNo=9919&amp;StockName=&amp;sub=%ACd%B8%DF" htmlTables="1">
      <tables count="1">
        <x v="8"/>
      </tables>
    </webPr>
  </connection>
  <connection id="5" name="連線101" type="4" refreshedVersion="5" saveData="1">
    <webPr sourceData="1" xl2000="1" url="http://www.tdcc.com.tw/smWeb/QryStock.jsp?SCA_DATE=20151127&amp;SqlMethod=StockNo&amp;StockNo=9919&amp;StockName=&amp;sub=%ACd%B8%DF" htmlTables="1">
      <tables count="1">
        <x v="8"/>
      </tables>
    </webPr>
  </connection>
  <connection id="6" name="連線102" type="4" refreshedVersion="5" saveData="1">
    <webPr sourceData="1" xl2000="1" url="http://www.tdcc.com.tw/smWeb/QryStock.jsp?SCA_DATE=20151204&amp;SqlMethod=StockNo&amp;StockNo=9919&amp;StockName=&amp;sub=%ACd%B8%DF" htmlTables="1">
      <tables count="1">
        <x v="8"/>
      </tables>
    </webPr>
  </connection>
  <connection id="7" name="連線1024" type="4" refreshedVersion="0" background="1">
    <webPr url="http://www.emega.com.tw/z/zc/zch/zch_2108.djhtm" htmlTables="1" htmlFormat="all"/>
  </connection>
  <connection id="8" name="連線103" type="4" refreshedVersion="5" saveData="1">
    <webPr sourceData="1" xl2000="1" url="http://www.tdcc.com.tw/smWeb/QryStock.jsp?SCA_DATE=20151120&amp;SqlMethod=StockNo&amp;StockNo=9921&amp;StockName=&amp;sub=%ACd%B8%DF" htmlTables="1">
      <tables count="1">
        <x v="8"/>
      </tables>
    </webPr>
  </connection>
  <connection id="9" name="連線1036" type="4" refreshedVersion="0" background="1">
    <webPr url="http://www.tdcc.com.tw/smWeb/QryStock.jsp?SCA_DATE=待讀清單&amp;SqlMethod=StockNo&amp;StockNo=1449&amp;StockName=&amp;sub=%ACd%B8%DF" htmlTables="1" htmlFormat="all"/>
  </connection>
  <connection id="10" name="連線104" type="4" refreshedVersion="5" saveData="1">
    <webPr sourceData="1" xl2000="1" url="http://www.tdcc.com.tw/smWeb/QryStock.jsp?SCA_DATE=20151127&amp;SqlMethod=StockNo&amp;StockNo=9921&amp;StockName=&amp;sub=%ACd%B8%DF" htmlTables="1">
      <tables count="1">
        <x v="8"/>
      </tables>
    </webPr>
  </connection>
  <connection id="11" name="連線1047" type="4" refreshedVersion="0" background="1">
    <webPr url="http://www.tdcc.com.tw/smWeb/QryStock.jsp?SCA_DATE=20150401&amp;SqlMethod=StockNo&amp;StockNo=1338&amp;StockName=&amp;sub=%ACd%B8%DF" htmlTables="1" htmlFormat="all"/>
  </connection>
  <connection id="12" name="連線105" type="4" refreshedVersion="5" saveData="1">
    <webPr sourceData="1" xl2000="1" url="http://www.tdcc.com.tw/smWeb/QryStock.jsp?SCA_DATE=20151204&amp;SqlMethod=StockNo&amp;StockNo=9921&amp;StockName=&amp;sub=%ACd%B8%DF" htmlTables="1">
      <tables count="1">
        <x v="8"/>
      </tables>
    </webPr>
  </connection>
  <connection id="13" name="連線106" type="4" refreshedVersion="5" saveData="1">
    <webPr sourceData="1" xl2000="1" url="http://www.tdcc.com.tw/smWeb/QryStock.jsp?SCA_DATE=20151120&amp;SqlMethod=StockNo&amp;StockNo=9924&amp;StockName=&amp;sub=%ACd%B8%DF" htmlTables="1">
      <tables count="1">
        <x v="8"/>
      </tables>
    </webPr>
  </connection>
  <connection id="14" name="連線107" type="4" refreshedVersion="5" saveData="1">
    <webPr sourceData="1" xl2000="1" url="http://www.tdcc.com.tw/smWeb/QryStock.jsp?SCA_DATE=20151127&amp;SqlMethod=StockNo&amp;StockNo=9924&amp;StockName=&amp;sub=%ACd%B8%DF" htmlTables="1">
      <tables count="1">
        <x v="8"/>
      </tables>
    </webPr>
  </connection>
  <connection id="15" name="連線108" type="4" refreshedVersion="5" saveData="1">
    <webPr sourceData="1" xl2000="1" url="http://www.tdcc.com.tw/smWeb/QryStock.jsp?SCA_DATE=20151204&amp;SqlMethod=StockNo&amp;StockNo=9924&amp;StockName=&amp;sub=%ACd%B8%DF" htmlTables="1">
      <tables count="1">
        <x v="8"/>
      </tables>
    </webPr>
  </connection>
  <connection id="16" name="連線1081" type="4" refreshedVersion="0" background="1">
    <webPr url="http://www.tdcc.com.tw/smWeb/QryStock.jsp?SCA_DATE=20150522&amp;SqlMethod=StockNo&amp;StockNo=1316&amp;StockName=&amp;sub=%ACd%B8%DF" htmlTables="1" htmlFormat="all"/>
  </connection>
  <connection id="17" name="連線109" type="4" refreshedVersion="5" saveData="1">
    <webPr sourceData="1" xl2000="1" url="http://www.tdcc.com.tw/smWeb/QryStock.jsp?SCA_DATE=20151120&amp;SqlMethod=StockNo&amp;StockNo=9925&amp;StockName=&amp;sub=%ACd%B8%DF" htmlTables="1">
      <tables count="1">
        <x v="8"/>
      </tables>
    </webPr>
  </connection>
  <connection id="18" name="連線11" type="4" refreshedVersion="0" background="1">
    <webPr url="http://www.tdcc.com.tw/smWeb/QryStock.jsp?SCA_DATE=20150605&amp;SqlMethod=StockNo&amp;StockNo=1310&amp;StockName=&amp;sub=%ACd%B8%DF" htmlTables="1" htmlFormat="all"/>
  </connection>
  <connection id="19" name="連線110" type="4" refreshedVersion="5" saveData="1">
    <webPr sourceData="1" xl2000="1" url="http://www.tdcc.com.tw/smWeb/QryStock.jsp?SCA_DATE=20151127&amp;SqlMethod=StockNo&amp;StockNo=9925&amp;StockName=&amp;sub=%ACd%B8%DF" htmlTables="1">
      <tables count="1">
        <x v="8"/>
      </tables>
    </webPr>
  </connection>
  <connection id="20" name="連線111" type="4" refreshedVersion="5" saveData="1">
    <webPr sourceData="1" xl2000="1" url="http://www.tdcc.com.tw/smWeb/QryStock.jsp?SCA_DATE=20151204&amp;SqlMethod=StockNo&amp;StockNo=9925&amp;StockName=&amp;sub=%ACd%B8%DF" htmlTables="1">
      <tables count="1">
        <x v="8"/>
      </tables>
    </webPr>
  </connection>
  <connection id="21" name="連線112" type="4" refreshedVersion="5" saveData="1">
    <webPr sourceData="1" xl2000="1" url="http://www.tdcc.com.tw/smWeb/QryStock.jsp?SCA_DATE=20151120&amp;SqlMethod=StockNo&amp;StockNo=9926&amp;StockName=&amp;sub=%ACd%B8%DF" htmlTables="1">
      <tables count="1">
        <x v="8"/>
      </tables>
    </webPr>
  </connection>
  <connection id="22" name="連線113" type="4" refreshedVersion="5" saveData="1">
    <webPr sourceData="1" xl2000="1" url="http://www.tdcc.com.tw/smWeb/QryStock.jsp?SCA_DATE=20151127&amp;SqlMethod=StockNo&amp;StockNo=9926&amp;StockName=&amp;sub=%ACd%B8%DF" htmlTables="1">
      <tables count="1">
        <x v="8"/>
      </tables>
    </webPr>
  </connection>
  <connection id="23" name="連線114" type="4" refreshedVersion="5" saveData="1">
    <webPr sourceData="1" xl2000="1" url="http://www.tdcc.com.tw/smWeb/QryStock.jsp?SCA_DATE=20151204&amp;SqlMethod=StockNo&amp;StockNo=9926&amp;StockName=&amp;sub=%ACd%B8%DF" htmlTables="1">
      <tables count="1">
        <x v="8"/>
      </tables>
    </webPr>
  </connection>
  <connection id="24" name="連線115" type="4" refreshedVersion="5" saveData="1">
    <webPr sourceData="1" xl2000="1" url="http://www.tdcc.com.tw/smWeb/QryStock.jsp?SCA_DATE=20151120&amp;SqlMethod=StockNo&amp;StockNo=9927&amp;StockName=&amp;sub=%ACd%B8%DF" htmlTables="1">
      <tables count="1">
        <x v="8"/>
      </tables>
    </webPr>
  </connection>
  <connection id="25" name="連線1152" type="4" refreshedVersion="0" background="1">
    <webPr url="http://tw.stock.yahoo.com/q/q?s=8341" htmlTables="1" htmlFormat="all"/>
  </connection>
  <connection id="26" name="連線116" type="4" refreshedVersion="5" saveData="1">
    <webPr sourceData="1" xl2000="1" url="http://www.tdcc.com.tw/smWeb/QryStock.jsp?SCA_DATE=20151127&amp;SqlMethod=StockNo&amp;StockNo=9927&amp;StockName=&amp;sub=%ACd%B8%DF" htmlTables="1">
      <tables count="1">
        <x v="8"/>
      </tables>
    </webPr>
  </connection>
  <connection id="27" name="連線117" type="4" refreshedVersion="5" saveData="1">
    <webPr sourceData="1" xl2000="1" url="http://www.tdcc.com.tw/smWeb/QryStock.jsp?SCA_DATE=20151204&amp;SqlMethod=StockNo&amp;StockNo=9927&amp;StockName=&amp;sub=%ACd%B8%DF" htmlTables="1">
      <tables count="1">
        <x v="8"/>
      </tables>
    </webPr>
  </connection>
  <connection id="28" name="連線118" type="4" refreshedVersion="5" saveData="1">
    <webPr sourceData="1" xl2000="1" url="http://www.tdcc.com.tw/smWeb/QryStock.jsp?SCA_DATE=20151120&amp;SqlMethod=StockNo&amp;StockNo=9928&amp;StockName=&amp;sub=%ACd%B8%DF" htmlTables="1">
      <tables count="1">
        <x v="8"/>
      </tables>
    </webPr>
  </connection>
  <connection id="29" name="連線119" type="4" refreshedVersion="0" background="1">
    <webPr url="http://justdata.yuanta.com.tw/z/zc/zcq/zcq_2637.asp.htm" htmlTables="1" htmlFormat="all"/>
  </connection>
  <connection id="30" name="連線12" type="4" refreshedVersion="5" saveData="1">
    <webPr sourceData="1" xl2000="1" url="http://www.tdcc.com.tw/smWeb/QryStock.jsp?SCA_DATE=20151120&amp;SqlMethod=StockNo&amp;StockNo=9902&amp;StockName=&amp;sub=%ACd%B8%DF" htmlTables="1">
      <tables count="1">
        <x v="8"/>
      </tables>
    </webPr>
  </connection>
  <connection id="31" name="連線120" type="4" refreshedVersion="5" saveData="1">
    <webPr sourceData="1" xl2000="1" url="http://www.tdcc.com.tw/smWeb/QryStock.jsp?SCA_DATE=20151127&amp;SqlMethod=StockNo&amp;StockNo=9928&amp;StockName=&amp;sub=%ACd%B8%DF" htmlTables="1">
      <tables count="1">
        <x v="8"/>
      </tables>
    </webPr>
  </connection>
  <connection id="32" name="連線121" type="4" refreshedVersion="5" saveData="1">
    <webPr sourceData="1" xl2000="1" url="http://www.tdcc.com.tw/smWeb/QryStock.jsp?SCA_DATE=20151204&amp;SqlMethod=StockNo&amp;StockNo=9928&amp;StockName=&amp;sub=%ACd%B8%DF" htmlTables="1">
      <tables count="1">
        <x v="8"/>
      </tables>
    </webPr>
  </connection>
  <connection id="33" name="連線122" type="4" refreshedVersion="0" background="1">
    <webPr url="http://www.tdcc.com.tw/smWeb/QryStock.jsp?SCA_DATE=20150401&amp;SqlMethod=StockNo&amp;StockNo=1340&amp;StockName=&amp;sub=%ACd%B8%DF" htmlTables="1" htmlFormat="all"/>
  </connection>
  <connection id="34" name="連線123" type="4" refreshedVersion="5" saveData="1">
    <webPr sourceData="1" xl2000="1" url="http://www.tdcc.com.tw/smWeb/QryStock.jsp?SCA_DATE=20151120&amp;SqlMethod=StockNo&amp;StockNo=9929&amp;StockName=&amp;sub=%ACd%B8%DF" htmlTables="1">
      <tables count="1">
        <x v="8"/>
      </tables>
    </webPr>
  </connection>
  <connection id="35" name="連線124" type="4" refreshedVersion="5" saveData="1">
    <webPr sourceData="1" xl2000="1" url="http://www.tdcc.com.tw/smWeb/QryStock.jsp?SCA_DATE=20151127&amp;SqlMethod=StockNo&amp;StockNo=9929&amp;StockName=&amp;sub=%ACd%B8%DF" htmlTables="1">
      <tables count="1">
        <x v="8"/>
      </tables>
    </webPr>
  </connection>
  <connection id="36" name="連線125" type="4" refreshedVersion="5" saveData="1">
    <webPr sourceData="1" xl2000="1" url="http://www.tdcc.com.tw/smWeb/QryStock.jsp?SCA_DATE=20151204&amp;SqlMethod=StockNo&amp;StockNo=9929&amp;StockName=&amp;sub=%ACd%B8%DF" htmlTables="1">
      <tables count="1">
        <x v="8"/>
      </tables>
    </webPr>
  </connection>
  <connection id="37" name="連線126" type="4" refreshedVersion="5" saveData="1">
    <webPr sourceData="1" xl2000="1" url="http://www.tdcc.com.tw/smWeb/QryStock.jsp?SCA_DATE=20151120&amp;SqlMethod=StockNo&amp;StockNo=9930&amp;StockName=&amp;sub=%ACd%B8%DF" htmlTables="1">
      <tables count="1">
        <x v="8"/>
      </tables>
    </webPr>
  </connection>
  <connection id="38" name="連線127" type="4" refreshedVersion="5" saveData="1">
    <webPr sourceData="1" xl2000="1" url="http://www.tdcc.com.tw/smWeb/QryStock.jsp?SCA_DATE=20151127&amp;SqlMethod=StockNo&amp;StockNo=9930&amp;StockName=&amp;sub=%ACd%B8%DF" htmlTables="1">
      <tables count="1">
        <x v="8"/>
      </tables>
    </webPr>
  </connection>
  <connection id="39" name="連線128" type="4" refreshedVersion="5" saveData="1">
    <webPr sourceData="1" xl2000="1" url="http://www.tdcc.com.tw/smWeb/QryStock.jsp?SCA_DATE=20151204&amp;SqlMethod=StockNo&amp;StockNo=9930&amp;StockName=&amp;sub=%ACd%B8%DF" htmlTables="1">
      <tables count="1">
        <x v="8"/>
      </tables>
    </webPr>
  </connection>
  <connection id="40" name="連線129" type="4" refreshedVersion="5" saveData="1">
    <webPr sourceData="1" xl2000="1" url="http://www.tdcc.com.tw/smWeb/QryStock.jsp?SCA_DATE=20151120&amp;SqlMethod=StockNo&amp;StockNo=9931&amp;StockName=&amp;sub=%ACd%B8%DF" htmlTables="1">
      <tables count="1">
        <x v="8"/>
      </tables>
    </webPr>
  </connection>
  <connection id="41" name="連線13" type="4" refreshedVersion="0" background="1">
    <webPr url="http://www.tdcc.com.tw/smWeb/QryStock.jsp?SCA_DATE=20150430&amp;SqlMethod=StockNo&amp;StockNo=3675&amp;StockName=&amp;sub=%ACd%B8%DF" htmlTables="1" htmlFormat="all"/>
  </connection>
  <connection id="42" name="連線130" type="4" refreshedVersion="5" saveData="1">
    <webPr sourceData="1" xl2000="1" url="http://www.tdcc.com.tw/smWeb/QryStock.jsp?SCA_DATE=20151127&amp;SqlMethod=StockNo&amp;StockNo=9931&amp;StockName=&amp;sub=%ACd%B8%DF" htmlTables="1">
      <tables count="1">
        <x v="8"/>
      </tables>
    </webPr>
  </connection>
  <connection id="43" name="連線131" type="4" refreshedVersion="5" saveData="1">
    <webPr sourceData="1" xl2000="1" url="http://www.tdcc.com.tw/smWeb/QryStock.jsp?SCA_DATE=20151204&amp;SqlMethod=StockNo&amp;StockNo=9931&amp;StockName=&amp;sub=%ACd%B8%DF" htmlTables="1">
      <tables count="1">
        <x v="8"/>
      </tables>
    </webPr>
  </connection>
  <connection id="44" name="連線132" type="4" refreshedVersion="5" saveData="1">
    <webPr sourceData="1" xl2000="1" url="http://www.tdcc.com.tw/smWeb/QryStock.jsp?SCA_DATE=20151120&amp;SqlMethod=StockNo&amp;StockNo=9933&amp;StockName=&amp;sub=%ACd%B8%DF" htmlTables="1">
      <tables count="1">
        <x v="8"/>
      </tables>
    </webPr>
  </connection>
  <connection id="45" name="連線133" type="4" refreshedVersion="5" saveData="1">
    <webPr sourceData="1" xl2000="1" url="http://www.tdcc.com.tw/smWeb/QryStock.jsp?SCA_DATE=20151127&amp;SqlMethod=StockNo&amp;StockNo=9933&amp;StockName=&amp;sub=%ACd%B8%DF" htmlTables="1">
      <tables count="1">
        <x v="8"/>
      </tables>
    </webPr>
  </connection>
  <connection id="46" name="連線134" type="4" refreshedVersion="0" background="1">
    <webPr url="http://justdata.yuanta.com.tw/z/zc/zcp/zcpa/zcpa_4947.asp.htm" htmlTables="1" htmlFormat="all"/>
  </connection>
  <connection id="47" name="連線135" type="4" refreshedVersion="5" saveData="1">
    <webPr sourceData="1" xl2000="1" url="http://www.tdcc.com.tw/smWeb/QryStock.jsp?SCA_DATE=20151204&amp;SqlMethod=StockNo&amp;StockNo=9933&amp;StockName=&amp;sub=%ACd%B8%DF" htmlTables="1">
      <tables count="1">
        <x v="8"/>
      </tables>
    </webPr>
  </connection>
  <connection id="48" name="連線136" type="4" refreshedVersion="5" saveData="1">
    <webPr sourceData="1" xl2000="1" url="http://www.tdcc.com.tw/smWeb/QryStock.jsp?SCA_DATE=20151120&amp;SqlMethod=StockNo&amp;StockNo=9934&amp;StockName=&amp;sub=%ACd%B8%DF" htmlTables="1">
      <tables count="1">
        <x v="8"/>
      </tables>
    </webPr>
  </connection>
  <connection id="49" name="連線137" type="4" refreshedVersion="5" saveData="1">
    <webPr sourceData="1" xl2000="1" url="http://www.tdcc.com.tw/smWeb/QryStock.jsp?SCA_DATE=20151127&amp;SqlMethod=StockNo&amp;StockNo=9934&amp;StockName=&amp;sub=%ACd%B8%DF" htmlTables="1">
      <tables count="1">
        <x v="8"/>
      </tables>
    </webPr>
  </connection>
  <connection id="50" name="連線138" type="4" refreshedVersion="5" saveData="1">
    <webPr sourceData="1" xl2000="1" url="http://www.tdcc.com.tw/smWeb/QryStock.jsp?SCA_DATE=20151204&amp;SqlMethod=StockNo&amp;StockNo=9934&amp;StockName=&amp;sub=%ACd%B8%DF" htmlTables="1">
      <tables count="1">
        <x v="8"/>
      </tables>
    </webPr>
  </connection>
  <connection id="51" name="連線1389" type="4" refreshedVersion="0" background="1">
    <webPr url="http://www.emega.com.tw/z/zc/zcn/zcn.djhtm?a=6431&amp;b=4" htmlTables="1" htmlFormat="all"/>
  </connection>
  <connection id="52" name="連線139" type="4" refreshedVersion="5" saveData="1">
    <webPr sourceData="1" xl2000="1" url="http://www.tdcc.com.tw/smWeb/QryStock.jsp?SCA_DATE=20151120&amp;SqlMethod=StockNo&amp;StockNo=9935&amp;StockName=&amp;sub=%ACd%B8%DF" htmlTables="1">
      <tables count="1">
        <x v="8"/>
      </tables>
    </webPr>
  </connection>
  <connection id="53" name="連線14" type="4" refreshedVersion="0" background="1">
    <webPr url="http://www.cnyes.com/twstock/Technical/3587.htm" htmlTables="1" htmlFormat="all"/>
  </connection>
  <connection id="54" name="連線140" type="4" refreshedVersion="5" saveData="1">
    <webPr sourceData="1" xl2000="1" url="http://www.tdcc.com.tw/smWeb/QryStock.jsp?SCA_DATE=20151127&amp;SqlMethod=StockNo&amp;StockNo=9935&amp;StockName=&amp;sub=%ACd%B8%DF" htmlTables="1">
      <tables count="1">
        <x v="8"/>
      </tables>
    </webPr>
  </connection>
  <connection id="55" name="連線141" type="4" refreshedVersion="5" saveData="1">
    <webPr sourceData="1" xl2000="1" url="http://www.tdcc.com.tw/smWeb/QryStock.jsp?SCA_DATE=20151204&amp;SqlMethod=StockNo&amp;StockNo=9935&amp;StockName=&amp;sub=%ACd%B8%DF" htmlTables="1">
      <tables count="1">
        <x v="8"/>
      </tables>
    </webPr>
  </connection>
  <connection id="56" name="連線142" type="4" refreshedVersion="5" saveData="1">
    <webPr sourceData="1" xl2000="1" url="http://www.tdcc.com.tw/smWeb/QryStock.jsp?SCA_DATE=20151120&amp;SqlMethod=StockNo&amp;StockNo=9937&amp;StockName=&amp;sub=%ACd%B8%DF" htmlTables="1">
      <tables count="1">
        <x v="8"/>
      </tables>
    </webPr>
  </connection>
  <connection id="57" name="連線143" type="4" refreshedVersion="5" saveData="1">
    <webPr sourceData="1" xl2000="1" url="http://www.tdcc.com.tw/smWeb/QryStock.jsp?SCA_DATE=20151127&amp;SqlMethod=StockNo&amp;StockNo=9937&amp;StockName=&amp;sub=%ACd%B8%DF" htmlTables="1">
      <tables count="1">
        <x v="8"/>
      </tables>
    </webPr>
  </connection>
  <connection id="58" name="連線1431" type="4" refreshedVersion="0" background="1">
    <webPr url="http://www.tdcc.com.tw/smWeb/QryStock.jsp?SCA_DATE=20150529&amp;SqlMethod=StockNo&amp;StockNo=1593&amp;StockName=&amp;sub=%ACd%B8%DF" htmlTables="1" htmlFormat="all"/>
  </connection>
  <connection id="59" name="連線144" type="4" refreshedVersion="5" saveData="1">
    <webPr sourceData="1" xl2000="1" url="http://www.tdcc.com.tw/smWeb/QryStock.jsp?SCA_DATE=20151204&amp;SqlMethod=StockNo&amp;StockNo=9937&amp;StockName=&amp;sub=%ACd%B8%DF" htmlTables="1">
      <tables count="1">
        <x v="8"/>
      </tables>
    </webPr>
  </connection>
  <connection id="60" name="連線145" type="4" refreshedVersion="5" saveData="1">
    <webPr sourceData="1" xl2000="1" url="http://www.tdcc.com.tw/smWeb/QryStock.jsp?SCA_DATE=20151120&amp;SqlMethod=StockNo&amp;StockNo=9938&amp;StockName=&amp;sub=%ACd%B8%DF" htmlTables="1">
      <tables count="1">
        <x v="8"/>
      </tables>
    </webPr>
  </connection>
  <connection id="61" name="連線146" type="4" refreshedVersion="5" saveData="1">
    <webPr sourceData="1" xl2000="1" url="http://www.tdcc.com.tw/smWeb/QryStock.jsp?SCA_DATE=20151127&amp;SqlMethod=StockNo&amp;StockNo=9938&amp;StockName=&amp;sub=%ACd%B8%DF" htmlTables="1">
      <tables count="1">
        <x v="8"/>
      </tables>
    </webPr>
  </connection>
  <connection id="62" name="連線147" type="4" refreshedVersion="5" saveData="1">
    <webPr sourceData="1" xl2000="1" url="http://www.tdcc.com.tw/smWeb/QryStock.jsp?SCA_DATE=20151204&amp;SqlMethod=StockNo&amp;StockNo=9938&amp;StockName=&amp;sub=%ACd%B8%DF" htmlTables="1">
      <tables count="1">
        <x v="8"/>
      </tables>
    </webPr>
  </connection>
  <connection id="63" name="連線148" type="4" refreshedVersion="5" saveData="1">
    <webPr sourceData="1" xl2000="1" url="http://www.tdcc.com.tw/smWeb/QryStock.jsp?SCA_DATE=20151120&amp;SqlMethod=StockNo&amp;StockNo=9939&amp;StockName=&amp;sub=%ACd%B8%DF" htmlTables="1">
      <tables count="1">
        <x v="8"/>
      </tables>
    </webPr>
  </connection>
  <connection id="64" name="連線149" type="4" refreshedVersion="5" saveData="1">
    <webPr sourceData="1" xl2000="1" url="http://www.tdcc.com.tw/smWeb/QryStock.jsp?SCA_DATE=20151127&amp;SqlMethod=StockNo&amp;StockNo=9939&amp;StockName=&amp;sub=%ACd%B8%DF" htmlTables="1">
      <tables count="1">
        <x v="8"/>
      </tables>
    </webPr>
  </connection>
  <connection id="65" name="連線15" type="4" refreshedVersion="5" saveData="1">
    <webPr sourceData="1" xl2000="1" url="http://www.tdcc.com.tw/smWeb/QryStock.jsp?SCA_DATE=20151127&amp;SqlMethod=StockNo&amp;StockNo=9902&amp;StockName=&amp;sub=%ACd%B8%DF" htmlTables="1">
      <tables count="1">
        <x v="8"/>
      </tables>
    </webPr>
  </connection>
  <connection id="66" name="連線150" type="4" refreshedVersion="5" saveData="1">
    <webPr sourceData="1" xl2000="1" url="http://www.tdcc.com.tw/smWeb/QryStock.jsp?SCA_DATE=20151204&amp;SqlMethod=StockNo&amp;StockNo=9939&amp;StockName=&amp;sub=%ACd%B8%DF" htmlTables="1">
      <tables count="1">
        <x v="8"/>
      </tables>
    </webPr>
  </connection>
  <connection id="67" name="連線151" type="4" refreshedVersion="5" saveData="1">
    <webPr sourceData="1" xl2000="1" url="http://www.tdcc.com.tw/smWeb/QryStock.jsp?SCA_DATE=20151120&amp;SqlMethod=StockNo&amp;StockNo=9940&amp;StockName=&amp;sub=%ACd%B8%DF" htmlTables="1">
      <tables count="1">
        <x v="8"/>
      </tables>
    </webPr>
  </connection>
  <connection id="68" name="連線1515" type="4" refreshedVersion="0" background="1">
    <webPr url="http://www.tdcc.com.tw/smWeb/QryStock.jsp?SCA_DATE=20150522&amp;SqlMethod=StockNo&amp;StockNo=1443&amp;StockName=&amp;sub=%ACd%B8%DF" htmlTables="1" htmlFormat="all"/>
  </connection>
  <connection id="69" name="連線152" type="4" refreshedVersion="5" saveData="1">
    <webPr sourceData="1" xl2000="1" url="http://www.tdcc.com.tw/smWeb/QryStock.jsp?SCA_DATE=20151127&amp;SqlMethod=StockNo&amp;StockNo=9940&amp;StockName=&amp;sub=%ACd%B8%DF" htmlTables="1">
      <tables count="1">
        <x v="8"/>
      </tables>
    </webPr>
  </connection>
  <connection id="70" name="連線153" type="4" refreshedVersion="5" saveData="1">
    <webPr sourceData="1" xl2000="1" url="http://www.tdcc.com.tw/smWeb/QryStock.jsp?SCA_DATE=20151204&amp;SqlMethod=StockNo&amp;StockNo=9940&amp;StockName=&amp;sub=%ACd%B8%DF" htmlTables="1">
      <tables count="1">
        <x v="8"/>
      </tables>
    </webPr>
  </connection>
  <connection id="71" name="連線154" type="4" refreshedVersion="5" saveData="1">
    <webPr sourceData="1" xl2000="1" url="http://www.tdcc.com.tw/smWeb/QryStock.jsp?SCA_DATE=20151120&amp;SqlMethod=StockNo&amp;StockNo=9941&amp;StockName=&amp;sub=%ACd%B8%DF" htmlTables="1">
      <tables count="1">
        <x v="8"/>
      </tables>
    </webPr>
  </connection>
  <connection id="72" name="連線155" type="4" refreshedVersion="5" saveData="1">
    <webPr sourceData="1" xl2000="1" url="http://www.tdcc.com.tw/smWeb/QryStock.jsp?SCA_DATE=20151127&amp;SqlMethod=StockNo&amp;StockNo=9941&amp;StockName=&amp;sub=%ACd%B8%DF" htmlTables="1">
      <tables count="1">
        <x v="8"/>
      </tables>
    </webPr>
  </connection>
  <connection id="73" name="連線156" type="4" refreshedVersion="5" saveData="1">
    <webPr sourceData="1" xl2000="1" url="http://www.tdcc.com.tw/smWeb/QryStock.jsp?SCA_DATE=20151204&amp;SqlMethod=StockNo&amp;StockNo=9941&amp;StockName=&amp;sub=%ACd%B8%DF" htmlTables="1">
      <tables count="1">
        <x v="8"/>
      </tables>
    </webPr>
  </connection>
  <connection id="74" name="連線1567" type="4" refreshedVersion="0" background="1">
    <webPr url="https://www.stockdog.com.tw/m/index.php?type=0&amp;sid=1109" htmlTables="1" htmlFormat="all"/>
  </connection>
  <connection id="75" name="連線157" type="4" refreshedVersion="5" saveData="1">
    <webPr sourceData="1" xl2000="1" url="http://www.tdcc.com.tw/smWeb/QryStock.jsp?SCA_DATE=20151120&amp;SqlMethod=StockNo&amp;StockNo=9942&amp;StockName=&amp;sub=%ACd%B8%DF" htmlTables="1">
      <tables count="1">
        <x v="8"/>
      </tables>
    </webPr>
  </connection>
  <connection id="76" name="連線158" type="4" refreshedVersion="5" saveData="1">
    <webPr sourceData="1" xl2000="1" url="http://www.tdcc.com.tw/smWeb/QryStock.jsp?SCA_DATE=20151127&amp;SqlMethod=StockNo&amp;StockNo=9942&amp;StockName=&amp;sub=%ACd%B8%DF" htmlTables="1">
      <tables count="1">
        <x v="8"/>
      </tables>
    </webPr>
  </connection>
  <connection id="77" name="連線159" type="4" refreshedVersion="5" saveData="1">
    <webPr sourceData="1" xl2000="1" url="http://www.tdcc.com.tw/smWeb/QryStock.jsp?SCA_DATE=20151204&amp;SqlMethod=StockNo&amp;StockNo=9942&amp;StockName=&amp;sub=%ACd%B8%DF" htmlTables="1">
      <tables count="1">
        <x v="8"/>
      </tables>
    </webPr>
  </connection>
  <connection id="78" name="連線16" type="4" refreshedVersion="0" background="1">
    <webPr url="http://www.cnyes.com/twstock/Technical/2313.htm" htmlTables="1" htmlFormat="all"/>
  </connection>
  <connection id="79" name="連線160" type="4" refreshedVersion="5" saveData="1">
    <webPr sourceData="1" xl2000="1" url="http://www.tdcc.com.tw/smWeb/QryStock.jsp?SCA_DATE=20151120&amp;SqlMethod=StockNo&amp;StockNo=9943&amp;StockName=&amp;sub=%ACd%B8%DF" htmlTables="1">
      <tables count="1">
        <x v="8"/>
      </tables>
    </webPr>
  </connection>
  <connection id="80" name="連線161" type="4" refreshedVersion="5" saveData="1">
    <webPr sourceData="1" xl2000="1" url="http://www.tdcc.com.tw/smWeb/QryStock.jsp?SCA_DATE=20151127&amp;SqlMethod=StockNo&amp;StockNo=9943&amp;StockName=&amp;sub=%ACd%B8%DF" htmlTables="1">
      <tables count="1">
        <x v="8"/>
      </tables>
    </webPr>
  </connection>
  <connection id="81" name="連線162" type="4" refreshedVersion="5" saveData="1">
    <webPr sourceData="1" xl2000="1" url="http://www.tdcc.com.tw/smWeb/QryStock.jsp?SCA_DATE=20151204&amp;SqlMethod=StockNo&amp;StockNo=9943&amp;StockName=&amp;sub=%ACd%B8%DF" htmlTables="1">
      <tables count="1">
        <x v="8"/>
      </tables>
    </webPr>
  </connection>
  <connection id="82" name="連線1623" type="4" refreshedVersion="5">
    <webPr sourceData="1" xl2000="1" url="http:jsjustweb.jihsun.com.tw/z/zc/zco/zco0/zco0.djhtm?a=5315&amp;b=6480" htmlTables="1"/>
  </connection>
  <connection id="83" name="連線1624" type="4" refreshedVersion="5">
    <webPr sourceData="1" xl2000="1" url="http:jsjustweb.jihsun.com.tw/z/zc/zco/zco0/zco0.djhtm?a=1570&amp;b=6480" htmlTables="1"/>
  </connection>
  <connection id="84" name="連線1625" type="4" refreshedVersion="5">
    <webPr sourceData="1" xl2000="1" url="http:jsjustweb.jihsun.com.tw/z/zc/zco/zco0/zco0.djhtm?a=5315&amp;b=6480" htmlTables="1"/>
  </connection>
  <connection id="85" name="連線1626" type="4" refreshedVersion="5">
    <webPr sourceData="1" xl2000="1" url="http:jsjustweb.jihsun.com.tw/z/zc/zco/zco0/zco0.djhtm?a=3511&amp;b=6480" htmlTables="1"/>
  </connection>
  <connection id="86" name="連線1627" type="4" refreshedVersion="5">
    <webPr sourceData="1" xl2000="1" url="http:jsjustweb.jihsun.com.tw/z/zc/zco/zco0/zco0.djhtm?a=1442&amp;b=6480" htmlTables="1"/>
  </connection>
  <connection id="87" name="連線1628" type="4" refreshedVersion="5">
    <webPr sourceData="1" xl2000="1" url="http:jsjustweb.jihsun.com.tw/z/zc/zco/zco0/zco0.djhtm?a=1471&amp;b=6480" htmlTables="1"/>
  </connection>
  <connection id="88" name="連線1629" type="4" refreshedVersion="5">
    <webPr sourceData="1" xl2000="1" url="http:jsjustweb.jihsun.com.tw/z/zc/zco/zco0/zco0.djhtm?a=4722&amp;b=6480" htmlTables="1"/>
  </connection>
  <connection id="89" name="連線163" type="4" refreshedVersion="5" saveData="1">
    <webPr sourceData="1" xl2000="1" url="http://www.tdcc.com.tw/smWeb/QryStock.jsp?SCA_DATE=20151120&amp;SqlMethod=StockNo&amp;StockNo=9944&amp;StockName=&amp;sub=%ACd%B8%DF" htmlTables="1">
      <tables count="1">
        <x v="8"/>
      </tables>
    </webPr>
  </connection>
  <connection id="90" name="連線1630" type="4" refreshedVersion="5">
    <webPr sourceData="1" xl2000="1" url="http:jsjustweb.jihsun.com.tw/z/zc/zco/zco0/zco0.djhtm?a=8433&amp;b=6480" htmlTables="1"/>
  </connection>
  <connection id="91" name="連線1631" type="4" refreshedVersion="5">
    <webPr sourceData="1" xl2000="1" url="http:jsjustweb.jihsun.com.tw/z/zc/zco/zco0/zco0.djhtm?a=6220&amp;b=6480" htmlTables="1"/>
  </connection>
  <connection id="92" name="連線1632" type="4" refreshedVersion="5">
    <webPr sourceData="1" xl2000="1" url="http:jsjustweb.jihsun.com.tw/z/zc/zco/zco0/zco0.djhtm?a=3038&amp;b=6480" htmlTables="1"/>
  </connection>
  <connection id="93" name="連線1633" type="4" refreshedVersion="5">
    <webPr sourceData="1" xl2000="1" url="http:jsjustweb.jihsun.com.tw/z/zc/zco/zco0/zco0.djhtm?a=1541&amp;b=6480" htmlTables="1"/>
  </connection>
  <connection id="94" name="連線1634" type="4" refreshedVersion="5">
    <webPr sourceData="1" xl2000="1" url="http:jsjustweb.jihsun.com.tw/z/zc/zco/zco0/zco0.djhtm?a=9924&amp;b=6480" htmlTables="1"/>
  </connection>
  <connection id="95" name="連線1635" type="4" refreshedVersion="5">
    <webPr sourceData="1" xl2000="1" url="http:jsjustweb.jihsun.com.tw/z/zc/zco/zco0/zco0.djhtm?a=9934&amp;b=6480" htmlTables="1"/>
  </connection>
  <connection id="96" name="連線1636" type="4" refreshedVersion="0" background="1">
    <webPr url="http://justdata.yuanta.com.tw/z/zc/zcq/zcq_.asp.htm" htmlTables="1" htmlFormat="all"/>
  </connection>
  <connection id="97" name="連線1637" type="4" refreshedVersion="5">
    <webPr sourceData="1" xl2000="1" url="http:jsjustweb.jihsun.com.tw/z/zc/zco/zco0/zco0.djhtm?a=2634&amp;b=6480" htmlTables="1"/>
  </connection>
  <connection id="98" name="連線1638" type="4" refreshedVersion="5">
    <webPr sourceData="1" xl2000="1" url="http:jsjustweb.jihsun.com.tw/z/zc/zco/zco0/zco0.djhtm?a=8222&amp;b=6480" htmlTables="1"/>
  </connection>
  <connection id="99" name="連線1639" type="4" refreshedVersion="5">
    <webPr sourceData="1" xl2000="1" url="http:jsjustweb.jihsun.com.tw/z/zc/zco/zco0/zco0.djhtm?a=4541&amp;b=6480" htmlTables="1"/>
  </connection>
  <connection id="100" name="連線164" type="4" refreshedVersion="5" saveData="1">
    <webPr sourceData="1" xl2000="1" url="http://www.tdcc.com.tw/smWeb/QryStock.jsp?SCA_DATE=20151127&amp;SqlMethod=StockNo&amp;StockNo=9944&amp;StockName=&amp;sub=%ACd%B8%DF" htmlTables="1">
      <tables count="1">
        <x v="8"/>
      </tables>
    </webPr>
  </connection>
  <connection id="101" name="連線1640" type="4" refreshedVersion="5">
    <webPr sourceData="1" xl2000="1" url="http:jsjustweb.jihsun.com.tw/z/zc/zco/zco0/zco0.djhtm?a=3004&amp;b=6480" htmlTables="1"/>
  </connection>
  <connection id="102" name="連線1641" type="4" refreshedVersion="5">
    <webPr sourceData="1" xl2000="1" url="http:jsjustweb.jihsun.com.tw/z/zc/zco/zco0/zco0.djhtm?a=2455&amp;b=6480" htmlTables="1"/>
  </connection>
  <connection id="103" name="連線1642" type="4" refreshedVersion="5">
    <webPr sourceData="1" xl2000="1" url="http:jsjustweb.jihsun.com.tw/z/zc/zco/zco0/zco0.djhtm?a=3105&amp;b=6480" htmlTables="1"/>
  </connection>
  <connection id="104" name="連線1643" type="4" refreshedVersion="5">
    <webPr sourceData="1" xl2000="1" url="http:jsjustweb.jihsun.com.tw/z/zc/zco/zco0/zco0.djhtm?a=6205&amp;b=6480" htmlTables="1"/>
  </connection>
  <connection id="105" name="連線1644" type="4" refreshedVersion="5">
    <webPr sourceData="1" xl2000="1" url="http:jsjustweb.jihsun.com.tw/z/zc/zco/zco0/zco0.djhtm?a=4401&amp;b=6480" htmlTables="1"/>
  </connection>
  <connection id="106" name="連線1645" type="4" refreshedVersion="5">
    <webPr sourceData="1" xl2000="1" url="http:jsjustweb.jihsun.com.tw/z/zc/zco/zco0/zco0.djhtm?a=1471&amp;b=6480" htmlTables="1"/>
  </connection>
  <connection id="107" name="連線1646" type="4" refreshedVersion="5">
    <webPr sourceData="1" xl2000="1" url="http:jsjustweb.jihsun.com.tw/z/zc/zco/zco0/zco0.djhtm?a=1442&amp;b=6480" htmlTables="1"/>
  </connection>
  <connection id="108" name="連線1647" type="4" refreshedVersion="5">
    <webPr sourceData="1" xl2000="1" url="http:jsjustweb.jihsun.com.tw/z/zc/zco/zco0/zco0.djhtm?a=5245&amp;b=6480" htmlTables="1"/>
  </connection>
  <connection id="109" name="連線1648" type="4" refreshedVersion="5">
    <webPr sourceData="1" xl2000="1" url="http:jsjustweb.jihsun.com.tw/z/zc/zco/zco0/zco0.djhtm?a=8042&amp;b=6480" htmlTables="1"/>
  </connection>
  <connection id="110" name="連線1649" type="4" refreshedVersion="5">
    <webPr sourceData="1" xl2000="1" url="http:jsjustweb.jihsun.com.tw/z/zc/zco/zco0/zco0.djhtm?a=2437&amp;b=6480" htmlTables="1"/>
  </connection>
  <connection id="111" name="連線165" type="4" refreshedVersion="5" saveData="1">
    <webPr sourceData="1" xl2000="1" url="http://www.tdcc.com.tw/smWeb/QryStock.jsp?SCA_DATE=20151204&amp;SqlMethod=StockNo&amp;StockNo=9944&amp;StockName=&amp;sub=%ACd%B8%DF" htmlTables="1">
      <tables count="1">
        <x v="8"/>
      </tables>
    </webPr>
  </connection>
  <connection id="112" name="連線1650" type="4" refreshedVersion="5">
    <webPr sourceData="1" xl2000="1" url="http:jsjustweb.jihsun.com.tw/z/zc/zco/zco0/zco0.djhtm?a=8255&amp;b=6480" htmlTables="1"/>
  </connection>
  <connection id="113" name="連線1651" type="4" refreshedVersion="5">
    <webPr sourceData="1" xl2000="1" url="http:jsjustweb.jihsun.com.tw/z/zc/zco/zco0/zco0.djhtm?a=6277&amp;b=6480" htmlTables="1"/>
  </connection>
  <connection id="114" name="連線1652" type="4" refreshedVersion="5">
    <webPr sourceData="1" xl2000="1" url="http:jsjustweb.jihsun.com.tw/z/zc/zco/zco0/zco0.djhtm?a=8050&amp;b=6480" htmlTables="1"/>
  </connection>
  <connection id="115" name="連線166" type="4" refreshedVersion="5" saveData="1">
    <webPr sourceData="1" xl2000="1" url="http://www.tdcc.com.tw/smWeb/QryStock.jsp?SCA_DATE=20151120&amp;SqlMethod=StockNo&amp;StockNo=9945&amp;StockName=&amp;sub=%ACd%B8%DF" htmlTables="1">
      <tables count="1">
        <x v="8"/>
      </tables>
    </webPr>
  </connection>
  <connection id="116" name="連線167" type="4" refreshedVersion="5" saveData="1">
    <webPr sourceData="1" xl2000="1" url="http://www.tdcc.com.tw/smWeb/QryStock.jsp?SCA_DATE=20151127&amp;SqlMethod=StockNo&amp;StockNo=9945&amp;StockName=&amp;sub=%ACd%B8%DF" htmlTables="1">
      <tables count="1">
        <x v="8"/>
      </tables>
    </webPr>
  </connection>
  <connection id="117" name="連線168" type="4" refreshedVersion="5" saveData="1">
    <webPr sourceData="1" xl2000="1" url="http://www.tdcc.com.tw/smWeb/QryStock.jsp?SCA_DATE=20151204&amp;SqlMethod=StockNo&amp;StockNo=9945&amp;StockName=&amp;sub=%ACd%B8%DF" htmlTables="1">
      <tables count="1">
        <x v="8"/>
      </tables>
    </webPr>
  </connection>
  <connection id="118" name="連線169" type="4" refreshedVersion="5" saveData="1">
    <webPr sourceData="1" xl2000="1" url="http://www.tdcc.com.tw/smWeb/QryStock.jsp?SCA_DATE=20151120&amp;SqlMethod=StockNo&amp;StockNo=9946&amp;StockName=&amp;sub=%ACd%B8%DF" htmlTables="1">
      <tables count="1">
        <x v="8"/>
      </tables>
    </webPr>
  </connection>
  <connection id="119" name="連線17" type="4" refreshedVersion="5" saveData="1">
    <webPr sourceData="1" xl2000="1" url="http://www.tdcc.com.tw/smWeb/QryStock.jsp?SCA_DATE=20151204&amp;SqlMethod=StockNo&amp;StockNo=9902&amp;StockName=&amp;sub=%ACd%B8%DF" htmlTables="1">
      <tables count="1">
        <x v="8"/>
      </tables>
    </webPr>
  </connection>
  <connection id="120" name="連線170" type="4" refreshedVersion="5" saveData="1">
    <webPr sourceData="1" xl2000="1" url="http://www.tdcc.com.tw/smWeb/QryStock.jsp?SCA_DATE=20151127&amp;SqlMethod=StockNo&amp;StockNo=9946&amp;StockName=&amp;sub=%ACd%B8%DF" htmlTables="1">
      <tables count="1">
        <x v="8"/>
      </tables>
    </webPr>
  </connection>
  <connection id="121" name="連線171" type="4" refreshedVersion="5" saveData="1">
    <webPr sourceData="1" xl2000="1" url="http://www.tdcc.com.tw/smWeb/QryStock.jsp?SCA_DATE=20151204&amp;SqlMethod=StockNo&amp;StockNo=9946&amp;StockName=&amp;sub=%ACd%B8%DF" htmlTables="1">
      <tables count="1">
        <x v="8"/>
      </tables>
    </webPr>
  </connection>
  <connection id="122" name="連線172" type="4" refreshedVersion="5" background="1" saveData="1">
    <webPr sourceData="1" parsePre="1" consecutive="1" xl2000="1" url="http://justdata.yuanta.com.tw/z/zc/zcq/zcq_2455.asp.htm" htmlTables="1"/>
  </connection>
  <connection id="123" name="連線1723" type="4" refreshedVersion="0" background="1">
    <webPr url="http://justdata.yuanta.com.tw/z/zc/zcq/zcq_8039.asp.htm" htmlTables="1" htmlFormat="all"/>
  </connection>
  <connection id="124" name="連線1724" type="4" refreshedVersion="0" background="1">
    <webPr url="http://justdata.yuanta.com.tw/z/zc/zcq/zcq_2231.asp.htm" htmlTables="1" htmlFormat="all"/>
  </connection>
  <connection id="125" name="連線173" type="4" refreshedVersion="5" background="1" saveData="1">
    <webPr sourceData="1" parsePre="1" consecutive="1" xl2000="1" url="http://justdata.yuanta.com.tw/z/zc/zcp/zcpa/zcpa_2455.asp.htm" htmlTables="1"/>
  </connection>
  <connection id="126" name="連線1734" type="4" refreshedVersion="0" background="1">
    <webPr url="http://justdata.yuanta.com.tw/z/zc/zcp/zcpa/zcpa_6213.asp.htm" htmlTables="1" htmlFormat="all"/>
  </connection>
  <connection id="127" name="連線174" type="4" refreshedVersion="5" background="1" saveData="1">
    <webPr sourceData="1" parsePre="1" consecutive="1" xl2000="1" url="http://justdata.yuanta.com.tw/z/zc/zc3/zc3_2455.asp.htm" htmlTables="1"/>
  </connection>
  <connection id="128" name="連線1749" type="4" refreshedVersion="0" background="1">
    <webPr url="http://justdata.yuanta.com.tw/z/zc/zcq/zcq_2489.asp.htm" htmlTables="1" htmlFormat="all"/>
  </connection>
  <connection id="129" name="連線175" type="4" refreshedVersion="5" background="1" saveData="1">
    <webPr sourceData="1" parsePre="1" consecutive="1" xl2000="1" url="http://justdata.yuanta.com.tw/z/zc/zcq/zcq_8086.asp.htm" htmlTables="1"/>
  </connection>
  <connection id="130" name="連線1758" type="4" refreshedVersion="0" background="1">
    <webPr url="http://www.tdcc.com.tw/smWeb/QryStock.jsp?SCA_DATE=20150605&amp;SqlMethod=StockNo&amp;StockNo=3085&amp;StockName=&amp;sub=%ACd%B8%DF" htmlTables="1" htmlFormat="all"/>
  </connection>
  <connection id="131" name="連線176" type="4" refreshedVersion="5" background="1" saveData="1">
    <webPr sourceData="1" parsePre="1" consecutive="1" xl2000="1" url="http://justdata.yuanta.com.tw/z/zc/zcp/zcpa/zcpa_8086.asp.htm" htmlTables="1"/>
  </connection>
  <connection id="132" name="連線177" type="4" refreshedVersion="5" background="1" saveData="1">
    <webPr sourceData="1" parsePre="1" consecutive="1" xl2000="1" url="http://justdata.yuanta.com.tw/z/zc/zc3/zc3_8086.asp.htm" htmlTables="1"/>
  </connection>
  <connection id="133" name="連線178" type="4" refreshedVersion="5" background="1" saveData="1">
    <webPr sourceData="1" parsePre="1" consecutive="1" xl2000="1" url="http://justdata.yuanta.com.tw/z/zc/zcq/zcq_3105.asp.htm" htmlTables="1"/>
  </connection>
  <connection id="134" name="連線1781" type="4" refreshedVersion="0" background="1">
    <webPr url="http://www.tdcc.com.tw/smWeb/QryStock.jsp?SCA_DATE=20150529&amp;SqlMethod=StockNo&amp;StockNo=1213&amp;StockName=&amp;sub=%ACd%B8%DF" htmlTables="1" htmlFormat="all"/>
  </connection>
  <connection id="135" name="連線1785" type="4" refreshedVersion="0" background="1">
    <webPr url="http://www.tdcc.com.tw/smWeb/QryStock.jsp?SCA_DATE=20150605&amp;SqlMethod=StockNo&amp;StockNo=1319&amp;StockName=&amp;sub=%ACd%B8%DF" htmlTables="1" htmlFormat="all"/>
  </connection>
  <connection id="136" name="連線179" type="4" refreshedVersion="5" background="1" saveData="1">
    <webPr sourceData="1" parsePre="1" consecutive="1" xl2000="1" url="http://justdata.yuanta.com.tw/z/zc/zcp/zcpa/zcpa_3105.asp.htm" htmlTables="1"/>
  </connection>
  <connection id="137" name="連線1799" type="4" refreshedVersion="0" background="1">
    <webPr url="http://justdata.yuanta.com.tw/z/zc/zcq/zcq_1452.asp.htm" htmlTables="1" htmlFormat="all"/>
  </connection>
  <connection id="138" name="連線18" type="4" refreshedVersion="5" saveData="1">
    <webPr sourceData="1" xl2000="1" url="http://www.tdcc.com.tw/smWeb/QryStock.jsp?SCA_DATE=20151120&amp;SqlMethod=StockNo&amp;StockNo=9904&amp;StockName=&amp;sub=%ACd%B8%DF" htmlTables="1">
      <tables count="1">
        <x v="8"/>
      </tables>
    </webPr>
  </connection>
  <connection id="139" name="連線180" type="4" refreshedVersion="5" background="1" saveData="1">
    <webPr sourceData="1" parsePre="1" consecutive="1" xl2000="1" url="http://justdata.yuanta.com.tw/z/zc/zc3/zc3_3105.asp.htm" htmlTables="1"/>
  </connection>
  <connection id="140" name="連線181" type="4" refreshedVersion="5" saveData="1">
    <webPr sourceData="1" xl2000="1" url="http://www.tdcc.com.tw/smWeb/QryStock.jsp?SCA_DATE=20151120&amp;SqlMethod=StockNo&amp;StockNo=9949&amp;StockName=&amp;sub=%ACd%B8%DF" htmlTables="1">
      <tables count="1">
        <x v="8"/>
      </tables>
    </webPr>
  </connection>
  <connection id="141" name="連線182" type="4" refreshedVersion="5" saveData="1">
    <webPr sourceData="1" xl2000="1" url="http://www.tdcc.com.tw/smWeb/QryStock.jsp?SCA_DATE=20151127&amp;SqlMethod=StockNo&amp;StockNo=9949&amp;StockName=&amp;sub=%ACd%B8%DF" htmlTables="1">
      <tables count="1">
        <x v="8"/>
      </tables>
    </webPr>
  </connection>
  <connection id="142" name="連線183" type="4" refreshedVersion="5" saveData="1">
    <webPr sourceData="1" xl2000="1" url="http://www.tdcc.com.tw/smWeb/QryStock.jsp?SCA_DATE=20151204&amp;SqlMethod=StockNo&amp;StockNo=9949&amp;StockName=&amp;sub=%ACd%B8%DF" htmlTables="1">
      <tables count="1">
        <x v="8"/>
      </tables>
    </webPr>
  </connection>
  <connection id="143" name="連線184" type="4" refreshedVersion="0" background="1">
    <webPr url="http://www.cnyes.com/twstock/Technical/8928.htm" htmlTables="1" htmlFormat="all"/>
  </connection>
  <connection id="144" name="連線185" type="4" refreshedVersion="5" saveData="1">
    <webPr sourceData="1" xl2000="1" url="http://www.tdcc.com.tw/smWeb/QryStock.jsp?SCA_DATE=20151120&amp;SqlMethod=StockNo&amp;StockNo=9950&amp;StockName=&amp;sub=%ACd%B8%DF" htmlTables="1">
      <tables count="1">
        <x v="8"/>
      </tables>
    </webPr>
  </connection>
  <connection id="145" name="連線186" type="4" refreshedVersion="5" saveData="1">
    <webPr sourceData="1" xl2000="1" url="http://www.tdcc.com.tw/smWeb/QryStock.jsp?SCA_DATE=20151127&amp;SqlMethod=StockNo&amp;StockNo=9950&amp;StockName=&amp;sub=%ACd%B8%DF" htmlTables="1">
      <tables count="1">
        <x v="8"/>
      </tables>
    </webPr>
  </connection>
  <connection id="146" name="連線187" type="4" refreshedVersion="5" saveData="1">
    <webPr sourceData="1" xl2000="1" url="http://www.tdcc.com.tw/smWeb/QryStock.jsp?SCA_DATE=20151204&amp;SqlMethod=StockNo&amp;StockNo=9950&amp;StockName=&amp;sub=%ACd%B8%DF" htmlTables="1">
      <tables count="1">
        <x v="8"/>
      </tables>
    </webPr>
  </connection>
  <connection id="147" name="連線188" type="4" refreshedVersion="5" saveData="1">
    <webPr sourceData="1" xl2000="1" url="http://www.tdcc.com.tw/smWeb/QryStock.jsp?SCA_DATE=20151120&amp;SqlMethod=StockNo&amp;StockNo=9951&amp;StockName=&amp;sub=%ACd%B8%DF" htmlTables="1">
      <tables count="1">
        <x v="8"/>
      </tables>
    </webPr>
  </connection>
  <connection id="148" name="連線189" type="4" refreshedVersion="5" saveData="1">
    <webPr sourceData="1" xl2000="1" url="http://www.tdcc.com.tw/smWeb/QryStock.jsp?SCA_DATE=20151127&amp;SqlMethod=StockNo&amp;StockNo=9951&amp;StockName=&amp;sub=%ACd%B8%DF" htmlTables="1">
      <tables count="1">
        <x v="8"/>
      </tables>
    </webPr>
  </connection>
  <connection id="149" name="連線19" type="4" refreshedVersion="0" background="1">
    <webPr url="http://www.tdcc.com.tw/smWeb/QryStock.jsp?SCA_DATE=20150508&amp;SqlMethod=StockNo&amp;StockNo=1539&amp;StockName=&amp;sub=%ACd%B8%DF" htmlTables="1" htmlFormat="all"/>
  </connection>
  <connection id="150" name="連線190" type="4" refreshedVersion="5" saveData="1">
    <webPr sourceData="1" xl2000="1" url="http://www.tdcc.com.tw/smWeb/QryStock.jsp?SCA_DATE=20151204&amp;SqlMethod=StockNo&amp;StockNo=9951&amp;StockName=&amp;sub=%ACd%B8%DF" htmlTables="1">
      <tables count="1">
        <x v="8"/>
      </tables>
    </webPr>
  </connection>
  <connection id="151" name="連線191" type="4" refreshedVersion="5" saveData="1">
    <webPr sourceData="1" xl2000="1" url="http://www.tdcc.com.tw/smWeb/QryStock.jsp?SCA_DATE=20151120&amp;SqlMethod=StockNo&amp;StockNo=9955&amp;StockName=&amp;sub=%ACd%B8%DF" htmlTables="1">
      <tables count="1">
        <x v="8"/>
      </tables>
    </webPr>
  </connection>
  <connection id="152" name="連線192" type="4" refreshedVersion="5" saveData="1">
    <webPr sourceData="1" xl2000="1" url="http://www.tdcc.com.tw/smWeb/QryStock.jsp?SCA_DATE=20151127&amp;SqlMethod=StockNo&amp;StockNo=9955&amp;StockName=&amp;sub=%ACd%B8%DF" htmlTables="1">
      <tables count="1">
        <x v="8"/>
      </tables>
    </webPr>
  </connection>
  <connection id="153" name="連線193" type="4" refreshedVersion="5" saveData="1">
    <webPr sourceData="1" xl2000="1" url="http://www.tdcc.com.tw/smWeb/QryStock.jsp?SCA_DATE=20151204&amp;SqlMethod=StockNo&amp;StockNo=9955&amp;StockName=&amp;sub=%ACd%B8%DF" htmlTables="1">
      <tables count="1">
        <x v="8"/>
      </tables>
    </webPr>
  </connection>
  <connection id="154" name="連線1938" type="4" refreshedVersion="0" background="1">
    <webPr url="http://www.tdcc.com.tw/smWeb/QryStock.jsp?SCA_DATE=20150605&amp;SqlMethod=StockNo&amp;StockNo=1446&amp;StockName=&amp;sub=%ACd%B8%DF" htmlTables="1" htmlFormat="all"/>
  </connection>
  <connection id="155" name="連線194" type="4" refreshedVersion="5" saveData="1">
    <webPr sourceData="1" xl2000="1" url="http://www.tdcc.com.tw/smWeb/QryStock.jsp?SCA_DATE=20151120&amp;SqlMethod=StockNo&amp;StockNo=9958&amp;StockName=&amp;sub=%ACd%B8%DF" htmlTables="1">
      <tables count="1">
        <x v="8"/>
      </tables>
    </webPr>
  </connection>
  <connection id="156" name="連線195" type="4" refreshedVersion="5" saveData="1">
    <webPr sourceData="1" xl2000="1" url="http://www.tdcc.com.tw/smWeb/QryStock.jsp?SCA_DATE=20151127&amp;SqlMethod=StockNo&amp;StockNo=9958&amp;StockName=&amp;sub=%ACd%B8%DF" htmlTables="1">
      <tables count="1">
        <x v="8"/>
      </tables>
    </webPr>
  </connection>
  <connection id="157" name="連線196" type="4" refreshedVersion="0" background="1">
    <webPr url="http://www.emega.com.tw/z/zc/zch/zch_6171.djhtm" htmlTables="1" htmlFormat="all"/>
  </connection>
  <connection id="158" name="連線1966" type="4" refreshedVersion="0" background="1">
    <webPr url="http://www.emega.com.tw/z/zc/zch/zch_1521.djhtm" htmlTables="1" htmlFormat="all"/>
  </connection>
  <connection id="159" name="連線197" type="4" refreshedVersion="5" saveData="1">
    <webPr sourceData="1" xl2000="1" url="http://www.tdcc.com.tw/smWeb/QryStock.jsp?SCA_DATE=20151204&amp;SqlMethod=StockNo&amp;StockNo=9958&amp;StockName=&amp;sub=%ACd%B8%DF" htmlTables="1">
      <tables count="1">
        <x v="8"/>
      </tables>
    </webPr>
  </connection>
  <connection id="160" name="連線198" type="4" refreshedVersion="5" saveData="1">
    <webPr sourceData="1" xl2000="1" url="http://www.tdcc.com.tw/smWeb/QryStock.jsp?SCA_DATE=20151120&amp;SqlMethod=StockNo&amp;StockNo=9960&amp;StockName=&amp;sub=%ACd%B8%DF" htmlTables="1">
      <tables count="1">
        <x v="8"/>
      </tables>
    </webPr>
  </connection>
  <connection id="161" name="連線199" type="4" refreshedVersion="5" saveData="1">
    <webPr sourceData="1" xl2000="1" url="http://www.tdcc.com.tw/smWeb/QryStock.jsp?SCA_DATE=20151127&amp;SqlMethod=StockNo&amp;StockNo=9960&amp;StockName=&amp;sub=%ACd%B8%DF" htmlTables="1">
      <tables count="1">
        <x v="8"/>
      </tables>
    </webPr>
  </connection>
  <connection id="162" name="連線2" type="4" refreshedVersion="0" background="1">
    <webPr url="http://justdata.yuanta.com.tw/z/zc/zcq/zcq_5457.asp.htm" htmlTables="1" htmlFormat="all"/>
  </connection>
  <connection id="163" name="連線20" type="4" refreshedVersion="0" background="1">
    <webPr url="http://www.emega.com.tw/z/zc/zch/zch_1409.djhtm" htmlTables="1" htmlFormat="all"/>
  </connection>
  <connection id="164" name="連線200" type="4" refreshedVersion="5" saveData="1">
    <webPr sourceData="1" xl2000="1" url="http://www.tdcc.com.tw/smWeb/QryStock.jsp?SCA_DATE=20151204&amp;SqlMethod=StockNo&amp;StockNo=9960&amp;StockName=&amp;sub=%ACd%B8%DF" htmlTables="1">
      <tables count="1">
        <x v="8"/>
      </tables>
    </webPr>
  </connection>
  <connection id="165" name="連線201" type="4" refreshedVersion="5" saveData="1">
    <webPr sourceData="1" xl2000="1" url="http://www.tdcc.com.tw/smWeb/QryStock.jsp?SCA_DATE=20151120&amp;SqlMethod=StockNo&amp;StockNo=9962&amp;StockName=&amp;sub=%ACd%B8%DF" htmlTables="1">
      <tables count="1">
        <x v="8"/>
      </tables>
    </webPr>
  </connection>
  <connection id="166" name="連線202" type="4" refreshedVersion="5" saveData="1">
    <webPr sourceData="1" xl2000="1" url="http://www.tdcc.com.tw/smWeb/QryStock.jsp?SCA_DATE=20151127&amp;SqlMethod=StockNo&amp;StockNo=9962&amp;StockName=&amp;sub=%ACd%B8%DF" htmlTables="1">
      <tables count="1">
        <x v="8"/>
      </tables>
    </webPr>
  </connection>
  <connection id="167" name="連線2027" type="4" refreshedVersion="0" background="1">
    <webPr url="http://www.tdcc.com.tw/smWeb/QryStock.jsp?SCA_DATE=20150529&amp;SqlMethod=StockNo&amp;StockNo=1446&amp;StockName=&amp;sub=%ACd%B8%DF" htmlTables="1" htmlFormat="all"/>
  </connection>
  <connection id="168" name="連線203" type="4" refreshedVersion="5" saveData="1">
    <webPr sourceData="1" xl2000="1" url="http://www.tdcc.com.tw/smWeb/QryStock.jsp?SCA_DATE=20151204&amp;SqlMethod=StockNo&amp;StockNo=9962&amp;StockName=&amp;sub=%ACd%B8%DF" htmlTables="1">
      <tables count="1">
        <x v="8"/>
      </tables>
    </webPr>
  </connection>
  <connection id="169" name="連線21" type="4" refreshedVersion="5" saveData="1">
    <webPr sourceData="1" xl2000="1" url="http://www.tdcc.com.tw/smWeb/QryStock.jsp?SCA_DATE=20151127&amp;SqlMethod=StockNo&amp;StockNo=9904&amp;StockName=&amp;sub=%ACd%B8%DF" htmlTables="1">
      <tables count="1">
        <x v="8"/>
      </tables>
    </webPr>
  </connection>
  <connection id="170" name="連線211" type="4" refreshedVersion="5" background="1" saveData="1">
    <webPr sourceData="1" parsePre="1" consecutive="1" xl2000="1" url="http://mops.twse.com.tw/nas/t21/otc/t21sc03_104_11_0.html" htmlTables="1"/>
  </connection>
  <connection id="171" name="連線2119" type="4" refreshedVersion="0" background="1">
    <webPr url="http://www.tdcc.com.tw/smWeb/QryStock.jsp?SCA_DATE=20150529&amp;SqlMethod=StockNo&amp;StockNo=1227&amp;StockName=&amp;sub=%ACd%B8%DF" htmlTables="1" htmlFormat="all"/>
  </connection>
  <connection id="172" name="連線212" type="4" refreshedVersion="0" background="1">
    <webPr url="http://www.tdcc.com.tw/smWeb/QryStock.jsp?SCA_DATE=20150401&amp;SqlMethod=StockNo&amp;StockNo=6224&amp;StockName=&amp;sub=%ACd%B8%DF" htmlTables="1" htmlFormat="all"/>
  </connection>
  <connection id="173" name="連線213" type="4" refreshedVersion="5" background="1" saveData="1">
    <webPr sourceData="1" parsePre="1" consecutive="1" xl2000="1" url="http://mops.twse.com.tw/nas/t21/otc/t21sc03_104_11_0.html" htmlTables="1"/>
  </connection>
  <connection id="174" name="連線22" type="4" refreshedVersion="5" saveData="1">
    <webPr sourceData="1" xl2000="1" url="http://www.tdcc.com.tw/smWeb/QryStock.jsp?SCA_DATE=20151204&amp;SqlMethod=StockNo&amp;StockNo=9904&amp;StockName=&amp;sub=%ACd%B8%DF" htmlTables="1">
      <tables count="1">
        <x v="8"/>
      </tables>
    </webPr>
  </connection>
  <connection id="175" name="連線23" type="4" refreshedVersion="0" background="1">
    <webPr url="http://www.emega.com.tw/z/zc/zch/zch_1104.djhtm" htmlTables="1" htmlFormat="all"/>
  </connection>
  <connection id="176" name="連線2320" type="4" refreshedVersion="0" background="1">
    <webPr url="http://www.tdcc.com.tw/smWeb/QryStock.jsp?SCA_DATE=20150605&amp;SqlMethod=StockNo&amp;StockNo=3584&amp;StockName=&amp;sub=%ACd%B8%DF" htmlTables="1" htmlFormat="all"/>
  </connection>
  <connection id="177" name="連線24" type="4" refreshedVersion="5" saveData="1">
    <webPr sourceData="1" xl2000="1" url="http://www.tdcc.com.tw/smWeb/QryStock.jsp?SCA_DATE=20151120&amp;SqlMethod=StockNo&amp;StockNo=9905&amp;StockName=&amp;sub=%ACd%B8%DF" htmlTables="1">
      <tables count="1">
        <x v="8"/>
      </tables>
    </webPr>
  </connection>
  <connection id="178" name="連線25" type="4" refreshedVersion="5" saveData="1">
    <webPr sourceData="1" xl2000="1" url="http://www.tdcc.com.tw/smWeb/QryStock.jsp?SCA_DATE=20151127&amp;SqlMethod=StockNo&amp;StockNo=9905&amp;StockName=&amp;sub=%ACd%B8%DF" htmlTables="1">
      <tables count="1">
        <x v="8"/>
      </tables>
    </webPr>
  </connection>
  <connection id="179" name="連線258" type="4" refreshedVersion="0" background="1">
    <webPr url="http://www.cnyes.com/twstock/Technical/3675.htm" htmlTables="1" htmlFormat="all"/>
  </connection>
  <connection id="180" name="連線26" type="4" refreshedVersion="5" saveData="1">
    <webPr sourceData="1" xl2000="1" url="http://www.tdcc.com.tw/smWeb/QryStock.jsp?SCA_DATE=20151204&amp;SqlMethod=StockNo&amp;StockNo=9905&amp;StockName=&amp;sub=%ACd%B8%DF" htmlTables="1">
      <tables count="1">
        <x v="8"/>
      </tables>
    </webPr>
  </connection>
  <connection id="181" name="連線2626" type="4" refreshedVersion="0" background="1">
    <webPr url="http://www.tdcc.com.tw/smWeb/QryStock.jsp?SCA_DATE=20150605&amp;SqlMethod=StockNo&amp;StockNo=1806&amp;StockName=&amp;sub=%ACd%B8%DF" htmlTables="1" htmlFormat="all"/>
  </connection>
  <connection id="182" name="連線27" type="4" refreshedVersion="5" saveData="1">
    <webPr sourceData="1" xl2000="1" url="http://www.tdcc.com.tw/smWeb/QryStock.jsp?SCA_DATE=20151120&amp;SqlMethod=StockNo&amp;StockNo=9906&amp;StockName=&amp;sub=%ACd%B8%DF" htmlTables="1">
      <tables count="1">
        <x v="8"/>
      </tables>
    </webPr>
  </connection>
  <connection id="183" name="連線272" type="4" refreshedVersion="0" background="1">
    <webPr url="http://www.emega.com.tw/z/zc/zch/zch_2102.djhtm" htmlTables="1" htmlFormat="all"/>
  </connection>
  <connection id="184" name="連線274" type="4" refreshedVersion="0" background="1">
    <webPr url="https://tw.stock.yahoo.com/d/s/earning_2733.html" htmlTables="1" htmlFormat="all"/>
  </connection>
  <connection id="185" name="連線2749" type="4" refreshedVersion="0" background="1">
    <webPr url="http://justdata.yuanta.com.tw/z/zc/zcp/zcpa/zcpa_8068.asp.htm" htmlTables="1" htmlFormat="all"/>
  </connection>
  <connection id="186" name="連線28" type="4" refreshedVersion="5" saveData="1">
    <webPr sourceData="1" xl2000="1" url="http://www.tdcc.com.tw/smWeb/QryStock.jsp?SCA_DATE=20151127&amp;SqlMethod=StockNo&amp;StockNo=9906&amp;StockName=&amp;sub=%ACd%B8%DF" htmlTables="1">
      <tables count="1">
        <x v="8"/>
      </tables>
    </webPr>
  </connection>
  <connection id="187" name="連線285" type="4" refreshedVersion="0" background="1">
    <webPr url="http://www.emega.com.tw/z/zc/zch/zch_1220.djhtm" htmlTables="1" htmlFormat="all"/>
  </connection>
  <connection id="188" name="連線29" type="4" refreshedVersion="5" saveData="1">
    <webPr sourceData="1" xl2000="1" url="http://www.tdcc.com.tw/smWeb/QryStock.jsp?SCA_DATE=20151204&amp;SqlMethod=StockNo&amp;StockNo=9906&amp;StockName=&amp;sub=%ACd%B8%DF" htmlTables="1">
      <tables count="1">
        <x v="8"/>
      </tables>
    </webPr>
  </connection>
  <connection id="189" name="連線3" type="4" refreshedVersion="0" background="1">
    <webPr url="http://justdata.yuanta.com.tw/z/zc/zcp/zcpa/zcpa_3073.asp.htm" htmlTables="1" htmlFormat="all"/>
  </connection>
  <connection id="190" name="連線30" type="4" refreshedVersion="5" saveData="1">
    <webPr sourceData="1" xl2000="1" url="http://www.tdcc.com.tw/smWeb/QryStock.jsp?SCA_DATE=20151120&amp;SqlMethod=StockNo&amp;StockNo=9907&amp;StockName=&amp;sub=%ACd%B8%DF" htmlTables="1">
      <tables count="1">
        <x v="8"/>
      </tables>
    </webPr>
  </connection>
  <connection id="191" name="連線31" type="4" refreshedVersion="5" saveData="1">
    <webPr sourceData="1" xl2000="1" url="http://www.tdcc.com.tw/smWeb/QryStock.jsp?SCA_DATE=20151127&amp;SqlMethod=StockNo&amp;StockNo=9907&amp;StockName=&amp;sub=%ACd%B8%DF" htmlTables="1">
      <tables count="1">
        <x v="8"/>
      </tables>
    </webPr>
  </connection>
  <connection id="192" name="連線32" type="4" refreshedVersion="5" saveData="1">
    <webPr sourceData="1" xl2000="1" url="http://www.tdcc.com.tw/smWeb/QryStock.jsp?SCA_DATE=20151204&amp;SqlMethod=StockNo&amp;StockNo=9907&amp;StockName=&amp;sub=%ACd%B8%DF" htmlTables="1">
      <tables count="1">
        <x v="8"/>
      </tables>
    </webPr>
  </connection>
  <connection id="193" name="連線329" type="4" refreshedVersion="0" background="1">
    <webPr url="http://justdata.yuanta.com.tw/z/zc/zcq/zcq_1464.asp.htm" htmlTables="1" htmlFormat="all"/>
  </connection>
  <connection id="194" name="連線33" type="4" refreshedVersion="0" background="1">
    <webPr url="http://www.cnyes.com/twstock/Technical/3005.htm" htmlTables="1" htmlFormat="all"/>
  </connection>
  <connection id="195" name="連線338" type="4" refreshedVersion="0" background="1">
    <webPr url="http://www.emega.com.tw/z/zc/zch/zch_1517.djhtm" htmlTables="1" htmlFormat="all"/>
  </connection>
  <connection id="196" name="連線34" type="4" refreshedVersion="5" saveData="1">
    <webPr sourceData="1" xl2000="1" url="http://www.tdcc.com.tw/smWeb/QryStock.jsp?SCA_DATE=20151120&amp;SqlMethod=StockNo&amp;StockNo=9908&amp;StockName=&amp;sub=%ACd%B8%DF" htmlTables="1">
      <tables count="1">
        <x v="8"/>
      </tables>
    </webPr>
  </connection>
  <connection id="197" name="連線35" type="4" refreshedVersion="5" saveData="1">
    <webPr sourceData="1" xl2000="1" url="http://www.tdcc.com.tw/smWeb/QryStock.jsp?SCA_DATE=20151127&amp;SqlMethod=StockNo&amp;StockNo=9908&amp;StockName=&amp;sub=%ACd%B8%DF" htmlTables="1">
      <tables count="1">
        <x v="8"/>
      </tables>
    </webPr>
  </connection>
  <connection id="198" name="連線355" type="4" refreshedVersion="0" background="1">
    <webPr url="http://justdata.yuanta.com.tw/z/zc/zcq/zcq_1201.asp.htm" htmlTables="1" htmlFormat="all"/>
  </connection>
  <connection id="199" name="連線36" type="4" refreshedVersion="0" background="1">
    <webPr url="http://www.emega.com.tw/z/zc/zch/zch_1452.djhtm" htmlTables="1" htmlFormat="all"/>
  </connection>
  <connection id="200" name="連線360" type="4" refreshedVersion="0" background="1">
    <webPr url="http://www.cnyes.com/twstock/Technical/2106.htm" htmlTables="1" htmlFormat="all"/>
  </connection>
  <connection id="201" name="連線364" type="4" refreshedVersion="0" background="1">
    <webPr url="https://tw.stock.yahoo.com/d/s/earning_3627.html" htmlTables="1" htmlFormat="all"/>
  </connection>
  <connection id="202" name="連線369" type="4" refreshedVersion="0" background="1">
    <webPr url="http://www.emega.com.tw/z/zc/zch/zch_1446.djhtm" htmlTables="1" htmlFormat="all"/>
  </connection>
  <connection id="203" name="連線37" type="4" refreshedVersion="0" background="1">
    <webPr url="http://www.emega.com.tw/z/zc/zch/zch_2637.djhtm" htmlTables="1" htmlFormat="all"/>
  </connection>
  <connection id="204" name="連線371" type="4" refreshedVersion="0" background="1">
    <webPr url="http://justdata.yuanta.com.tw/z/zc/zcq/zcq_1233.asp.htm" htmlTables="1" htmlFormat="all"/>
  </connection>
  <connection id="205" name="連線376" type="4" refreshedVersion="0" background="1">
    <webPr url="http://www.emega.com.tw/z/zc/zch/zch_2424.djhtm" htmlTables="1" htmlFormat="all"/>
  </connection>
  <connection id="206" name="連線38" type="4" refreshedVersion="5" saveData="1">
    <webPr sourceData="1" xl2000="1" url="http://www.tdcc.com.tw/smWeb/QryStock.jsp?SCA_DATE=20151204&amp;SqlMethod=StockNo&amp;StockNo=9908&amp;StockName=&amp;sub=%ACd%B8%DF" htmlTables="1">
      <tables count="1">
        <x v="8"/>
      </tables>
    </webPr>
  </connection>
  <connection id="207" name="連線39" type="4" refreshedVersion="5" saveData="1">
    <webPr sourceData="1" xl2000="1" url="http://www.tdcc.com.tw/smWeb/QryStock.jsp?SCA_DATE=20151120&amp;SqlMethod=StockNo&amp;StockNo=9910&amp;StockName=&amp;sub=%ACd%B8%DF" htmlTables="1">
      <tables count="1">
        <x v="8"/>
      </tables>
    </webPr>
  </connection>
  <connection id="208" name="連線4" type="4" refreshedVersion="0" background="1">
    <webPr url="http://www.tdcc.com.tw/smWeb/QryStock.jsp?SCA_DATE=20150302&amp;SqlMethod=StockNo&amp;StockNo=1103&amp;StockName=&amp;sub=%ACd%B8%DF" htmlTables="1" htmlFormat="all"/>
  </connection>
  <connection id="209" name="連線40" type="4" refreshedVersion="5" saveData="1">
    <webPr sourceData="1" xl2000="1" url="http://www.tdcc.com.tw/smWeb/QryStock.jsp?SCA_DATE=20151127&amp;SqlMethod=StockNo&amp;StockNo=9910&amp;StockName=&amp;sub=%ACd%B8%DF" htmlTables="1">
      <tables count="1">
        <x v="8"/>
      </tables>
    </webPr>
  </connection>
  <connection id="210" name="連線409" type="4" refreshedVersion="0" background="1">
    <webPr url="http://tw.stock.yahoo.com/q/q?s=8421" htmlTables="1" htmlFormat="all"/>
  </connection>
  <connection id="211" name="連線41" type="4" refreshedVersion="0" background="1">
    <webPr url="http://www.tdcc.com.tw/smWeb/QryStock.jsp?SCA_DATE=2015/10/23&amp;SqlMethod=StockNo&amp;StockNo=1203&amp;StockName=&amp;sub=%ACd%B8%DF" htmlTables="1" htmlFormat="all"/>
  </connection>
  <connection id="212" name="連線42" type="4" refreshedVersion="5" saveData="1">
    <webPr sourceData="1" xl2000="1" url="http://www.tdcc.com.tw/smWeb/QryStock.jsp?SCA_DATE=20151204&amp;SqlMethod=StockNo&amp;StockNo=9910&amp;StockName=&amp;sub=%ACd%B8%DF" htmlTables="1">
      <tables count="1">
        <x v="8"/>
      </tables>
    </webPr>
  </connection>
  <connection id="213" name="連線43" type="4" refreshedVersion="5" saveData="1">
    <webPr sourceData="1" xl2000="1" url="http://www.tdcc.com.tw/smWeb/QryStock.jsp?SCA_DATE=20151120&amp;SqlMethod=StockNo&amp;StockNo=9911&amp;StockName=&amp;sub=%ACd%B8%DF" htmlTables="1">
      <tables count="1">
        <x v="8"/>
      </tables>
    </webPr>
  </connection>
  <connection id="214" name="連線435" type="4" refreshedVersion="0" background="1">
    <webPr url="http://www.tdcc.com.tw/smWeb/QryStock.jsp?SCA_DATE=20151113&amp;SqlMethod=StockNo&amp;StockNo=1203&amp;StockName=&amp;sub=%ACd%B8%DF" htmlTables="1" htmlFormat="all"/>
  </connection>
  <connection id="215" name="連線44" type="4" refreshedVersion="5" saveData="1">
    <webPr sourceData="1" xl2000="1" url="http://www.tdcc.com.tw/smWeb/QryStock.jsp?SCA_DATE=20151127&amp;SqlMethod=StockNo&amp;StockNo=9911&amp;StockName=&amp;sub=%ACd%B8%DF" htmlTables="1">
      <tables count="1">
        <x v="8"/>
      </tables>
    </webPr>
  </connection>
  <connection id="216" name="連線45" type="4" refreshedVersion="5" saveData="1">
    <webPr sourceData="1" xl2000="1" url="http://www.tdcc.com.tw/smWeb/QryStock.jsp?SCA_DATE=20151204&amp;SqlMethod=StockNo&amp;StockNo=9911&amp;StockName=&amp;sub=%ACd%B8%DF" htmlTables="1">
      <tables count="1">
        <x v="8"/>
      </tables>
    </webPr>
  </connection>
  <connection id="217" name="連線456" type="4" refreshedVersion="0" background="1">
    <webPr url="http://www.cnyes.com/twstock/Technical/5388.htm" htmlTables="1" htmlFormat="all"/>
  </connection>
  <connection id="218" name="連線46" type="4" refreshedVersion="5" saveData="1">
    <webPr sourceData="1" xl2000="1" url="http://www.tdcc.com.tw/smWeb/QryStock.jsp?SCA_DATE=20151120&amp;SqlMethod=StockNo&amp;StockNo=9912&amp;StockName=&amp;sub=%ACd%B8%DF" htmlTables="1">
      <tables count="1">
        <x v="8"/>
      </tables>
    </webPr>
  </connection>
  <connection id="219" name="連線47" type="4" refreshedVersion="5" saveData="1">
    <webPr sourceData="1" xl2000="1" url="http://www.tdcc.com.tw/smWeb/QryStock.jsp?SCA_DATE=20151127&amp;SqlMethod=StockNo&amp;StockNo=9912&amp;StockName=&amp;sub=%ACd%B8%DF" htmlTables="1">
      <tables count="1">
        <x v="8"/>
      </tables>
    </webPr>
  </connection>
  <connection id="220" name="連線48" type="4" refreshedVersion="5">
    <webPr sourceData="1" xl2000="1" url="http:jsjustweb.jihsun.com.tw/z/zc/zco/zco0/zco0.djhtm?a=1570&amp;b=6480" htmlTables="1"/>
  </connection>
  <connection id="221" name="連線49" type="4" refreshedVersion="0" background="1">
    <webPr url="http://www.tdcc.com.tw/smWeb/QryStock.jsp?SCA_DATE=20151113&amp;SqlMethod=StockNo&amp;StockNo=1336&amp;StockName=&amp;sub=%ACd%B8%DF" htmlTables="1" htmlFormat="all"/>
  </connection>
  <connection id="222" name="連線492" type="4" refreshedVersion="0" background="1">
    <webPr url="http://www.tdcc.com.tw/smWeb/QryStock.jsp?SCA_DATE=20151106&amp;SqlMethod=StockNo&amp;StockNo=1477&amp;StockName=&amp;sub=%ACd%B8%DF" htmlTables="1" htmlFormat="all"/>
  </connection>
  <connection id="223" name="連線5" type="4" refreshedVersion="0" background="1">
    <webPr url="http://www.tdcc.com.tw/smWeb/QryStock.jsp?SCA_DATE=2015/10/30&amp;SqlMethod=StockNo&amp;StockNo=1104&amp;StockName=&amp;sub=%ACd%B8%DF" htmlTables="1" htmlFormat="all"/>
  </connection>
  <connection id="224" name="連線50" type="4" refreshedVersion="5">
    <webPr sourceData="1" xl2000="1" url="http:jsjustweb.jihsun.com.tw/z/zc/zco/zco0/zco0.djhtm?a=5315&amp;b=6480" htmlTables="1"/>
  </connection>
  <connection id="225" name="連線51" type="4" refreshedVersion="5">
    <webPr sourceData="1" xl2000="1" url="http:jsjustweb.jihsun.com.tw/z/zc/zco/zco0/zco0.djhtm?a=3511&amp;b=6480" htmlTables="1"/>
  </connection>
  <connection id="226" name="連線512" type="4" refreshedVersion="0" background="1">
    <webPr url="http://www.emega.com.tw/z/zc/zch/zch_6197.djhtm" htmlTables="1" htmlFormat="all"/>
  </connection>
  <connection id="227" name="連線52" type="4" refreshedVersion="0" background="1">
    <webPr url="http://www.emega.com.tw/z/zc/zch/zch_1471.djhtm" htmlTables="1" htmlFormat="all"/>
  </connection>
  <connection id="228" name="連線53" type="4" refreshedVersion="5">
    <webPr sourceData="1" xl2000="1" url="http:jsjustweb.jihsun.com.tw/z/zc/zco/zco0/zco0.djhtm?a=1442&amp;b=6480" htmlTables="1"/>
  </connection>
  <connection id="229" name="連線54" type="4" refreshedVersion="5">
    <webPr sourceData="1" xl2000="1" url="http:jsjustweb.jihsun.com.tw/z/zc/zco/zco0/zco0.djhtm?a=1471&amp;b=6480" htmlTables="1"/>
  </connection>
  <connection id="230" name="連線55" type="4" refreshedVersion="5">
    <webPr sourceData="1" xl2000="1" url="http:jsjustweb.jihsun.com.tw/z/zc/zco/zco0/zco0.djhtm?a=4722&amp;b=6480" htmlTables="1"/>
  </connection>
  <connection id="231" name="連線56" type="4" refreshedVersion="0" background="1">
    <webPr url="http://www.tdcc.com.tw/smWeb/QryStock.jsp?SCA_DATE=20150605&amp;SqlMethod=StockNo&amp;StockNo=1539&amp;StockName=&amp;sub=%ACd%B8%DF" htmlTables="1" htmlFormat="all"/>
  </connection>
  <connection id="232" name="連線57" type="4" refreshedVersion="5">
    <webPr sourceData="1" xl2000="1" url="http:jsjustweb.jihsun.com.tw/z/zc/zco/zco0/zco0.djhtm?a=8433&amp;b=6480" htmlTables="1"/>
  </connection>
  <connection id="233" name="連線58" type="4" refreshedVersion="5">
    <webPr sourceData="1" xl2000="1" url="http:jsjustweb.jihsun.com.tw/z/zc/zco/zco0/zco0.djhtm?a=6220&amp;b=6480" htmlTables="1"/>
  </connection>
  <connection id="234" name="連線586" type="4" refreshedVersion="0" background="1">
    <webPr url="http://www.emega.com.tw/z/zc/zch/zch_2115.djhtm" htmlTables="1" htmlFormat="all"/>
  </connection>
  <connection id="235" name="連線59" type="4" refreshedVersion="0" background="1">
    <webPr url="http://justdata.yuanta.com.tw/z/zc/zcl/zcl.djhtm?a=2441&amp;b=2" htmlTables="1" htmlFormat="all"/>
  </connection>
  <connection id="236" name="連線6" type="4" refreshedVersion="0" background="1">
    <webPr url="http://www.tdcc.com.tw/smWeb/QryStock.jsp?SCA_DATE=20150522&amp;SqlMethod=StockNo&amp;StockNo=1312&amp;StockName=&amp;sub=%ACd%B8%DF" htmlTables="1" htmlFormat="all"/>
  </connection>
  <connection id="237" name="連線60" type="4" refreshedVersion="5">
    <webPr sourceData="1" xl2000="1" url="http:jsjustweb.jihsun.com.tw/z/zc/zco/zco0/zco0.djhtm?a=3038&amp;b=6480" htmlTables="1"/>
  </connection>
  <connection id="238" name="連線603" type="4" refreshedVersion="0" background="1">
    <webPr url="http://www.tdcc.com.tw/smWeb/QryStock.jsp?SCA_DATE=20151121&amp;SqlMethod=StockNo&amp;StockNo=1773&amp;StockName=&amp;sub=%ACd%B8%DF" htmlTables="1" htmlFormat="all"/>
  </connection>
  <connection id="239" name="連線61" type="4" refreshedVersion="5">
    <webPr sourceData="1" xl2000="1" url="http:jsjustweb.jihsun.com.tw/z/zc/zco/zco0/zco0.djhtm?a=1541&amp;b=6480" htmlTables="1"/>
  </connection>
  <connection id="240" name="連線62" type="4" refreshedVersion="0" background="1">
    <webPr url="http://www.tdcc.com.tw/smWeb/QryStock.jsp?SCA_DATE=2015/10/16&amp;SqlMethod=StockNo&amp;StockNo=1215&amp;StockName=&amp;sub=%ACd%B8%DF" htmlTables="1" htmlFormat="all"/>
  </connection>
  <connection id="241" name="連線63" type="4" refreshedVersion="5">
    <webPr sourceData="1" xl2000="1" url="http:jsjustweb.jihsun.com.tw/z/zc/zco/zco0/zco0.djhtm?a=9924&amp;b=6480" htmlTables="1"/>
  </connection>
  <connection id="242" name="連線633" type="4" refreshedVersion="0" background="1">
    <webPr url="http://www.emega.com.tw/z/zc/zcn/zcn.djhtm?a=1773&amp;b=4" htmlTables="1" htmlFormat="all"/>
  </connection>
  <connection id="243" name="連線64" type="4" refreshedVersion="0" background="1">
    <webPr url="http://justdata.yuanta.com.tw/z/zc/zcq/zcq_1717.asp.htm" htmlTables="1" htmlFormat="all"/>
  </connection>
  <connection id="244" name="連線645" type="4" refreshedVersion="0" background="1">
    <webPr url="http://www.emega.com.tw/z/zc/zch/zch_2349.djhtm" htmlTables="1" htmlFormat="all"/>
  </connection>
  <connection id="245" name="連線65" type="4" refreshedVersion="5">
    <webPr sourceData="1" xl2000="1" url="http:jsjustweb.jihsun.com.tw/z/zc/zco/zco0/zco0.djhtm?a=9934&amp;b=6480" htmlTables="1"/>
  </connection>
  <connection id="246" name="連線66" type="4" refreshedVersion="5">
    <webPr sourceData="1" xl2000="1" url="http:jsjustweb.jihsun.com.tw/z/zc/zco/zco0/zco0.djhtm?a=2634&amp;b=6480" htmlTables="1"/>
  </connection>
  <connection id="247" name="連線661" type="4" refreshedVersion="0" background="1">
    <webPr url="http://justdata.yuanta.com.tw/z/zc/zcl/zcl.djhtm?a=1524&amp;b=2" htmlTables="1" htmlFormat="all"/>
  </connection>
  <connection id="248" name="連線67" type="4" refreshedVersion="5">
    <webPr sourceData="1" xl2000="1" url="http:jsjustweb.jihsun.com.tw/z/zc/zco/zco0/zco0.djhtm?a=8222&amp;b=6480" htmlTables="1"/>
  </connection>
  <connection id="249" name="連線68" type="4" refreshedVersion="5">
    <webPr sourceData="1" xl2000="1" url="http:jsjustweb.jihsun.com.tw/z/zc/zco/zco0/zco0.djhtm?a=4541&amp;b=6480" htmlTables="1"/>
  </connection>
  <connection id="250" name="連線682" type="4" refreshedVersion="0" background="1">
    <webPr url="http://www.tdcc.com.tw/smWeb/QryStock.jsp?SCA_DATE=20150605&amp;SqlMethod=StockNo&amp;StockNo=1612&amp;StockName=&amp;sub=%ACd%B8%DF" htmlTables="1" htmlFormat="all"/>
  </connection>
  <connection id="251" name="連線69" type="4" refreshedVersion="0" background="1">
    <webPr url="http://www.cnyes.com/twstock/Technical/1537_1.65%.htm" htmlTables="1" htmlFormat="all"/>
  </connection>
  <connection id="252" name="連線7" type="4" refreshedVersion="5" saveData="1">
    <webPr sourceData="1" xl2000="1" url="http://www.tdcc.com.tw/smWeb/QryStock.jsp?SCA_DATE=20151120&amp;SqlMethod=StockNo&amp;StockNo=9802&amp;StockName=&amp;sub=%ACd%B8%DF" htmlTables="1">
      <tables count="1">
        <x v="8"/>
      </tables>
    </webPr>
  </connection>
  <connection id="253" name="連線70" type="4" refreshedVersion="0" background="1">
    <webPr url="http://www.cnyes.com/twstock/Technical/1537_1.65%.htm" htmlTables="1" htmlFormat="all"/>
  </connection>
  <connection id="254" name="連線708" type="4" refreshedVersion="0" background="1">
    <webPr url="http://www.tdcc.com.tw/smWeb/QryStock.jsp?SCA_DATE=20151113&amp;SqlMethod=StockNo&amp;StockNo=1438&amp;StockName=&amp;sub=%ACd%B8%DF" htmlTables="1" htmlFormat="all"/>
  </connection>
  <connection id="255" name="連線71" type="4" refreshedVersion="5">
    <webPr sourceData="1" xl2000="1" url="http:jsjustweb.jihsun.com.tw/z/zc/zco/zco0/zco0.djhtm?a=3004&amp;b=6480" htmlTables="1"/>
  </connection>
  <connection id="256" name="連線72" type="4" refreshedVersion="5">
    <webPr sourceData="1" xl2000="1" url="http:jsjustweb.jihsun.com.tw/z/zc/zco/zco0/zco0.djhtm?a=2455&amp;b=6480" htmlTables="1"/>
  </connection>
  <connection id="257" name="連線73" type="4" refreshedVersion="5">
    <webPr sourceData="1" xl2000="1" url="http:jsjustweb.jihsun.com.tw/z/zc/zco/zco0/zco0.djhtm?a=3105&amp;b=6480" htmlTables="1"/>
  </connection>
  <connection id="258" name="連線730" type="4" refreshedVersion="0" background="1">
    <webPr url="http://www.cnyes.com/twstock/Technical/1219.htm" htmlTables="1" htmlFormat="all"/>
  </connection>
  <connection id="259" name="連線731" type="4" refreshedVersion="5">
    <webPr sourceData="1" xl2000="1" url="http://justdata.yuanta.com.tw/z/zc/zcl/zcl.djhtm?a=5269&amp;b=2" htmlTables="1"/>
  </connection>
  <connection id="260" name="連線74" type="4" refreshedVersion="5">
    <webPr sourceData="1" xl2000="1" url="http:jsjustweb.jihsun.com.tw/z/zc/zco/zco0/zco0.djhtm?a=6205&amp;b=6480" htmlTables="1"/>
  </connection>
  <connection id="261" name="連線740" type="4" refreshedVersion="0" background="1">
    <webPr url="http://www.tdcc.com.tw/smWeb/QryStock.jsp?SCA_DATE=20151120&amp;SqlMethod=StockNo&amp;StockNo=1108&amp;StockName=&amp;sub=%ACd%B8%DF" htmlTables="1" htmlFormat="all"/>
  </connection>
  <connection id="262" name="連線748" type="4" refreshedVersion="0" background="1">
    <webPr url="http://www.tdcc.com.tw/smWeb/QryStock.jsp?SCA_DATE=20151120&amp;SqlMethod=StockNo&amp;StockNo=1201&amp;StockName=&amp;sub=%ACd%B8%DF" htmlTables="1" htmlFormat="all"/>
  </connection>
  <connection id="263" name="連線75" type="4" refreshedVersion="5">
    <webPr sourceData="1" xl2000="1" url="http:jsjustweb.jihsun.com.tw/z/zc/zco/zco0/zco0.djhtm?a=4401&amp;b=6480" htmlTables="1"/>
  </connection>
  <connection id="264" name="連線750" type="4" refreshedVersion="0" background="1">
    <webPr url="http://justdata.yuanta.com.tw/z/zc/zcq/zcq_3017.asp.htm" htmlTables="1" htmlFormat="all"/>
  </connection>
  <connection id="265" name="連線759" type="4" refreshedVersion="0" background="1">
    <webPr url="http://www.tdcc.com.tw/smWeb/QryStock.jsp?SCA_DATE=20151204&amp;SqlMethod=StockNo&amp;StockNo=1110&amp;StockName=&amp;sub=%ACd%B8%DF" htmlTables="1" htmlFormat="all"/>
  </connection>
  <connection id="266" name="連線76" type="4" refreshedVersion="5">
    <webPr sourceData="1" xl2000="1" url="http:jsjustweb.jihsun.com.tw/z/zc/zco/zco0/zco0.djhtm?a=1471&amp;b=6480" htmlTables="1"/>
  </connection>
  <connection id="267" name="連線765" type="4" refreshedVersion="0" background="1">
    <webPr url="http://www.tdcc.com.tw/smWeb/QryStock.jsp?SCA_DATE=20150508&amp;SqlMethod=StockNo&amp;StockNo=1444&amp;StockName=&amp;sub=%ACd%B8%DF" htmlTables="1" htmlFormat="all"/>
  </connection>
  <connection id="268" name="連線77" type="4" refreshedVersion="0" background="1">
    <webPr url="http://www.emega.com.tw/z/zc/zch/zch_6286.djhtm" htmlTables="1" htmlFormat="all"/>
  </connection>
  <connection id="269" name="連線778" type="4" refreshedVersion="0" background="1">
    <webPr url="http://www.tdcc.com.tw/smWeb/QryStock.jsp?SCA_DATE=20150605&amp;SqlMethod=StockNo&amp;StockNo=1314&amp;StockName=&amp;sub=%ACd%B8%DF" htmlTables="1" htmlFormat="all"/>
  </connection>
  <connection id="270" name="連線78" type="4" refreshedVersion="0" background="1">
    <webPr url="http://www.emega.com.tw/z/zc/zch/zch_1303.djhtm" htmlTables="1" htmlFormat="all"/>
  </connection>
  <connection id="271" name="連線79" type="4" refreshedVersion="5">
    <webPr sourceData="1" xl2000="1" url="http:jsjustweb.jihsun.com.tw/z/zc/zco/zco0/zco0.djhtm?a=1442&amp;b=6480" htmlTables="1"/>
  </connection>
  <connection id="272" name="連線790" type="4" refreshedVersion="0" background="1">
    <webPr url="http://www.tdcc.com.tw/smWeb/QryStock.jsp?SCA_DATE=20150605&amp;SqlMethod=StockNo&amp;StockNo=1310&amp;StockName=&amp;sub=%ACd%B8%DF" htmlTables="1" htmlFormat="all"/>
  </connection>
  <connection id="273" name="連線799" type="4" refreshedVersion="0" background="1">
    <webPr url="http://www.emega.com.tw/z/zc/zch/zch_6171.djhtm" htmlTables="1" htmlFormat="all"/>
  </connection>
  <connection id="274" name="連線8" type="4" refreshedVersion="0" background="1">
    <webPr url="http://justdata.yuanta.com.tw/z/zc/zcp/zcpa/zcpa_8109.asp.htm" htmlTables="1" htmlFormat="all"/>
  </connection>
  <connection id="275" name="連線80" type="4" refreshedVersion="5">
    <webPr sourceData="1" xl2000="1" url="http:jsjustweb.jihsun.com.tw/z/zc/zco/zco0/zco0.djhtm?a=5245&amp;b=6480" htmlTables="1"/>
  </connection>
  <connection id="276" name="連線81" type="4" refreshedVersion="5">
    <webPr sourceData="1" xl2000="1" url="http:jsjustweb.jihsun.com.tw/z/zc/zco/zco0/zco0.djhtm?a=8042&amp;b=6480" htmlTables="1"/>
  </connection>
  <connection id="277" name="連線82" type="4" refreshedVersion="5">
    <webPr sourceData="1" xl2000="1" url="http:jsjustweb.jihsun.com.tw/z/zc/zco/zco0/zco0.djhtm?a=2437&amp;b=6480" htmlTables="1"/>
  </connection>
  <connection id="278" name="連線83" type="4" refreshedVersion="0" background="1">
    <webPr url="http://justdata.yuanta.com.tw/z/zc/zcl/zcl.djhtm?a=2455&amp;b=2" htmlTables="1" htmlFormat="all"/>
  </connection>
  <connection id="279" name="連線84" type="4" refreshedVersion="5">
    <webPr sourceData="1" xl2000="1" url="http:jsjustweb.jihsun.com.tw/z/zc/zco/zco0/zco0.djhtm?a=8255&amp;b=6480" htmlTables="1"/>
  </connection>
  <connection id="280" name="連線85" type="4" refreshedVersion="5">
    <webPr sourceData="1" xl2000="1" url="http:jsjustweb.jihsun.com.tw/z/zc/zco/zco0/zco0.djhtm?a=6277&amp;b=6480" htmlTables="1"/>
  </connection>
  <connection id="281" name="連線86" type="4" refreshedVersion="5">
    <webPr sourceData="1" xl2000="1" url="http:jsjustweb.jihsun.com.tw/z/zc/zco/zco0/zco0.djhtm?a=8050&amp;b=6480" htmlTables="1"/>
  </connection>
  <connection id="282" name="連線87" type="4" refreshedVersion="5" saveData="1">
    <webPr sourceData="1" xl2000="1" url="http://www.tdcc.com.tw/smWeb/QryStock.jsp?SCA_DATE=20151204&amp;SqlMethod=StockNo&amp;StockNo=9912&amp;StockName=&amp;sub=%ACd%B8%DF" htmlTables="1">
      <tables count="1">
        <x v="8"/>
      </tables>
    </webPr>
  </connection>
  <connection id="283" name="連線88" type="4" refreshedVersion="5" saveData="1">
    <webPr sourceData="1" xl2000="1" url="http://www.tdcc.com.tw/smWeb/QryStock.jsp?SCA_DATE=20151120&amp;SqlMethod=StockNo&amp;StockNo=9914&amp;StockName=&amp;sub=%ACd%B8%DF" htmlTables="1">
      <tables count="1">
        <x v="8"/>
      </tables>
    </webPr>
  </connection>
  <connection id="284" name="連線888" type="4" refreshedVersion="0" background="1">
    <webPr url="http://www.tdcc.com.tw/smWeb/QryStock.jsp?SCA_DATE=20150508&amp;SqlMethod=StockNo&amp;StockNo=3005&amp;StockName=&amp;sub=%ACd%B8%DF" htmlTables="1" htmlFormat="all"/>
  </connection>
  <connection id="285" name="連線89" type="4" refreshedVersion="5" saveData="1">
    <webPr sourceData="1" xl2000="1" url="http://www.tdcc.com.tw/smWeb/QryStock.jsp?SCA_DATE=20151127&amp;SqlMethod=StockNo&amp;StockNo=9914&amp;StockName=&amp;sub=%ACd%B8%DF" htmlTables="1">
      <tables count="1">
        <x v="8"/>
      </tables>
    </webPr>
  </connection>
  <connection id="286" name="連線9" type="4" refreshedVersion="5" saveData="1">
    <webPr sourceData="1" xl2000="1" url="http://www.tdcc.com.tw/smWeb/QryStock.jsp?SCA_DATE=20151127&amp;SqlMethod=StockNo&amp;StockNo=9802&amp;StockName=&amp;sub=%ACd%B8%DF" htmlTables="1">
      <tables count="1">
        <x v="8"/>
      </tables>
    </webPr>
  </connection>
  <connection id="287" name="連線90" type="4" refreshedVersion="5" saveData="1">
    <webPr sourceData="1" xl2000="1" url="http://www.tdcc.com.tw/smWeb/QryStock.jsp?SCA_DATE=20151204&amp;SqlMethod=StockNo&amp;StockNo=9914&amp;StockName=&amp;sub=%ACd%B8%DF" htmlTables="1">
      <tables count="1">
        <x v="8"/>
      </tables>
    </webPr>
  </connection>
  <connection id="288" name="連線91" type="4" refreshedVersion="5" saveData="1">
    <webPr sourceData="1" xl2000="1" url="http://www.tdcc.com.tw/smWeb/QryStock.jsp?SCA_DATE=20151120&amp;SqlMethod=StockNo&amp;StockNo=9917&amp;StockName=&amp;sub=%ACd%B8%DF" htmlTables="1">
      <tables count="1">
        <x v="8"/>
      </tables>
    </webPr>
  </connection>
  <connection id="289" name="連線92" type="4" refreshedVersion="5" saveData="1">
    <webPr sourceData="1" xl2000="1" url="http://www.tdcc.com.tw/smWeb/QryStock.jsp?SCA_DATE=20151127&amp;SqlMethod=StockNo&amp;StockNo=9917&amp;StockName=&amp;sub=%ACd%B8%DF" htmlTables="1">
      <tables count="1">
        <x v="8"/>
      </tables>
    </webPr>
  </connection>
  <connection id="290" name="連線93" type="4" refreshedVersion="0" background="1">
    <webPr url="http://www.emega.com.tw/z/zc/zch/zch_1232.djhtm" htmlTables="1" htmlFormat="all"/>
  </connection>
  <connection id="291" name="連線930" type="4" refreshedVersion="0" background="1">
    <webPr url="http://www.emega.com.tw/z/zc/zch/zch_3706.djhtm" htmlTables="1" htmlFormat="all"/>
  </connection>
  <connection id="292" name="連線94" type="4" refreshedVersion="5" saveData="1">
    <webPr sourceData="1" xl2000="1" url="http://www.tdcc.com.tw/smWeb/QryStock.jsp?SCA_DATE=20151204&amp;SqlMethod=StockNo&amp;StockNo=9917&amp;StockName=&amp;sub=%ACd%B8%DF" htmlTables="1">
      <tables count="1">
        <x v="8"/>
      </tables>
    </webPr>
  </connection>
  <connection id="293" name="連線940" type="4" refreshedVersion="0" background="1">
    <webPr url="http://www.tdcc.com.tw/smWeb/QryStock.jsp?SCA_DATE=20150508&amp;SqlMethod=StockNo&amp;StockNo=1470&amp;StockName=&amp;sub=%ACd%B8%DF" htmlTables="1" htmlFormat="all"/>
  </connection>
  <connection id="294" name="連線95" type="4" refreshedVersion="5" saveData="1">
    <webPr sourceData="1" xl2000="1" url="http://www.tdcc.com.tw/smWeb/QryStock.jsp?SCA_DATE=20151120&amp;SqlMethod=StockNo&amp;StockNo=9918&amp;StockName=&amp;sub=%ACd%B8%DF" htmlTables="1">
      <tables count="1">
        <x v="8"/>
      </tables>
    </webPr>
  </connection>
  <connection id="295" name="連線96" type="4" refreshedVersion="5" saveData="1">
    <webPr sourceData="1" xl2000="1" url="http://www.tdcc.com.tw/smWeb/QryStock.jsp?SCA_DATE=20151127&amp;SqlMethod=StockNo&amp;StockNo=9918&amp;StockName=&amp;sub=%ACd%B8%DF" htmlTables="1">
      <tables count="1">
        <x v="8"/>
      </tables>
    </webPr>
  </connection>
  <connection id="296" name="連線97" type="4" refreshedVersion="0" background="1">
    <webPr url="http://www.tdcc.com.tw/smWeb/QryStock.jsp?SCA_DATE=20150302&amp;SqlMethod=StockNo&amp;StockNo=2010&amp;StockName=&amp;sub=%ACd%B8%DF" htmlTables="1" htmlFormat="all"/>
  </connection>
  <connection id="297" name="連線98" type="4" refreshedVersion="5" saveData="1">
    <webPr sourceData="1" xl2000="1" url="http://www.tdcc.com.tw/smWeb/QryStock.jsp?SCA_DATE=20151204&amp;SqlMethod=StockNo&amp;StockNo=9918&amp;StockName=&amp;sub=%ACd%B8%DF" htmlTables="1">
      <tables count="1">
        <x v="8"/>
      </tables>
    </webPr>
  </connection>
  <connection id="298" name="連線99" type="4" refreshedVersion="0" background="1">
    <webPr url="http://www.tdcc.com.tw/smWeb/QryStock.jsp?SCA_DATE=20151030&amp;SqlMethod=StockNo&amp;StockNo=1213&amp;StockName=&amp;sub=%ACd%B8%DF" htmlTables="1" htmlFormat="all"/>
  </connection>
</connections>
</file>

<file path=xl/sharedStrings.xml><?xml version="1.0" encoding="utf-8"?>
<sst xmlns="http://schemas.openxmlformats.org/spreadsheetml/2006/main" count="4654" uniqueCount="2063">
  <si>
    <t>數字(百萬)</t>
    <phoneticPr fontId="2" type="noConversion"/>
  </si>
  <si>
    <t>Q-7</t>
    <phoneticPr fontId="2" type="noConversion"/>
  </si>
  <si>
    <t>Q-6</t>
    <phoneticPr fontId="2" type="noConversion"/>
  </si>
  <si>
    <t>Q-5</t>
  </si>
  <si>
    <t>Q-4</t>
  </si>
  <si>
    <t>Q-3</t>
  </si>
  <si>
    <t>Q-2</t>
  </si>
  <si>
    <t>Q-1</t>
  </si>
  <si>
    <t>Q</t>
    <phoneticPr fontId="2" type="noConversion"/>
  </si>
  <si>
    <t>極端值</t>
    <phoneticPr fontId="2" type="noConversion"/>
  </si>
  <si>
    <t>營業收入淨額</t>
  </si>
  <si>
    <t>營業成本</t>
  </si>
  <si>
    <t>營業外收入合計</t>
    <phoneticPr fontId="2" type="noConversion"/>
  </si>
  <si>
    <t>本期稅後淨利</t>
  </si>
  <si>
    <t>每股盈餘 (元)</t>
  </si>
  <si>
    <t xml:space="preserve"> 存貨</t>
  </si>
  <si>
    <t xml:space="preserve"> 應付帳款及票據</t>
  </si>
  <si>
    <t>負債總額</t>
  </si>
  <si>
    <t>資產總額</t>
  </si>
  <si>
    <t>來自營運之現金流量</t>
  </si>
  <si>
    <t xml:space="preserve"> 固定資產(購置)</t>
  </si>
  <si>
    <t xml:space="preserve"> 長期投資(新增)</t>
  </si>
  <si>
    <t xml:space="preserve"> 折舊</t>
    <phoneticPr fontId="2" type="noConversion"/>
  </si>
  <si>
    <t xml:space="preserve"> 攤提</t>
    <phoneticPr fontId="2" type="noConversion"/>
  </si>
  <si>
    <t>股東權益總額</t>
    <phoneticPr fontId="2" type="noConversion"/>
  </si>
  <si>
    <t>毛利率</t>
  </si>
  <si>
    <t xml:space="preserve">負債比 </t>
  </si>
  <si>
    <t>付款天數</t>
    <phoneticPr fontId="2" type="noConversion"/>
  </si>
  <si>
    <t>收款天數</t>
  </si>
  <si>
    <t>出貨天數</t>
  </si>
  <si>
    <t>營運天數</t>
  </si>
  <si>
    <t>折舊+攤提</t>
  </si>
  <si>
    <t>折舊與攤提率</t>
  </si>
  <si>
    <t>營業現金效益</t>
    <phoneticPr fontId="2" type="noConversion"/>
  </si>
  <si>
    <t>本業基期</t>
    <phoneticPr fontId="2" type="noConversion"/>
  </si>
  <si>
    <t>本業比率</t>
    <phoneticPr fontId="2" type="noConversion"/>
  </si>
  <si>
    <t>ROE</t>
    <phoneticPr fontId="2" type="noConversion"/>
  </si>
  <si>
    <t>季線</t>
    <phoneticPr fontId="2" type="noConversion"/>
  </si>
  <si>
    <t>標的</t>
    <phoneticPr fontId="2" type="noConversion"/>
  </si>
  <si>
    <t>代碼</t>
    <phoneticPr fontId="2" type="noConversion"/>
  </si>
  <si>
    <t>名稱</t>
    <phoneticPr fontId="2" type="noConversion"/>
  </si>
  <si>
    <t>EPS</t>
    <phoneticPr fontId="2" type="noConversion"/>
  </si>
  <si>
    <t>純益</t>
    <phoneticPr fontId="2" type="noConversion"/>
  </si>
  <si>
    <t>周轉率</t>
    <phoneticPr fontId="2" type="noConversion"/>
  </si>
  <si>
    <t>現流</t>
    <phoneticPr fontId="2" type="noConversion"/>
  </si>
  <si>
    <t>擴廠</t>
    <phoneticPr fontId="2" type="noConversion"/>
  </si>
  <si>
    <t>自由現金流量</t>
    <phoneticPr fontId="2" type="noConversion"/>
  </si>
  <si>
    <t>單位:百萬</t>
  </si>
  <si>
    <t>期別</t>
  </si>
  <si>
    <t>104.1Q</t>
  </si>
  <si>
    <t>103.4Q</t>
  </si>
  <si>
    <t>103.3Q</t>
  </si>
  <si>
    <t>103.2Q</t>
  </si>
  <si>
    <t>103.1Q</t>
  </si>
  <si>
    <t>102.4Q</t>
  </si>
  <si>
    <t>營業毛利</t>
  </si>
  <si>
    <t>聯屬公司已(未)實現銷</t>
  </si>
  <si>
    <t>已實現銷貨毛利</t>
  </si>
  <si>
    <t>營業費用</t>
  </si>
  <si>
    <t>營業費用─推銷費用</t>
  </si>
  <si>
    <t>營業費用─管理費用</t>
  </si>
  <si>
    <t>營業費用─研究發展</t>
  </si>
  <si>
    <t>營業利益</t>
  </si>
  <si>
    <t>利息收入</t>
  </si>
  <si>
    <t>投資收入／股利收入</t>
  </si>
  <si>
    <t>處分投資利得</t>
  </si>
  <si>
    <t>處分資產利得</t>
  </si>
  <si>
    <t>金融資產評價利益</t>
  </si>
  <si>
    <t>金融負債評價利益</t>
  </si>
  <si>
    <t>其他評價利益</t>
  </si>
  <si>
    <t>金融商品減損迴轉</t>
  </si>
  <si>
    <t>減損迴轉利益</t>
  </si>
  <si>
    <t>存貨跌價損失回轉</t>
  </si>
  <si>
    <t>兌換盈益</t>
  </si>
  <si>
    <t>其他收入</t>
  </si>
  <si>
    <t>營業外收入合計</t>
  </si>
  <si>
    <t>利息支出</t>
  </si>
  <si>
    <t>負債性特別股股息</t>
  </si>
  <si>
    <t>投資損失</t>
  </si>
  <si>
    <t>處分投資損失</t>
  </si>
  <si>
    <t>處分資產損失</t>
  </si>
  <si>
    <t>金融資產評價損失</t>
  </si>
  <si>
    <t>金融負債評價損失</t>
  </si>
  <si>
    <t xml:space="preserve">其他評價損失  </t>
  </si>
  <si>
    <t>金融商品減損損失</t>
  </si>
  <si>
    <t>減損損失</t>
  </si>
  <si>
    <t>兌換損失</t>
  </si>
  <si>
    <t>存貨評價損失</t>
  </si>
  <si>
    <t>其他損失</t>
  </si>
  <si>
    <t>營業外支出合計</t>
  </si>
  <si>
    <t>稅前淨利</t>
  </si>
  <si>
    <t>所得稅費用</t>
  </si>
  <si>
    <t>經常利益</t>
  </si>
  <si>
    <t>停業部門損益</t>
  </si>
  <si>
    <t>非常項目</t>
  </si>
  <si>
    <t>累計影響數</t>
  </si>
  <si>
    <t>少數股權前稅後淨利</t>
  </si>
  <si>
    <t>取得多數股權前淨利</t>
  </si>
  <si>
    <t>N/A</t>
  </si>
  <si>
    <t>少數股權淨利</t>
  </si>
  <si>
    <t>子公司董監酬勞</t>
  </si>
  <si>
    <t>稀釋每股盈餘 (元)</t>
  </si>
  <si>
    <t>加權平均股本</t>
  </si>
  <si>
    <t>發放特別股股息</t>
  </si>
  <si>
    <t>EPS －員工分紅費用化</t>
  </si>
  <si>
    <t>庫藏股數--母公司</t>
  </si>
  <si>
    <t>庫藏股數－子公司持有</t>
  </si>
  <si>
    <t>稅前息前淨利</t>
  </si>
  <si>
    <t>稅前息前折舊前淨利</t>
  </si>
  <si>
    <t>常續性稅後淨利</t>
  </si>
  <si>
    <t>以上資料僅供參考，本公司不負任何法律責任，投資人若依此以為買賣依據，須自負盈虧之責。</t>
  </si>
  <si>
    <t>數據以台灣證券交易所與證券櫃檯買賣中心公告之內容為準。</t>
  </si>
  <si>
    <t>稅後淨利</t>
  </si>
  <si>
    <t>不動用現金之非常損益</t>
  </si>
  <si>
    <t xml:space="preserve"> 折舊</t>
  </si>
  <si>
    <t xml:space="preserve"> 攤提</t>
  </si>
  <si>
    <t xml:space="preserve"> 投資收益－權益法</t>
  </si>
  <si>
    <t xml:space="preserve"> 投資損失－權益法</t>
  </si>
  <si>
    <t xml:space="preserve"> 現金股利收入－權益法</t>
  </si>
  <si>
    <t xml:space="preserve"> 短期投資處分損(益)</t>
  </si>
  <si>
    <t xml:space="preserve"> 固定資產處分損(益)</t>
  </si>
  <si>
    <t xml:space="preserve"> 長期投資處分損(益)</t>
  </si>
  <si>
    <t xml:space="preserve"> 準備提列(迴轉)</t>
  </si>
  <si>
    <t xml:space="preserve"> 應收帳款(增)減</t>
  </si>
  <si>
    <t xml:space="preserve"> 存貨(增)減</t>
  </si>
  <si>
    <t xml:space="preserve"> 應付帳款增(減)</t>
  </si>
  <si>
    <t xml:space="preserve"> 其他調整項─營業</t>
  </si>
  <si>
    <t xml:space="preserve"> 短期投資出售(新購)</t>
  </si>
  <si>
    <t xml:space="preserve"> 出售長期投資價款</t>
  </si>
  <si>
    <t xml:space="preserve"> 處分固定資產價款</t>
  </si>
  <si>
    <t xml:space="preserve"> 其他調整項─投資</t>
  </si>
  <si>
    <t>投資活動之現金流量</t>
  </si>
  <si>
    <t xml:space="preserve"> 現金增資</t>
  </si>
  <si>
    <t xml:space="preserve"> 支付現金股利</t>
  </si>
  <si>
    <t xml:space="preserve"> 支付董監酬勞員工紅利</t>
  </si>
  <si>
    <t xml:space="preserve"> 短期借款新增(償還)</t>
  </si>
  <si>
    <t xml:space="preserve"> 長期借款新增(償還)</t>
  </si>
  <si>
    <t xml:space="preserve"> 發行公司債</t>
  </si>
  <si>
    <t xml:space="preserve"> 償還公司債</t>
  </si>
  <si>
    <t xml:space="preserve"> 庫藏股票減(增)</t>
  </si>
  <si>
    <t xml:space="preserve"> 其他調整項─理財</t>
  </si>
  <si>
    <t>理財活動之現金流量</t>
  </si>
  <si>
    <t>匯率影響數</t>
  </si>
  <si>
    <t>本期產生現金流量</t>
  </si>
  <si>
    <t>期初現金約當現金</t>
  </si>
  <si>
    <t>期末現金及約當現金</t>
  </si>
  <si>
    <t>本期支付利息</t>
  </si>
  <si>
    <t>本期支付所得稅</t>
  </si>
  <si>
    <t>[說明]上列會計科目中，投資收益－權益法、長期投資(新增)、固定資產(購置)、</t>
  </si>
  <si>
    <t>支付現金股利與支付董監酬勞員工紅利等科目視為現金流出。</t>
  </si>
  <si>
    <t>營收A</t>
    <phoneticPr fontId="19" type="noConversion"/>
  </si>
  <si>
    <r>
      <rPr>
        <b/>
        <sz val="10"/>
        <color theme="1"/>
        <rFont val="新細明體"/>
        <family val="1"/>
        <charset val="136"/>
      </rPr>
      <t>全數清單</t>
    </r>
    <phoneticPr fontId="19" type="noConversion"/>
  </si>
  <si>
    <t xml:space="preserve"> 現金及約當現金</t>
  </si>
  <si>
    <t xml:space="preserve"> 短期投資</t>
  </si>
  <si>
    <t xml:space="preserve"> 其他應收款</t>
  </si>
  <si>
    <t xml:space="preserve"> 預付費用及預付款</t>
  </si>
  <si>
    <t xml:space="preserve"> 其他流動資產</t>
  </si>
  <si>
    <t>流動資產</t>
  </si>
  <si>
    <t>長期投資</t>
  </si>
  <si>
    <t xml:space="preserve"> 土地成本</t>
  </si>
  <si>
    <t xml:space="preserve"> 房屋及建築成本</t>
  </si>
  <si>
    <t xml:space="preserve"> 機器及儀器設備成本</t>
  </si>
  <si>
    <t xml:space="preserve"> 其他設備成本</t>
  </si>
  <si>
    <t xml:space="preserve"> 固定資產重估增值</t>
  </si>
  <si>
    <t xml:space="preserve"> 固定資產累計折舊</t>
  </si>
  <si>
    <t xml:space="preserve"> 固定資產損失準備</t>
  </si>
  <si>
    <t xml:space="preserve"> 未完工程及預付款</t>
  </si>
  <si>
    <t>固定資產</t>
  </si>
  <si>
    <t xml:space="preserve"> 遞延資產</t>
  </si>
  <si>
    <t xml:space="preserve"> 無形資產</t>
  </si>
  <si>
    <t xml:space="preserve"> 什項資產</t>
  </si>
  <si>
    <t>其他資產</t>
  </si>
  <si>
    <t xml:space="preserve"> 應付費用</t>
  </si>
  <si>
    <t xml:space="preserve"> 預收款項</t>
  </si>
  <si>
    <t xml:space="preserve"> 其他應付款</t>
  </si>
  <si>
    <t xml:space="preserve"> 應付所得稅</t>
  </si>
  <si>
    <t xml:space="preserve"> 一年內到期長期負債</t>
  </si>
  <si>
    <t xml:space="preserve"> 其他流動負債</t>
  </si>
  <si>
    <t>流動負債</t>
  </si>
  <si>
    <t>長期負債</t>
  </si>
  <si>
    <t xml:space="preserve"> 遞延貸項</t>
  </si>
  <si>
    <t xml:space="preserve"> 退休金準備</t>
  </si>
  <si>
    <t xml:space="preserve"> 遞延所得稅</t>
  </si>
  <si>
    <t xml:space="preserve"> 土地增值稅準備</t>
  </si>
  <si>
    <t xml:space="preserve"> 各項損失準備</t>
  </si>
  <si>
    <t xml:space="preserve"> 什項負債</t>
  </si>
  <si>
    <t>其他負債及準備</t>
  </si>
  <si>
    <t>股東權益總額</t>
  </si>
  <si>
    <t>少數股權</t>
  </si>
  <si>
    <t>負債及股東權益總額</t>
  </si>
  <si>
    <t xml:space="preserve"> 應收帳款及票據</t>
  </si>
  <si>
    <t xml:space="preserve"> 短期借支</t>
  </si>
  <si>
    <t xml:space="preserve"> 在建工程</t>
  </si>
  <si>
    <t xml:space="preserve"> 短期借款</t>
  </si>
  <si>
    <t xml:space="preserve"> 應付商業本票</t>
  </si>
  <si>
    <t xml:space="preserve"> 普通股股本</t>
  </si>
  <si>
    <t xml:space="preserve"> 特別股股本</t>
  </si>
  <si>
    <t xml:space="preserve"> 資本公積</t>
  </si>
  <si>
    <t xml:space="preserve"> 法定盈餘公積</t>
  </si>
  <si>
    <t xml:space="preserve"> 特別盈餘公積</t>
  </si>
  <si>
    <t xml:space="preserve"> 未分配盈餘</t>
  </si>
  <si>
    <t xml:space="preserve"> 長期投資評價損失</t>
  </si>
  <si>
    <t>稅前淨利</t>
    <phoneticPr fontId="2" type="noConversion"/>
  </si>
  <si>
    <t>全數清單</t>
    <phoneticPr fontId="2" type="noConversion"/>
  </si>
  <si>
    <t>營收 與 毛利率</t>
    <phoneticPr fontId="2" type="noConversion"/>
  </si>
  <si>
    <t>應收轉轉天數</t>
    <phoneticPr fontId="2" type="noConversion"/>
  </si>
  <si>
    <t>存貨轉轉天數</t>
    <phoneticPr fontId="2" type="noConversion"/>
  </si>
  <si>
    <t>代碼</t>
  </si>
  <si>
    <t>極端值</t>
  </si>
  <si>
    <t>每股盈餘 (元)</t>
    <phoneticPr fontId="2" type="noConversion"/>
  </si>
  <si>
    <t>來自營運之現金流量</t>
    <phoneticPr fontId="2" type="noConversion"/>
  </si>
  <si>
    <t>來自營運之現金流量</t>
    <phoneticPr fontId="2" type="noConversion"/>
  </si>
  <si>
    <t>營業費用</t>
    <phoneticPr fontId="2" type="noConversion"/>
  </si>
  <si>
    <t xml:space="preserve"> 應收週轉天數</t>
  </si>
  <si>
    <t xml:space="preserve"> 存貨 週轉天數</t>
  </si>
  <si>
    <t xml:space="preserve"> 負債比 </t>
  </si>
  <si>
    <t>蘭指標_A</t>
    <phoneticPr fontId="2" type="noConversion"/>
  </si>
  <si>
    <t>折舊率</t>
    <phoneticPr fontId="2" type="noConversion"/>
  </si>
  <si>
    <t>營業費用率</t>
    <phoneticPr fontId="2" type="noConversion"/>
  </si>
  <si>
    <t>外資</t>
    <phoneticPr fontId="2" type="noConversion"/>
  </si>
  <si>
    <t>投信</t>
    <phoneticPr fontId="2" type="noConversion"/>
  </si>
  <si>
    <t>營業收入淨額</t>
    <phoneticPr fontId="2" type="noConversion"/>
  </si>
  <si>
    <t xml:space="preserve"> 應收帳款及票據</t>
    <phoneticPr fontId="2" type="noConversion"/>
  </si>
  <si>
    <t>營業利益</t>
    <phoneticPr fontId="2" type="noConversion"/>
  </si>
  <si>
    <t>折舊模擬</t>
    <phoneticPr fontId="2" type="noConversion"/>
  </si>
  <si>
    <t>最新
單季EPS</t>
    <phoneticPr fontId="19" type="noConversion"/>
  </si>
  <si>
    <t>104.2Q</t>
  </si>
  <si>
    <t>當月
累計營收</t>
    <phoneticPr fontId="2" type="noConversion"/>
  </si>
  <si>
    <t>當月營收</t>
    <phoneticPr fontId="2" type="noConversion"/>
  </si>
  <si>
    <t>上月營收</t>
    <phoneticPr fontId="2" type="noConversion"/>
  </si>
  <si>
    <t>去年當月營收</t>
    <phoneticPr fontId="2" type="noConversion"/>
  </si>
  <si>
    <t>去年
累計營收</t>
    <phoneticPr fontId="2" type="noConversion"/>
  </si>
  <si>
    <t>同月
增減(%)</t>
    <phoneticPr fontId="2" type="noConversion"/>
  </si>
  <si>
    <t>上月
增減(%)</t>
    <phoneticPr fontId="2" type="noConversion"/>
  </si>
  <si>
    <t>累計
增減(%)</t>
    <phoneticPr fontId="2" type="noConversion"/>
  </si>
  <si>
    <t>清單</t>
    <phoneticPr fontId="2" type="noConversion"/>
  </si>
  <si>
    <t>日期</t>
  </si>
  <si>
    <t>買進(張)</t>
  </si>
  <si>
    <t>賣出(張)</t>
  </si>
  <si>
    <t>買賣超(張)</t>
  </si>
  <si>
    <t>依類別:</t>
  </si>
  <si>
    <t>依券商:</t>
  </si>
  <si>
    <t>福邦證券對廣積(8050)之進出明細圖</t>
  </si>
  <si>
    <t>福邦證券對廣積(8050)之進出明細表</t>
  </si>
  <si>
    <t>最新
本業比率</t>
    <phoneticPr fontId="19" type="noConversion"/>
  </si>
  <si>
    <t>總市值</t>
    <phoneticPr fontId="19" type="noConversion"/>
  </si>
  <si>
    <t>最新
流通股數</t>
    <phoneticPr fontId="19" type="noConversion"/>
  </si>
  <si>
    <r>
      <rPr>
        <b/>
        <sz val="12"/>
        <color theme="1"/>
        <rFont val="新細明體"/>
        <family val="1"/>
        <charset val="136"/>
      </rPr>
      <t>全數清單</t>
    </r>
    <phoneticPr fontId="19" type="noConversion"/>
  </si>
  <si>
    <t>營收</t>
    <phoneticPr fontId="2" type="noConversion"/>
  </si>
  <si>
    <t>集保</t>
    <phoneticPr fontId="2" type="noConversion"/>
  </si>
  <si>
    <t>財報面[50%]</t>
    <phoneticPr fontId="2" type="noConversion"/>
  </si>
  <si>
    <t>融資</t>
    <phoneticPr fontId="2" type="noConversion"/>
  </si>
  <si>
    <t>PSR</t>
    <phoneticPr fontId="2" type="noConversion"/>
  </si>
  <si>
    <t>輔助面[50%]</t>
    <phoneticPr fontId="2" type="noConversion"/>
  </si>
  <si>
    <t>法人</t>
    <phoneticPr fontId="2" type="noConversion"/>
  </si>
  <si>
    <t>市價</t>
    <phoneticPr fontId="2" type="noConversion"/>
  </si>
  <si>
    <t>PE</t>
    <phoneticPr fontId="2" type="noConversion"/>
  </si>
  <si>
    <t>證券代號</t>
  </si>
  <si>
    <t>證券名稱</t>
  </si>
  <si>
    <t xml:space="preserve">1312A </t>
  </si>
  <si>
    <t xml:space="preserve">2002A </t>
  </si>
  <si>
    <t>安心</t>
  </si>
  <si>
    <t>德麥</t>
  </si>
  <si>
    <t>恩得利</t>
  </si>
  <si>
    <t>台翰</t>
  </si>
  <si>
    <t>捷邦</t>
  </si>
  <si>
    <t>濱川</t>
  </si>
  <si>
    <t>祺驊</t>
  </si>
  <si>
    <t>直得</t>
  </si>
  <si>
    <t>南光</t>
  </si>
  <si>
    <t>生泰</t>
  </si>
  <si>
    <t>福盈科</t>
  </si>
  <si>
    <t>易威</t>
  </si>
  <si>
    <t>寶利徠</t>
  </si>
  <si>
    <t>風青</t>
  </si>
  <si>
    <t>世鎧</t>
  </si>
  <si>
    <t>晉椿</t>
  </si>
  <si>
    <t>世德</t>
  </si>
  <si>
    <t>泰茂</t>
  </si>
  <si>
    <t>宇隆</t>
  </si>
  <si>
    <t>謚源</t>
  </si>
  <si>
    <t>桃園店</t>
  </si>
  <si>
    <t>燦星旅</t>
  </si>
  <si>
    <t>易飛網</t>
  </si>
  <si>
    <t>全域</t>
  </si>
  <si>
    <t>美磊</t>
  </si>
  <si>
    <t>久大</t>
  </si>
  <si>
    <t>艾訊</t>
  </si>
  <si>
    <t>遠昇</t>
  </si>
  <si>
    <t>鴻碩</t>
  </si>
  <si>
    <t>港建</t>
  </si>
  <si>
    <t>及成</t>
  </si>
  <si>
    <t>穩懋</t>
  </si>
  <si>
    <t>晶宏</t>
  </si>
  <si>
    <t>新揚科</t>
  </si>
  <si>
    <t>波若威</t>
  </si>
  <si>
    <t>基亞</t>
  </si>
  <si>
    <t>安茂</t>
  </si>
  <si>
    <t>佰研</t>
  </si>
  <si>
    <t>耀勝</t>
  </si>
  <si>
    <t>大學光</t>
  </si>
  <si>
    <t>至寶電</t>
  </si>
  <si>
    <t>原相</t>
  </si>
  <si>
    <t>金麗科</t>
  </si>
  <si>
    <t>昱捷</t>
  </si>
  <si>
    <t>光環</t>
  </si>
  <si>
    <t>千如</t>
  </si>
  <si>
    <t>海灣</t>
  </si>
  <si>
    <t>台星科</t>
  </si>
  <si>
    <t>海德威</t>
  </si>
  <si>
    <t>東碩</t>
  </si>
  <si>
    <t>太普高</t>
  </si>
  <si>
    <t>微端</t>
  </si>
  <si>
    <t>遠翔科</t>
  </si>
  <si>
    <t>英濟</t>
  </si>
  <si>
    <t>杭特</t>
  </si>
  <si>
    <t>帛漢</t>
  </si>
  <si>
    <t>岱稜</t>
  </si>
  <si>
    <t>斐成</t>
  </si>
  <si>
    <t>加百裕</t>
  </si>
  <si>
    <t>幸康</t>
  </si>
  <si>
    <t>尚立</t>
  </si>
  <si>
    <t>上詮</t>
  </si>
  <si>
    <t>典範</t>
  </si>
  <si>
    <t>熱映</t>
  </si>
  <si>
    <t>精材</t>
  </si>
  <si>
    <t>崇越電</t>
  </si>
  <si>
    <t>光燿科</t>
  </si>
  <si>
    <t>哲固</t>
  </si>
  <si>
    <t>由田</t>
  </si>
  <si>
    <t>致振</t>
  </si>
  <si>
    <t>力致</t>
  </si>
  <si>
    <t>崧騰</t>
  </si>
  <si>
    <t>森寶</t>
  </si>
  <si>
    <t>單井</t>
  </si>
  <si>
    <t>環天科</t>
  </si>
  <si>
    <t>位速</t>
  </si>
  <si>
    <t>亞帝歐</t>
  </si>
  <si>
    <t>宏森</t>
  </si>
  <si>
    <t>聚積</t>
  </si>
  <si>
    <t>力旺</t>
  </si>
  <si>
    <t>堡達</t>
  </si>
  <si>
    <t>兆利</t>
  </si>
  <si>
    <t>世禾</t>
  </si>
  <si>
    <t>力積</t>
  </si>
  <si>
    <t>禾瑞亞</t>
  </si>
  <si>
    <t>神準</t>
  </si>
  <si>
    <t>頂晶科</t>
  </si>
  <si>
    <t>牧德</t>
  </si>
  <si>
    <t>磐儀</t>
  </si>
  <si>
    <t>東林</t>
  </si>
  <si>
    <t>鼎翰</t>
  </si>
  <si>
    <t>富晶通</t>
  </si>
  <si>
    <t>光頡</t>
  </si>
  <si>
    <t>西勝</t>
  </si>
  <si>
    <t>新鉅科</t>
  </si>
  <si>
    <t>晟楠</t>
  </si>
  <si>
    <t>精聯</t>
  </si>
  <si>
    <t>漢微科</t>
  </si>
  <si>
    <t>光耀</t>
  </si>
  <si>
    <t>康聯訊</t>
  </si>
  <si>
    <t>歐買尬</t>
  </si>
  <si>
    <t>營邦</t>
  </si>
  <si>
    <t>漢磊</t>
  </si>
  <si>
    <t>聯上</t>
  </si>
  <si>
    <t>友華</t>
  </si>
  <si>
    <t>太醫</t>
  </si>
  <si>
    <t>健亞</t>
  </si>
  <si>
    <t>台微體</t>
  </si>
  <si>
    <t>鈺緯</t>
  </si>
  <si>
    <t>智擎</t>
  </si>
  <si>
    <t>展旺</t>
  </si>
  <si>
    <t>醣聯</t>
  </si>
  <si>
    <t>久裕</t>
  </si>
  <si>
    <t>浩鼎</t>
  </si>
  <si>
    <t>杏一</t>
  </si>
  <si>
    <t>環瑞醫</t>
  </si>
  <si>
    <t>勝昱</t>
  </si>
  <si>
    <t>福大</t>
  </si>
  <si>
    <t>三圓</t>
  </si>
  <si>
    <t>聚紡</t>
  </si>
  <si>
    <t>金雨</t>
  </si>
  <si>
    <t>崇友</t>
  </si>
  <si>
    <t>科嶠</t>
  </si>
  <si>
    <t>桓達</t>
  </si>
  <si>
    <t>長佳</t>
  </si>
  <si>
    <t>中美實</t>
  </si>
  <si>
    <t>磐亞</t>
  </si>
  <si>
    <t>南璋</t>
  </si>
  <si>
    <t>永捷</t>
  </si>
  <si>
    <t>美琪瑪</t>
  </si>
  <si>
    <t>雙美</t>
  </si>
  <si>
    <t>熒茂</t>
  </si>
  <si>
    <t>泰博</t>
  </si>
  <si>
    <t>新復興</t>
  </si>
  <si>
    <t>德英</t>
  </si>
  <si>
    <t>友輝</t>
  </si>
  <si>
    <t>亞電</t>
  </si>
  <si>
    <t>牧東</t>
  </si>
  <si>
    <t>商店街</t>
  </si>
  <si>
    <t>亞泰</t>
  </si>
  <si>
    <t>華星光</t>
  </si>
  <si>
    <t>榮剛</t>
  </si>
  <si>
    <t>久陽</t>
  </si>
  <si>
    <t>華祺</t>
  </si>
  <si>
    <t>富強</t>
  </si>
  <si>
    <t>坤悅</t>
  </si>
  <si>
    <t>寶碩</t>
  </si>
  <si>
    <t>蒙恬</t>
  </si>
  <si>
    <t>雷笛克</t>
  </si>
  <si>
    <t>智晶</t>
  </si>
  <si>
    <t>天鉞電</t>
  </si>
  <si>
    <t>美桀</t>
  </si>
  <si>
    <t>笙科</t>
  </si>
  <si>
    <t>尚凡</t>
  </si>
  <si>
    <t>數字</t>
  </si>
  <si>
    <t>邑昇</t>
  </si>
  <si>
    <t>寶得利</t>
  </si>
  <si>
    <t>太欣</t>
  </si>
  <si>
    <t>鼎創達</t>
  </si>
  <si>
    <t>寶島科</t>
  </si>
  <si>
    <t>凱美</t>
  </si>
  <si>
    <t>士開</t>
  </si>
  <si>
    <t>天揚</t>
  </si>
  <si>
    <t>世界</t>
  </si>
  <si>
    <t>佳總</t>
  </si>
  <si>
    <t>力麗店</t>
  </si>
  <si>
    <t>中光電</t>
  </si>
  <si>
    <t>捷元</t>
  </si>
  <si>
    <t>力瑋</t>
  </si>
  <si>
    <t>台半</t>
  </si>
  <si>
    <t>振發</t>
  </si>
  <si>
    <t>高技</t>
  </si>
  <si>
    <t>寶聯通</t>
  </si>
  <si>
    <t>佶優</t>
  </si>
  <si>
    <t>訊利電</t>
  </si>
  <si>
    <t>宣德</t>
  </si>
  <si>
    <t>富驊</t>
  </si>
  <si>
    <t>凱鈺</t>
  </si>
  <si>
    <t>智冠</t>
  </si>
  <si>
    <t>通泰</t>
  </si>
  <si>
    <t>同亨</t>
  </si>
  <si>
    <t>力麒</t>
  </si>
  <si>
    <t>豐謙</t>
  </si>
  <si>
    <t>聖暉</t>
  </si>
  <si>
    <t>陸海</t>
  </si>
  <si>
    <t>中菲行</t>
  </si>
  <si>
    <t>台名</t>
  </si>
  <si>
    <t>德記</t>
  </si>
  <si>
    <t>寶雅</t>
  </si>
  <si>
    <t>大展證</t>
  </si>
  <si>
    <t>大慶證</t>
  </si>
  <si>
    <t>群益期</t>
  </si>
  <si>
    <t>新普</t>
  </si>
  <si>
    <t>廣運</t>
  </si>
  <si>
    <t>基因</t>
  </si>
  <si>
    <t>耕興</t>
  </si>
  <si>
    <t>順發</t>
  </si>
  <si>
    <t>禾昌</t>
  </si>
  <si>
    <t>捷波</t>
  </si>
  <si>
    <t>華電網</t>
  </si>
  <si>
    <t>統振</t>
  </si>
  <si>
    <t>亞銳士</t>
  </si>
  <si>
    <t>立敦</t>
  </si>
  <si>
    <t>亞通</t>
  </si>
  <si>
    <t>合晶</t>
  </si>
  <si>
    <t>新潤</t>
  </si>
  <si>
    <t>萬泰科</t>
  </si>
  <si>
    <t>詩肯</t>
  </si>
  <si>
    <t>海韻電</t>
  </si>
  <si>
    <t>雷科</t>
  </si>
  <si>
    <t>理銘</t>
  </si>
  <si>
    <t>岳豐</t>
  </si>
  <si>
    <t>晉泰</t>
  </si>
  <si>
    <t>旺矽</t>
  </si>
  <si>
    <t>茂綸</t>
  </si>
  <si>
    <t>研通</t>
  </si>
  <si>
    <t>系微</t>
  </si>
  <si>
    <t>高僑</t>
  </si>
  <si>
    <t>康呈</t>
  </si>
  <si>
    <t>驊訊</t>
  </si>
  <si>
    <t>易通展</t>
  </si>
  <si>
    <t>茂迪</t>
  </si>
  <si>
    <t>臺龍</t>
  </si>
  <si>
    <t>沛波</t>
  </si>
  <si>
    <t>宇加</t>
  </si>
  <si>
    <t>百徽</t>
  </si>
  <si>
    <t>久元</t>
  </si>
  <si>
    <t>富裔</t>
  </si>
  <si>
    <t>方土昶</t>
  </si>
  <si>
    <t>台燿</t>
  </si>
  <si>
    <t>安鈦克</t>
  </si>
  <si>
    <t>沛亨</t>
  </si>
  <si>
    <t>晶焱</t>
  </si>
  <si>
    <t>統新</t>
  </si>
  <si>
    <t>惠光</t>
  </si>
  <si>
    <t>聚和</t>
  </si>
  <si>
    <t>富強鑫</t>
  </si>
  <si>
    <t>瀧澤科</t>
  </si>
  <si>
    <t>佑華</t>
  </si>
  <si>
    <t>長園科</t>
  </si>
  <si>
    <t>安國</t>
  </si>
  <si>
    <t>東捷</t>
  </si>
  <si>
    <t>全達</t>
  </si>
  <si>
    <t>能率豐</t>
  </si>
  <si>
    <t>奧斯特</t>
  </si>
  <si>
    <t>漢承泰</t>
  </si>
  <si>
    <t>瑞穎</t>
  </si>
  <si>
    <t>福華</t>
  </si>
  <si>
    <t>華鎂鑫</t>
  </si>
  <si>
    <t>品安</t>
  </si>
  <si>
    <t>大億科</t>
  </si>
  <si>
    <t>新漢</t>
  </si>
  <si>
    <t>千附</t>
  </si>
  <si>
    <t>森田</t>
  </si>
  <si>
    <t>實威</t>
  </si>
  <si>
    <t>明揚</t>
  </si>
  <si>
    <t>旭源</t>
  </si>
  <si>
    <t>惠普</t>
  </si>
  <si>
    <t>匯鑽科</t>
  </si>
  <si>
    <t>東生華</t>
  </si>
  <si>
    <t>弘帆</t>
  </si>
  <si>
    <t>鉅邁</t>
  </si>
  <si>
    <t>霹靂</t>
  </si>
  <si>
    <t>欣雄</t>
  </si>
  <si>
    <t>全銓</t>
  </si>
  <si>
    <t>光隆</t>
  </si>
  <si>
    <t>欣泰</t>
  </si>
  <si>
    <t>北基</t>
  </si>
  <si>
    <t>鉅明</t>
  </si>
  <si>
    <t>富堡</t>
  </si>
  <si>
    <t>青鋼</t>
  </si>
  <si>
    <t>邦泰</t>
  </si>
  <si>
    <t>明安</t>
  </si>
  <si>
    <t>關中</t>
  </si>
  <si>
    <t>琉園</t>
  </si>
  <si>
    <t>邁達康</t>
  </si>
  <si>
    <t>蘭值</t>
    <phoneticPr fontId="2" type="noConversion"/>
  </si>
  <si>
    <t>台蠟</t>
  </si>
  <si>
    <t>韋僑</t>
  </si>
  <si>
    <t>PSR</t>
    <phoneticPr fontId="19" type="noConversion"/>
  </si>
  <si>
    <t>合計</t>
    <phoneticPr fontId="2" type="noConversion"/>
  </si>
  <si>
    <t xml:space="preserve"> 普通股股本</t>
    <phoneticPr fontId="2" type="noConversion"/>
  </si>
  <si>
    <t>每股營業現金</t>
    <phoneticPr fontId="2" type="noConversion"/>
  </si>
  <si>
    <t>每股營業額</t>
    <phoneticPr fontId="2" type="noConversion"/>
  </si>
  <si>
    <t xml:space="preserve">台泥            </t>
  </si>
  <si>
    <t xml:space="preserve">亞泥            </t>
  </si>
  <si>
    <t xml:space="preserve">嘉泥            </t>
  </si>
  <si>
    <t xml:space="preserve">環泥            </t>
  </si>
  <si>
    <t xml:space="preserve">幸福            </t>
  </si>
  <si>
    <t xml:space="preserve">東泥            </t>
  </si>
  <si>
    <t xml:space="preserve">味全            </t>
  </si>
  <si>
    <t xml:space="preserve">味王            </t>
  </si>
  <si>
    <t xml:space="preserve">大成            </t>
  </si>
  <si>
    <t xml:space="preserve">大飲            </t>
  </si>
  <si>
    <t xml:space="preserve">卜蜂            </t>
  </si>
  <si>
    <t xml:space="preserve">統一            </t>
  </si>
  <si>
    <t xml:space="preserve">愛之味          </t>
  </si>
  <si>
    <t xml:space="preserve">泰山            </t>
  </si>
  <si>
    <t xml:space="preserve">福壽            </t>
  </si>
  <si>
    <t xml:space="preserve">台榮            </t>
  </si>
  <si>
    <t xml:space="preserve">福懋油          </t>
  </si>
  <si>
    <t xml:space="preserve">佳格            </t>
  </si>
  <si>
    <t xml:space="preserve">聯華            </t>
  </si>
  <si>
    <t xml:space="preserve">聯華食          </t>
  </si>
  <si>
    <t xml:space="preserve">大統益          </t>
  </si>
  <si>
    <t xml:space="preserve">天仁            </t>
  </si>
  <si>
    <t xml:space="preserve">黑松            </t>
  </si>
  <si>
    <t xml:space="preserve">興泰            </t>
  </si>
  <si>
    <t xml:space="preserve">宏亞            </t>
  </si>
  <si>
    <t xml:space="preserve">F-綠悅          </t>
  </si>
  <si>
    <t xml:space="preserve">台塑            </t>
  </si>
  <si>
    <t xml:space="preserve">南亞            </t>
  </si>
  <si>
    <t xml:space="preserve">台聚            </t>
  </si>
  <si>
    <t xml:space="preserve">華夏            </t>
  </si>
  <si>
    <t xml:space="preserve">三芳            </t>
  </si>
  <si>
    <t xml:space="preserve">亞聚            </t>
  </si>
  <si>
    <t xml:space="preserve">台達化          </t>
  </si>
  <si>
    <t xml:space="preserve">台苯            </t>
  </si>
  <si>
    <t xml:space="preserve">國喬            </t>
  </si>
  <si>
    <t xml:space="preserve">國喬特          </t>
  </si>
  <si>
    <t xml:space="preserve">聯成            </t>
  </si>
  <si>
    <t xml:space="preserve">中石化          </t>
  </si>
  <si>
    <t xml:space="preserve">達新            </t>
  </si>
  <si>
    <t xml:space="preserve">上曜            </t>
  </si>
  <si>
    <t xml:space="preserve">東陽            </t>
  </si>
  <si>
    <t xml:space="preserve">大洋            </t>
  </si>
  <si>
    <t xml:space="preserve">永裕            </t>
  </si>
  <si>
    <t xml:space="preserve">地球            </t>
  </si>
  <si>
    <t xml:space="preserve">恆大            </t>
  </si>
  <si>
    <t xml:space="preserve">台化            </t>
  </si>
  <si>
    <t xml:space="preserve">F-再生          </t>
  </si>
  <si>
    <t xml:space="preserve">F-廣華          </t>
  </si>
  <si>
    <t xml:space="preserve">昭輝            </t>
  </si>
  <si>
    <t xml:space="preserve">F-勝悅          </t>
  </si>
  <si>
    <t xml:space="preserve">遠東新          </t>
  </si>
  <si>
    <t xml:space="preserve">新纖            </t>
  </si>
  <si>
    <t xml:space="preserve">南染            </t>
  </si>
  <si>
    <t xml:space="preserve">宏洲            </t>
  </si>
  <si>
    <t xml:space="preserve">東和            </t>
  </si>
  <si>
    <t xml:space="preserve">廣豐            </t>
  </si>
  <si>
    <t xml:space="preserve">嘉裕            </t>
  </si>
  <si>
    <t xml:space="preserve">東華            </t>
  </si>
  <si>
    <t xml:space="preserve">新紡            </t>
  </si>
  <si>
    <t xml:space="preserve">利華            </t>
  </si>
  <si>
    <t xml:space="preserve">大魯閣          </t>
  </si>
  <si>
    <t xml:space="preserve">福懋            </t>
  </si>
  <si>
    <t xml:space="preserve">中福            </t>
  </si>
  <si>
    <t xml:space="preserve">華友聯          </t>
  </si>
  <si>
    <t xml:space="preserve">勤益控          </t>
  </si>
  <si>
    <t xml:space="preserve">裕豐            </t>
  </si>
  <si>
    <t xml:space="preserve">中和            </t>
  </si>
  <si>
    <t xml:space="preserve">南紡            </t>
  </si>
  <si>
    <t xml:space="preserve">大東            </t>
  </si>
  <si>
    <t xml:space="preserve">名軒            </t>
  </si>
  <si>
    <t xml:space="preserve">立益            </t>
  </si>
  <si>
    <t xml:space="preserve">力麗            </t>
  </si>
  <si>
    <t xml:space="preserve">大宇            </t>
  </si>
  <si>
    <t xml:space="preserve">宏和            </t>
  </si>
  <si>
    <t xml:space="preserve">力鵬            </t>
  </si>
  <si>
    <t xml:space="preserve">佳和            </t>
  </si>
  <si>
    <t xml:space="preserve">年興            </t>
  </si>
  <si>
    <t xml:space="preserve">宏益            </t>
  </si>
  <si>
    <t xml:space="preserve">大將            </t>
  </si>
  <si>
    <t xml:space="preserve">台富            </t>
  </si>
  <si>
    <t xml:space="preserve">集盛            </t>
  </si>
  <si>
    <t xml:space="preserve">怡華            </t>
  </si>
  <si>
    <t xml:space="preserve">宜進            </t>
  </si>
  <si>
    <t xml:space="preserve">聯發            </t>
  </si>
  <si>
    <t xml:space="preserve">宏遠            </t>
  </si>
  <si>
    <t xml:space="preserve">強盛            </t>
  </si>
  <si>
    <t xml:space="preserve">得力            </t>
  </si>
  <si>
    <t xml:space="preserve">偉全            </t>
  </si>
  <si>
    <t xml:space="preserve">聚隆            </t>
  </si>
  <si>
    <t xml:space="preserve">南緯            </t>
  </si>
  <si>
    <t xml:space="preserve">昶和            </t>
  </si>
  <si>
    <t xml:space="preserve">理隆            </t>
  </si>
  <si>
    <t xml:space="preserve">大統染          </t>
  </si>
  <si>
    <t xml:space="preserve">首利            </t>
  </si>
  <si>
    <t xml:space="preserve">三洋紡          </t>
  </si>
  <si>
    <t xml:space="preserve">台南            </t>
  </si>
  <si>
    <t xml:space="preserve">弘裕            </t>
  </si>
  <si>
    <t xml:space="preserve">本盟            </t>
  </si>
  <si>
    <t xml:space="preserve">儒鴻            </t>
  </si>
  <si>
    <t xml:space="preserve">聚陽            </t>
  </si>
  <si>
    <t xml:space="preserve">士電            </t>
  </si>
  <si>
    <t xml:space="preserve">東元            </t>
  </si>
  <si>
    <t xml:space="preserve">正道            </t>
  </si>
  <si>
    <t xml:space="preserve">永大            </t>
  </si>
  <si>
    <t xml:space="preserve">瑞利            </t>
  </si>
  <si>
    <t xml:space="preserve">中興電          </t>
  </si>
  <si>
    <t xml:space="preserve">亞力            </t>
  </si>
  <si>
    <t xml:space="preserve">力山            </t>
  </si>
  <si>
    <t xml:space="preserve">川飛            </t>
  </si>
  <si>
    <t xml:space="preserve">利奇            </t>
  </si>
  <si>
    <t xml:space="preserve">華城            </t>
  </si>
  <si>
    <t xml:space="preserve">大億            </t>
  </si>
  <si>
    <t xml:space="preserve">堤維西          </t>
  </si>
  <si>
    <t xml:space="preserve">耿鼎            </t>
  </si>
  <si>
    <t xml:space="preserve">江申            </t>
  </si>
  <si>
    <t xml:space="preserve">日馳            </t>
  </si>
  <si>
    <t xml:space="preserve">鑽全            </t>
  </si>
  <si>
    <t xml:space="preserve">恩德            </t>
  </si>
  <si>
    <t xml:space="preserve">樂士            </t>
  </si>
  <si>
    <t xml:space="preserve">亞崴            </t>
  </si>
  <si>
    <t xml:space="preserve">高林股          </t>
  </si>
  <si>
    <t xml:space="preserve">勤美            </t>
  </si>
  <si>
    <t xml:space="preserve">車王電          </t>
  </si>
  <si>
    <t xml:space="preserve">中宇            </t>
  </si>
  <si>
    <t xml:space="preserve">和大            </t>
  </si>
  <si>
    <t xml:space="preserve">廣隆            </t>
  </si>
  <si>
    <t xml:space="preserve">正峰新          </t>
  </si>
  <si>
    <t xml:space="preserve">巨庭            </t>
  </si>
  <si>
    <t xml:space="preserve">喬福            </t>
  </si>
  <si>
    <t xml:space="preserve">錩泰            </t>
  </si>
  <si>
    <t xml:space="preserve">伸興            </t>
  </si>
  <si>
    <t xml:space="preserve">中砂            </t>
  </si>
  <si>
    <t xml:space="preserve">倉佑            </t>
  </si>
  <si>
    <t xml:space="preserve">信錦            </t>
  </si>
  <si>
    <t xml:space="preserve">程泰            </t>
  </si>
  <si>
    <t xml:space="preserve">F-永冠          </t>
  </si>
  <si>
    <t xml:space="preserve">F-亞德          </t>
  </si>
  <si>
    <t xml:space="preserve">F-英瑞          </t>
  </si>
  <si>
    <t xml:space="preserve">華電            </t>
  </si>
  <si>
    <t xml:space="preserve">聲寶            </t>
  </si>
  <si>
    <t xml:space="preserve">華新            </t>
  </si>
  <si>
    <t xml:space="preserve">華榮            </t>
  </si>
  <si>
    <t xml:space="preserve">大亞            </t>
  </si>
  <si>
    <t xml:space="preserve">中電            </t>
  </si>
  <si>
    <t xml:space="preserve">宏泰            </t>
  </si>
  <si>
    <t xml:space="preserve">台一            </t>
  </si>
  <si>
    <t xml:space="preserve">三洋電          </t>
  </si>
  <si>
    <t xml:space="preserve">大山            </t>
  </si>
  <si>
    <t xml:space="preserve">億泰            </t>
  </si>
  <si>
    <t xml:space="preserve">榮星            </t>
  </si>
  <si>
    <t xml:space="preserve">合機            </t>
  </si>
  <si>
    <t xml:space="preserve">F-艾美          </t>
  </si>
  <si>
    <t xml:space="preserve">中化            </t>
  </si>
  <si>
    <t xml:space="preserve">南僑            </t>
  </si>
  <si>
    <t xml:space="preserve">榮化            </t>
  </si>
  <si>
    <t xml:space="preserve">葡萄王          </t>
  </si>
  <si>
    <t xml:space="preserve">東鹼            </t>
  </si>
  <si>
    <t xml:space="preserve">和益            </t>
  </si>
  <si>
    <t xml:space="preserve">東聯            </t>
  </si>
  <si>
    <t xml:space="preserve">永光            </t>
  </si>
  <si>
    <t xml:space="preserve">興農            </t>
  </si>
  <si>
    <t xml:space="preserve">國化            </t>
  </si>
  <si>
    <t xml:space="preserve">和桐            </t>
  </si>
  <si>
    <t xml:space="preserve">萬洲            </t>
  </si>
  <si>
    <t xml:space="preserve">長興            </t>
  </si>
  <si>
    <t xml:space="preserve">中纖            </t>
  </si>
  <si>
    <t xml:space="preserve">生達            </t>
  </si>
  <si>
    <t xml:space="preserve">三晃            </t>
  </si>
  <si>
    <t xml:space="preserve">台肥            </t>
  </si>
  <si>
    <t xml:space="preserve">中碳            </t>
  </si>
  <si>
    <t xml:space="preserve">台硝            </t>
  </si>
  <si>
    <t xml:space="preserve">元禎            </t>
  </si>
  <si>
    <t xml:space="preserve">永記            </t>
  </si>
  <si>
    <t xml:space="preserve">中華化          </t>
  </si>
  <si>
    <t xml:space="preserve">必翔            </t>
  </si>
  <si>
    <t xml:space="preserve">花仙子          </t>
  </si>
  <si>
    <t xml:space="preserve">美吾華          </t>
  </si>
  <si>
    <t xml:space="preserve">毛寶            </t>
  </si>
  <si>
    <t xml:space="preserve">五鼎            </t>
  </si>
  <si>
    <t xml:space="preserve">杏輝            </t>
  </si>
  <si>
    <t xml:space="preserve">日勝化          </t>
  </si>
  <si>
    <t xml:space="preserve">喬山            </t>
  </si>
  <si>
    <t xml:space="preserve">臺鹽            </t>
  </si>
  <si>
    <t xml:space="preserve">中化生          </t>
  </si>
  <si>
    <t xml:space="preserve">勝一            </t>
  </si>
  <si>
    <t xml:space="preserve">和康生          </t>
  </si>
  <si>
    <t xml:space="preserve">科妍            </t>
  </si>
  <si>
    <t xml:space="preserve">神隆            </t>
  </si>
  <si>
    <t xml:space="preserve">台玻            </t>
  </si>
  <si>
    <t xml:space="preserve">寶徠            </t>
  </si>
  <si>
    <t xml:space="preserve">冠軍            </t>
  </si>
  <si>
    <t xml:space="preserve">潤隆            </t>
  </si>
  <si>
    <t xml:space="preserve">中釉            </t>
  </si>
  <si>
    <t xml:space="preserve">和成            </t>
  </si>
  <si>
    <t xml:space="preserve">凱撒衛          </t>
  </si>
  <si>
    <t xml:space="preserve">台紙            </t>
  </si>
  <si>
    <t xml:space="preserve">士紙            </t>
  </si>
  <si>
    <t xml:space="preserve">正隆            </t>
  </si>
  <si>
    <t xml:space="preserve">寶隆            </t>
  </si>
  <si>
    <t xml:space="preserve">永豐餘          </t>
  </si>
  <si>
    <t xml:space="preserve">榮成            </t>
  </si>
  <si>
    <t xml:space="preserve">中鋼            </t>
  </si>
  <si>
    <t xml:space="preserve">中鋼特          </t>
  </si>
  <si>
    <t xml:space="preserve">東鋼            </t>
  </si>
  <si>
    <t xml:space="preserve">燁興            </t>
  </si>
  <si>
    <t xml:space="preserve">高興昌          </t>
  </si>
  <si>
    <t xml:space="preserve">第一銅          </t>
  </si>
  <si>
    <t xml:space="preserve">春源            </t>
  </si>
  <si>
    <t xml:space="preserve">春雨            </t>
  </si>
  <si>
    <t xml:space="preserve">中鋼構          </t>
  </si>
  <si>
    <t xml:space="preserve">中鴻            </t>
  </si>
  <si>
    <t xml:space="preserve">豐興            </t>
  </si>
  <si>
    <t xml:space="preserve">官田鋼          </t>
  </si>
  <si>
    <t xml:space="preserve">美亞            </t>
  </si>
  <si>
    <t xml:space="preserve">聚亨            </t>
  </si>
  <si>
    <t xml:space="preserve">燁輝            </t>
  </si>
  <si>
    <t xml:space="preserve">志聯            </t>
  </si>
  <si>
    <t xml:space="preserve">千興            </t>
  </si>
  <si>
    <t xml:space="preserve">大成鋼          </t>
  </si>
  <si>
    <t xml:space="preserve">威致            </t>
  </si>
  <si>
    <t xml:space="preserve">盛餘            </t>
  </si>
  <si>
    <t xml:space="preserve">彰源            </t>
  </si>
  <si>
    <t xml:space="preserve">新光鋼          </t>
  </si>
  <si>
    <t xml:space="preserve">新鋼            </t>
  </si>
  <si>
    <t xml:space="preserve">佳大            </t>
  </si>
  <si>
    <t xml:space="preserve">允強            </t>
  </si>
  <si>
    <t xml:space="preserve">海光            </t>
  </si>
  <si>
    <t xml:space="preserve">上銀            </t>
  </si>
  <si>
    <t xml:space="preserve">川湖            </t>
  </si>
  <si>
    <t xml:space="preserve">橋椿            </t>
  </si>
  <si>
    <t xml:space="preserve">南港            </t>
  </si>
  <si>
    <t xml:space="preserve">泰豐            </t>
  </si>
  <si>
    <t xml:space="preserve">台橡            </t>
  </si>
  <si>
    <t xml:space="preserve">中橡            </t>
  </si>
  <si>
    <t xml:space="preserve">正新            </t>
  </si>
  <si>
    <t xml:space="preserve">建大            </t>
  </si>
  <si>
    <t xml:space="preserve">厚生            </t>
  </si>
  <si>
    <t xml:space="preserve">南帝            </t>
  </si>
  <si>
    <t xml:space="preserve">華豐            </t>
  </si>
  <si>
    <t xml:space="preserve">鑫永銓          </t>
  </si>
  <si>
    <t xml:space="preserve">F-六暉          </t>
  </si>
  <si>
    <t xml:space="preserve">裕隆            </t>
  </si>
  <si>
    <t xml:space="preserve">中華            </t>
  </si>
  <si>
    <t xml:space="preserve">三陽            </t>
  </si>
  <si>
    <t xml:space="preserve">和泰車          </t>
  </si>
  <si>
    <t xml:space="preserve">台船            </t>
  </si>
  <si>
    <t xml:space="preserve">裕日車          </t>
  </si>
  <si>
    <t xml:space="preserve">劍麟            </t>
  </si>
  <si>
    <t xml:space="preserve">為升            </t>
  </si>
  <si>
    <t xml:space="preserve">F-百達          </t>
  </si>
  <si>
    <t xml:space="preserve">光寶科          </t>
  </si>
  <si>
    <t xml:space="preserve">麗正            </t>
  </si>
  <si>
    <t xml:space="preserve">聯電            </t>
  </si>
  <si>
    <t xml:space="preserve">全友            </t>
  </si>
  <si>
    <t xml:space="preserve">台達電          </t>
  </si>
  <si>
    <t xml:space="preserve">日月光          </t>
  </si>
  <si>
    <t xml:space="preserve">金寶            </t>
  </si>
  <si>
    <t xml:space="preserve">華通            </t>
  </si>
  <si>
    <t xml:space="preserve">台揚            </t>
  </si>
  <si>
    <t xml:space="preserve">楠梓電          </t>
  </si>
  <si>
    <t xml:space="preserve">鴻海            </t>
  </si>
  <si>
    <t xml:space="preserve">東訊            </t>
  </si>
  <si>
    <t xml:space="preserve">中環            </t>
  </si>
  <si>
    <t xml:space="preserve">仁寶            </t>
  </si>
  <si>
    <t xml:space="preserve">矽品            </t>
  </si>
  <si>
    <t xml:space="preserve">國巨            </t>
  </si>
  <si>
    <t xml:space="preserve">廣宇            </t>
  </si>
  <si>
    <t xml:space="preserve">華泰            </t>
  </si>
  <si>
    <t xml:space="preserve">台積電          </t>
  </si>
  <si>
    <t xml:space="preserve">精英            </t>
  </si>
  <si>
    <t xml:space="preserve">友訊            </t>
  </si>
  <si>
    <t xml:space="preserve">旺宏            </t>
  </si>
  <si>
    <t xml:space="preserve">光罩            </t>
  </si>
  <si>
    <t xml:space="preserve">光磊            </t>
  </si>
  <si>
    <t xml:space="preserve">茂矽            </t>
  </si>
  <si>
    <t xml:space="preserve">華邦電          </t>
  </si>
  <si>
    <t xml:space="preserve">智邦            </t>
  </si>
  <si>
    <t xml:space="preserve">聯強            </t>
  </si>
  <si>
    <t xml:space="preserve">海悅            </t>
  </si>
  <si>
    <t xml:space="preserve">錸德            </t>
  </si>
  <si>
    <t xml:space="preserve">順德            </t>
  </si>
  <si>
    <t xml:space="preserve">佳世達          </t>
  </si>
  <si>
    <t xml:space="preserve">宏碁            </t>
  </si>
  <si>
    <t xml:space="preserve">鴻準            </t>
  </si>
  <si>
    <t xml:space="preserve">敬鵬            </t>
  </si>
  <si>
    <t xml:space="preserve">英業達          </t>
  </si>
  <si>
    <t xml:space="preserve">華碩            </t>
  </si>
  <si>
    <t xml:space="preserve">廷鑫            </t>
  </si>
  <si>
    <t xml:space="preserve">所羅門          </t>
  </si>
  <si>
    <t xml:space="preserve">致茂            </t>
  </si>
  <si>
    <t xml:space="preserve">鴻友            </t>
  </si>
  <si>
    <t xml:space="preserve">藍天            </t>
  </si>
  <si>
    <t xml:space="preserve">矽統            </t>
  </si>
  <si>
    <t xml:space="preserve">倫飛            </t>
  </si>
  <si>
    <t xml:space="preserve">昆盈            </t>
  </si>
  <si>
    <t xml:space="preserve">燿華            </t>
  </si>
  <si>
    <t xml:space="preserve">金像電          </t>
  </si>
  <si>
    <t xml:space="preserve">菱生            </t>
  </si>
  <si>
    <t xml:space="preserve">大同            </t>
  </si>
  <si>
    <t xml:space="preserve">震旦行          </t>
  </si>
  <si>
    <t xml:space="preserve">佳能            </t>
  </si>
  <si>
    <t xml:space="preserve">智寶            </t>
  </si>
  <si>
    <t xml:space="preserve">技嘉            </t>
  </si>
  <si>
    <t xml:space="preserve">微星            </t>
  </si>
  <si>
    <t xml:space="preserve">瑞昱            </t>
  </si>
  <si>
    <t xml:space="preserve">虹光            </t>
  </si>
  <si>
    <t xml:space="preserve">廣達            </t>
  </si>
  <si>
    <t xml:space="preserve">台光電          </t>
  </si>
  <si>
    <t xml:space="preserve">群光            </t>
  </si>
  <si>
    <t xml:space="preserve">精元            </t>
  </si>
  <si>
    <t xml:space="preserve">威盛            </t>
  </si>
  <si>
    <t xml:space="preserve">云辰            </t>
  </si>
  <si>
    <t xml:space="preserve">正崴            </t>
  </si>
  <si>
    <t xml:space="preserve">億光            </t>
  </si>
  <si>
    <t xml:space="preserve">研華            </t>
  </si>
  <si>
    <t xml:space="preserve">友通            </t>
  </si>
  <si>
    <t xml:space="preserve">映泰            </t>
  </si>
  <si>
    <t xml:space="preserve">凌陽            </t>
  </si>
  <si>
    <t xml:space="preserve">毅嘉            </t>
  </si>
  <si>
    <t xml:space="preserve">漢唐            </t>
  </si>
  <si>
    <t xml:space="preserve">浩鑫            </t>
  </si>
  <si>
    <t xml:space="preserve">國碩            </t>
  </si>
  <si>
    <t xml:space="preserve">南亞科          </t>
  </si>
  <si>
    <t xml:space="preserve">友達            </t>
  </si>
  <si>
    <t xml:space="preserve">中華電          </t>
  </si>
  <si>
    <t xml:space="preserve">環科            </t>
  </si>
  <si>
    <t xml:space="preserve">精技            </t>
  </si>
  <si>
    <t xml:space="preserve">錩新            </t>
  </si>
  <si>
    <t xml:space="preserve">圓剛            </t>
  </si>
  <si>
    <t xml:space="preserve">仲琦            </t>
  </si>
  <si>
    <t xml:space="preserve">新巨            </t>
  </si>
  <si>
    <t xml:space="preserve">建準            </t>
  </si>
  <si>
    <t xml:space="preserve">固緯            </t>
  </si>
  <si>
    <t xml:space="preserve">隴華            </t>
  </si>
  <si>
    <t xml:space="preserve">承啟            </t>
  </si>
  <si>
    <t xml:space="preserve">鼎元            </t>
  </si>
  <si>
    <t xml:space="preserve">三商電          </t>
  </si>
  <si>
    <t xml:space="preserve">興勤            </t>
  </si>
  <si>
    <t xml:space="preserve">銘旺科          </t>
  </si>
  <si>
    <t xml:space="preserve">燦坤            </t>
  </si>
  <si>
    <t xml:space="preserve">聯昌            </t>
  </si>
  <si>
    <t xml:space="preserve">互盛電          </t>
  </si>
  <si>
    <t xml:space="preserve">統懋            </t>
  </si>
  <si>
    <t xml:space="preserve">偉詮電          </t>
  </si>
  <si>
    <t xml:space="preserve">旺詮            </t>
  </si>
  <si>
    <t xml:space="preserve">翔耀            </t>
  </si>
  <si>
    <t xml:space="preserve">美律            </t>
  </si>
  <si>
    <t xml:space="preserve">太空梭          </t>
  </si>
  <si>
    <t xml:space="preserve">超豐            </t>
  </si>
  <si>
    <t xml:space="preserve">新美齊          </t>
  </si>
  <si>
    <t xml:space="preserve">新利虹          </t>
  </si>
  <si>
    <t xml:space="preserve">友旺            </t>
  </si>
  <si>
    <t xml:space="preserve">晶電            </t>
  </si>
  <si>
    <t xml:space="preserve">京元電          </t>
  </si>
  <si>
    <t xml:space="preserve">神腦            </t>
  </si>
  <si>
    <t xml:space="preserve">創見            </t>
  </si>
  <si>
    <t xml:space="preserve">凌群            </t>
  </si>
  <si>
    <t xml:space="preserve">聯發科          </t>
  </si>
  <si>
    <t xml:space="preserve">全新            </t>
  </si>
  <si>
    <t xml:space="preserve">奇力新          </t>
  </si>
  <si>
    <t xml:space="preserve">飛宏            </t>
  </si>
  <si>
    <t xml:space="preserve">義隆            </t>
  </si>
  <si>
    <t xml:space="preserve">敦吉            </t>
  </si>
  <si>
    <t xml:space="preserve">建通            </t>
  </si>
  <si>
    <t xml:space="preserve">光群雷          </t>
  </si>
  <si>
    <t xml:space="preserve">良得電          </t>
  </si>
  <si>
    <t xml:space="preserve">盟立            </t>
  </si>
  <si>
    <t xml:space="preserve">麗臺            </t>
  </si>
  <si>
    <t xml:space="preserve">冠西電          </t>
  </si>
  <si>
    <t xml:space="preserve">志聖            </t>
  </si>
  <si>
    <t xml:space="preserve">華經            </t>
  </si>
  <si>
    <t xml:space="preserve">資通            </t>
  </si>
  <si>
    <t xml:space="preserve">可成            </t>
  </si>
  <si>
    <t xml:space="preserve">華映            </t>
  </si>
  <si>
    <t xml:space="preserve">鉅祥            </t>
  </si>
  <si>
    <t xml:space="preserve">美隆電          </t>
  </si>
  <si>
    <t xml:space="preserve">大毅            </t>
  </si>
  <si>
    <t xml:space="preserve">敦陽科          </t>
  </si>
  <si>
    <t xml:space="preserve">強茂            </t>
  </si>
  <si>
    <t xml:space="preserve">連宇            </t>
  </si>
  <si>
    <t xml:space="preserve">百容            </t>
  </si>
  <si>
    <t xml:space="preserve">希華            </t>
  </si>
  <si>
    <t xml:space="preserve">兆赫            </t>
  </si>
  <si>
    <t xml:space="preserve">一詮            </t>
  </si>
  <si>
    <t xml:space="preserve">漢平            </t>
  </si>
  <si>
    <t xml:space="preserve">瑞軒            </t>
  </si>
  <si>
    <t xml:space="preserve">吉祥全          </t>
  </si>
  <si>
    <t xml:space="preserve">華新科          </t>
  </si>
  <si>
    <t xml:space="preserve">揚博            </t>
  </si>
  <si>
    <t xml:space="preserve">普安            </t>
  </si>
  <si>
    <t xml:space="preserve">卓越            </t>
  </si>
  <si>
    <t xml:space="preserve">怡利電          </t>
  </si>
  <si>
    <t xml:space="preserve">宏達電          </t>
  </si>
  <si>
    <t xml:space="preserve">東貝            </t>
  </si>
  <si>
    <t xml:space="preserve">國建            </t>
  </si>
  <si>
    <t xml:space="preserve">國產            </t>
  </si>
  <si>
    <t xml:space="preserve">國揚            </t>
  </si>
  <si>
    <t xml:space="preserve">太設            </t>
  </si>
  <si>
    <t xml:space="preserve">全坤建          </t>
  </si>
  <si>
    <t xml:space="preserve">太子            </t>
  </si>
  <si>
    <t xml:space="preserve">龍邦            </t>
  </si>
  <si>
    <t xml:space="preserve">中工            </t>
  </si>
  <si>
    <t xml:space="preserve">新建            </t>
  </si>
  <si>
    <t xml:space="preserve">冠德            </t>
  </si>
  <si>
    <t xml:space="preserve">京城            </t>
  </si>
  <si>
    <t xml:space="preserve">宏璟            </t>
  </si>
  <si>
    <t xml:space="preserve">皇普            </t>
  </si>
  <si>
    <t xml:space="preserve">華建            </t>
  </si>
  <si>
    <t xml:space="preserve">宏盛            </t>
  </si>
  <si>
    <t xml:space="preserve">達欣工          </t>
  </si>
  <si>
    <t xml:space="preserve">宏普            </t>
  </si>
  <si>
    <t xml:space="preserve">聯上發          </t>
  </si>
  <si>
    <t xml:space="preserve">基泰            </t>
  </si>
  <si>
    <t xml:space="preserve">櫻花建          </t>
  </si>
  <si>
    <t xml:space="preserve">愛山林          </t>
  </si>
  <si>
    <t xml:space="preserve">興富發          </t>
  </si>
  <si>
    <t xml:space="preserve">皇昌            </t>
  </si>
  <si>
    <t xml:space="preserve">皇翔            </t>
  </si>
  <si>
    <t xml:space="preserve">根基            </t>
  </si>
  <si>
    <t xml:space="preserve">日勝生          </t>
  </si>
  <si>
    <t xml:space="preserve">華固            </t>
  </si>
  <si>
    <t xml:space="preserve">潤弘            </t>
  </si>
  <si>
    <t xml:space="preserve">益航            </t>
  </si>
  <si>
    <t xml:space="preserve">長榮            </t>
  </si>
  <si>
    <t xml:space="preserve">新興            </t>
  </si>
  <si>
    <t xml:space="preserve">裕民            </t>
  </si>
  <si>
    <t xml:space="preserve">榮運            </t>
  </si>
  <si>
    <t xml:space="preserve">大榮            </t>
  </si>
  <si>
    <t xml:space="preserve">陽明            </t>
  </si>
  <si>
    <t xml:space="preserve">華航            </t>
  </si>
  <si>
    <t xml:space="preserve">志信            </t>
  </si>
  <si>
    <t xml:space="preserve">中航            </t>
  </si>
  <si>
    <t xml:space="preserve">中櫃            </t>
  </si>
  <si>
    <t xml:space="preserve">東森            </t>
  </si>
  <si>
    <t xml:space="preserve">萬海            </t>
  </si>
  <si>
    <t xml:space="preserve">山隆            </t>
  </si>
  <si>
    <t xml:space="preserve">台航            </t>
  </si>
  <si>
    <t xml:space="preserve">長榮航          </t>
  </si>
  <si>
    <t xml:space="preserve">漢翔            </t>
  </si>
  <si>
    <t xml:space="preserve">F-慧洋          </t>
  </si>
  <si>
    <t xml:space="preserve">宅配通          </t>
  </si>
  <si>
    <t xml:space="preserve">萬企            </t>
  </si>
  <si>
    <t xml:space="preserve">華園            </t>
  </si>
  <si>
    <t xml:space="preserve">國賓            </t>
  </si>
  <si>
    <t xml:space="preserve">六福            </t>
  </si>
  <si>
    <t xml:space="preserve">第一店          </t>
  </si>
  <si>
    <t xml:space="preserve">晶華            </t>
  </si>
  <si>
    <t xml:space="preserve">遠雄來          </t>
  </si>
  <si>
    <t xml:space="preserve">夏都            </t>
  </si>
  <si>
    <t xml:space="preserve">F-美食          </t>
  </si>
  <si>
    <t xml:space="preserve">王品            </t>
  </si>
  <si>
    <t xml:space="preserve">雄獅            </t>
  </si>
  <si>
    <t xml:space="preserve">彰銀            </t>
  </si>
  <si>
    <t xml:space="preserve">京城銀          </t>
  </si>
  <si>
    <t xml:space="preserve">台中銀          </t>
  </si>
  <si>
    <t xml:space="preserve">旺旺保          </t>
  </si>
  <si>
    <t xml:space="preserve">華票            </t>
  </si>
  <si>
    <t xml:space="preserve">中壽            </t>
  </si>
  <si>
    <t xml:space="preserve">台產            </t>
  </si>
  <si>
    <t xml:space="preserve">臺企銀          </t>
  </si>
  <si>
    <t xml:space="preserve">高雄銀          </t>
  </si>
  <si>
    <t xml:space="preserve">聯邦銀          </t>
  </si>
  <si>
    <t xml:space="preserve">台開            </t>
  </si>
  <si>
    <t xml:space="preserve">遠東銀          </t>
  </si>
  <si>
    <t xml:space="preserve">大眾銀          </t>
  </si>
  <si>
    <t xml:space="preserve">安泰銀          </t>
  </si>
  <si>
    <t xml:space="preserve">新產            </t>
  </si>
  <si>
    <t xml:space="preserve">中再保          </t>
  </si>
  <si>
    <t xml:space="preserve">第一保          </t>
  </si>
  <si>
    <t xml:space="preserve">統一證          </t>
  </si>
  <si>
    <t xml:space="preserve">元富證          </t>
  </si>
  <si>
    <t xml:space="preserve">三商壽          </t>
  </si>
  <si>
    <t xml:space="preserve">華南金          </t>
  </si>
  <si>
    <t xml:space="preserve">富邦金          </t>
  </si>
  <si>
    <t xml:space="preserve">國泰金          </t>
  </si>
  <si>
    <t xml:space="preserve">開發金          </t>
  </si>
  <si>
    <t xml:space="preserve">玉山金          </t>
  </si>
  <si>
    <t xml:space="preserve">元大金          </t>
  </si>
  <si>
    <t xml:space="preserve">兆豐金          </t>
  </si>
  <si>
    <t xml:space="preserve">台新金          </t>
  </si>
  <si>
    <t xml:space="preserve">新光金          </t>
  </si>
  <si>
    <t xml:space="preserve">國票金          </t>
  </si>
  <si>
    <t xml:space="preserve">永豐金          </t>
  </si>
  <si>
    <t xml:space="preserve">中信金          </t>
  </si>
  <si>
    <t xml:space="preserve">2891A </t>
  </si>
  <si>
    <t xml:space="preserve">中信特          </t>
  </si>
  <si>
    <t xml:space="preserve">第一金          </t>
  </si>
  <si>
    <t xml:space="preserve">欣欣            </t>
  </si>
  <si>
    <t xml:space="preserve">遠百            </t>
  </si>
  <si>
    <t xml:space="preserve">匯僑            </t>
  </si>
  <si>
    <t xml:space="preserve">三商            </t>
  </si>
  <si>
    <t xml:space="preserve">高林            </t>
  </si>
  <si>
    <t xml:space="preserve">特力            </t>
  </si>
  <si>
    <t xml:space="preserve">統領            </t>
  </si>
  <si>
    <t xml:space="preserve">麗嬰房          </t>
  </si>
  <si>
    <t xml:space="preserve">統一超          </t>
  </si>
  <si>
    <t xml:space="preserve">農林            </t>
  </si>
  <si>
    <t xml:space="preserve">潤泰全          </t>
  </si>
  <si>
    <t xml:space="preserve">F-鼎固          </t>
  </si>
  <si>
    <t xml:space="preserve">F-淘帝          </t>
  </si>
  <si>
    <t xml:space="preserve">歐格            </t>
  </si>
  <si>
    <t xml:space="preserve">健和興          </t>
  </si>
  <si>
    <t xml:space="preserve">豐達科          </t>
  </si>
  <si>
    <t xml:space="preserve">神基            </t>
  </si>
  <si>
    <t xml:space="preserve">晶豪科          </t>
  </si>
  <si>
    <t xml:space="preserve">大立光          </t>
  </si>
  <si>
    <t xml:space="preserve">華立            </t>
  </si>
  <si>
    <t xml:space="preserve">今皓            </t>
  </si>
  <si>
    <t xml:space="preserve">晟銘電          </t>
  </si>
  <si>
    <t xml:space="preserve">聯陽            </t>
  </si>
  <si>
    <t xml:space="preserve">嘉晶            </t>
  </si>
  <si>
    <t xml:space="preserve">奇鋐            </t>
  </si>
  <si>
    <t xml:space="preserve">同開            </t>
  </si>
  <si>
    <t xml:space="preserve">亞光            </t>
  </si>
  <si>
    <t xml:space="preserve">鴻名            </t>
  </si>
  <si>
    <t xml:space="preserve">威強電          </t>
  </si>
  <si>
    <t xml:space="preserve">信邦            </t>
  </si>
  <si>
    <t xml:space="preserve">憶聲            </t>
  </si>
  <si>
    <t xml:space="preserve">星通            </t>
  </si>
  <si>
    <t xml:space="preserve">禾伸堂          </t>
  </si>
  <si>
    <t xml:space="preserve">盛達            </t>
  </si>
  <si>
    <t xml:space="preserve">增你強          </t>
  </si>
  <si>
    <t xml:space="preserve">零壹            </t>
  </si>
  <si>
    <t xml:space="preserve">德律            </t>
  </si>
  <si>
    <t xml:space="preserve">佰鴻            </t>
  </si>
  <si>
    <t xml:space="preserve">偉訓            </t>
  </si>
  <si>
    <t xml:space="preserve">威健            </t>
  </si>
  <si>
    <t xml:space="preserve">聯詠            </t>
  </si>
  <si>
    <t xml:space="preserve">智原            </t>
  </si>
  <si>
    <t xml:space="preserve">文曄            </t>
  </si>
  <si>
    <t xml:space="preserve">欣興            </t>
  </si>
  <si>
    <t xml:space="preserve">全台            </t>
  </si>
  <si>
    <t xml:space="preserve">遠見            </t>
  </si>
  <si>
    <t xml:space="preserve">揚智            </t>
  </si>
  <si>
    <t xml:space="preserve">晶技            </t>
  </si>
  <si>
    <t xml:space="preserve">科風            </t>
  </si>
  <si>
    <t xml:space="preserve">健鼎            </t>
  </si>
  <si>
    <t xml:space="preserve">台灣大          </t>
  </si>
  <si>
    <t xml:space="preserve">建碁            </t>
  </si>
  <si>
    <t xml:space="preserve">訊舟            </t>
  </si>
  <si>
    <t xml:space="preserve">益登            </t>
  </si>
  <si>
    <t xml:space="preserve">和鑫            </t>
  </si>
  <si>
    <t xml:space="preserve">鈺德            </t>
  </si>
  <si>
    <t xml:space="preserve">力特            </t>
  </si>
  <si>
    <t xml:space="preserve">夆典            </t>
  </si>
  <si>
    <t xml:space="preserve">立萬利          </t>
  </si>
  <si>
    <t xml:space="preserve">蔚華科          </t>
  </si>
  <si>
    <t xml:space="preserve">總太            </t>
  </si>
  <si>
    <t xml:space="preserve">喬鼎            </t>
  </si>
  <si>
    <t xml:space="preserve">立德            </t>
  </si>
  <si>
    <t xml:space="preserve">華晶科          </t>
  </si>
  <si>
    <t xml:space="preserve">銘異            </t>
  </si>
  <si>
    <t xml:space="preserve">建漢            </t>
  </si>
  <si>
    <t xml:space="preserve">日電貿          </t>
  </si>
  <si>
    <t xml:space="preserve">聯傑            </t>
  </si>
  <si>
    <t xml:space="preserve">一零四          </t>
  </si>
  <si>
    <t xml:space="preserve">正達            </t>
  </si>
  <si>
    <t xml:space="preserve">景岳            </t>
  </si>
  <si>
    <t xml:space="preserve">大量            </t>
  </si>
  <si>
    <t xml:space="preserve">景碩            </t>
  </si>
  <si>
    <t xml:space="preserve">全科            </t>
  </si>
  <si>
    <t xml:space="preserve">晟鈦            </t>
  </si>
  <si>
    <t xml:space="preserve">緯創            </t>
  </si>
  <si>
    <t xml:space="preserve">虹冠電          </t>
  </si>
  <si>
    <t xml:space="preserve">昇陽            </t>
  </si>
  <si>
    <t xml:space="preserve">勝德            </t>
  </si>
  <si>
    <t xml:space="preserve">昇貿            </t>
  </si>
  <si>
    <t xml:space="preserve">聯德            </t>
  </si>
  <si>
    <t xml:space="preserve">閎暉            </t>
  </si>
  <si>
    <t xml:space="preserve">弘憶股          </t>
  </si>
  <si>
    <t xml:space="preserve">宣昶            </t>
  </si>
  <si>
    <t xml:space="preserve">泰碩            </t>
  </si>
  <si>
    <t xml:space="preserve">奇偶            </t>
  </si>
  <si>
    <t xml:space="preserve">新日興          </t>
  </si>
  <si>
    <t xml:space="preserve">明泰            </t>
  </si>
  <si>
    <t xml:space="preserve">新世紀          </t>
  </si>
  <si>
    <t xml:space="preserve">玉晶光          </t>
  </si>
  <si>
    <t xml:space="preserve">京鼎            </t>
  </si>
  <si>
    <t xml:space="preserve">融程電          </t>
  </si>
  <si>
    <t xml:space="preserve">譁裕            </t>
  </si>
  <si>
    <t xml:space="preserve">台端            </t>
  </si>
  <si>
    <t xml:space="preserve">榮創            </t>
  </si>
  <si>
    <t xml:space="preserve">創意            </t>
  </si>
  <si>
    <t xml:space="preserve">聯鈞            </t>
  </si>
  <si>
    <t xml:space="preserve">晶睿            </t>
  </si>
  <si>
    <t xml:space="preserve">華亞科          </t>
  </si>
  <si>
    <t xml:space="preserve">群創            </t>
  </si>
  <si>
    <t xml:space="preserve">誠研            </t>
  </si>
  <si>
    <t xml:space="preserve">維熹            </t>
  </si>
  <si>
    <t xml:space="preserve">揚明光          </t>
  </si>
  <si>
    <t xml:space="preserve">昱晶            </t>
  </si>
  <si>
    <t xml:space="preserve">華擎            </t>
  </si>
  <si>
    <t xml:space="preserve">柏騰            </t>
  </si>
  <si>
    <t xml:space="preserve">綠能            </t>
  </si>
  <si>
    <t xml:space="preserve">台勝科          </t>
  </si>
  <si>
    <t xml:space="preserve">嘉澤            </t>
  </si>
  <si>
    <t xml:space="preserve">晶彩科          </t>
  </si>
  <si>
    <t xml:space="preserve">誠創            </t>
  </si>
  <si>
    <t xml:space="preserve">敦泰            </t>
  </si>
  <si>
    <t xml:space="preserve">聯穎            </t>
  </si>
  <si>
    <t xml:space="preserve">嘉威            </t>
  </si>
  <si>
    <t xml:space="preserve">全智科          </t>
  </si>
  <si>
    <t xml:space="preserve">昇陽科          </t>
  </si>
  <si>
    <t xml:space="preserve">穎台            </t>
  </si>
  <si>
    <t xml:space="preserve">新日光          </t>
  </si>
  <si>
    <t xml:space="preserve">尚志            </t>
  </si>
  <si>
    <t xml:space="preserve">辛耘            </t>
  </si>
  <si>
    <t xml:space="preserve">介面            </t>
  </si>
  <si>
    <t xml:space="preserve">通嘉            </t>
  </si>
  <si>
    <t xml:space="preserve">艾笛森          </t>
  </si>
  <si>
    <t xml:space="preserve">力銘            </t>
  </si>
  <si>
    <t xml:space="preserve">智易            </t>
  </si>
  <si>
    <t xml:space="preserve">奕力            </t>
  </si>
  <si>
    <t xml:space="preserve">宏致            </t>
  </si>
  <si>
    <t xml:space="preserve">谷崧            </t>
  </si>
  <si>
    <t xml:space="preserve">碩天            </t>
  </si>
  <si>
    <t xml:space="preserve">洋華            </t>
  </si>
  <si>
    <t xml:space="preserve">達邁            </t>
  </si>
  <si>
    <t xml:space="preserve">健策            </t>
  </si>
  <si>
    <t xml:space="preserve">F-世芯          </t>
  </si>
  <si>
    <t xml:space="preserve">F-貿聯          </t>
  </si>
  <si>
    <t xml:space="preserve">圓展            </t>
  </si>
  <si>
    <t xml:space="preserve">F-TPK           </t>
  </si>
  <si>
    <t xml:space="preserve">新至陞          </t>
  </si>
  <si>
    <t xml:space="preserve">亞太電          </t>
  </si>
  <si>
    <t xml:space="preserve">達能            </t>
  </si>
  <si>
    <t xml:space="preserve">海華            </t>
  </si>
  <si>
    <t xml:space="preserve">隆達            </t>
  </si>
  <si>
    <t xml:space="preserve">大眾控          </t>
  </si>
  <si>
    <t xml:space="preserve">大聯大          </t>
  </si>
  <si>
    <t xml:space="preserve">欣陸            </t>
  </si>
  <si>
    <t xml:space="preserve">合勤控          </t>
  </si>
  <si>
    <t xml:space="preserve">永信            </t>
  </si>
  <si>
    <t xml:space="preserve">神達            </t>
  </si>
  <si>
    <t xml:space="preserve">佳醫            </t>
  </si>
  <si>
    <t xml:space="preserve">雃博            </t>
  </si>
  <si>
    <t xml:space="preserve">懷特            </t>
  </si>
  <si>
    <t xml:space="preserve">旭富            </t>
  </si>
  <si>
    <t xml:space="preserve">亞諾法          </t>
  </si>
  <si>
    <t xml:space="preserve">F-麗豐          </t>
  </si>
  <si>
    <t xml:space="preserve">F-龍燈          </t>
  </si>
  <si>
    <t xml:space="preserve">國光生          </t>
  </si>
  <si>
    <t xml:space="preserve">F-康聯          </t>
  </si>
  <si>
    <t xml:space="preserve">承業醫          </t>
  </si>
  <si>
    <t xml:space="preserve">炎洲            </t>
  </si>
  <si>
    <t xml:space="preserve">如興            </t>
  </si>
  <si>
    <t xml:space="preserve">利勤            </t>
  </si>
  <si>
    <t xml:space="preserve">東台            </t>
  </si>
  <si>
    <t xml:space="preserve">瑞智            </t>
  </si>
  <si>
    <t xml:space="preserve">拓凱            </t>
  </si>
  <si>
    <t xml:space="preserve">智伸科          </t>
  </si>
  <si>
    <t xml:space="preserve">F-永新          </t>
  </si>
  <si>
    <t xml:space="preserve">德淵            </t>
  </si>
  <si>
    <t xml:space="preserve">國精化          </t>
  </si>
  <si>
    <t xml:space="preserve">信昌化          </t>
  </si>
  <si>
    <t xml:space="preserve">上緯            </t>
  </si>
  <si>
    <t xml:space="preserve">華廣            </t>
  </si>
  <si>
    <t xml:space="preserve">台耀            </t>
  </si>
  <si>
    <t xml:space="preserve">三福化          </t>
  </si>
  <si>
    <t xml:space="preserve">遠傳            </t>
  </si>
  <si>
    <t xml:space="preserve">正文            </t>
  </si>
  <si>
    <t xml:space="preserve">F-聯德          </t>
  </si>
  <si>
    <t xml:space="preserve">致伸            </t>
  </si>
  <si>
    <t xml:space="preserve">事欣科          </t>
  </si>
  <si>
    <t xml:space="preserve">新唐            </t>
  </si>
  <si>
    <t xml:space="preserve">F-泰鼎          </t>
  </si>
  <si>
    <t xml:space="preserve">燦星網          </t>
  </si>
  <si>
    <t xml:space="preserve">太極            </t>
  </si>
  <si>
    <t xml:space="preserve">F-茂林          </t>
  </si>
  <si>
    <t xml:space="preserve">和碩            </t>
  </si>
  <si>
    <t xml:space="preserve">嘉彰            </t>
  </si>
  <si>
    <t xml:space="preserve">凌通            </t>
  </si>
  <si>
    <t xml:space="preserve">光鋐            </t>
  </si>
  <si>
    <t xml:space="preserve">F-臻鼎          </t>
  </si>
  <si>
    <t xml:space="preserve">奇美材          </t>
  </si>
  <si>
    <t xml:space="preserve">佳凌            </t>
  </si>
  <si>
    <t xml:space="preserve">F-眾達          </t>
  </si>
  <si>
    <t xml:space="preserve">F-科納          </t>
  </si>
  <si>
    <t xml:space="preserve">傳奇            </t>
  </si>
  <si>
    <t xml:space="preserve">鑫禾            </t>
  </si>
  <si>
    <t xml:space="preserve">三星            </t>
  </si>
  <si>
    <t xml:space="preserve">訊連            </t>
  </si>
  <si>
    <t xml:space="preserve">F-科嘉          </t>
  </si>
  <si>
    <t xml:space="preserve">F-東科          </t>
  </si>
  <si>
    <t xml:space="preserve">達興            </t>
  </si>
  <si>
    <t xml:space="preserve">F-乙盛          </t>
  </si>
  <si>
    <t xml:space="preserve">清惠            </t>
  </si>
  <si>
    <t xml:space="preserve">F-鎧勝          </t>
  </si>
  <si>
    <t xml:space="preserve">祥碩            </t>
  </si>
  <si>
    <t xml:space="preserve">界霖            </t>
  </si>
  <si>
    <t xml:space="preserve">F-豐祥          </t>
  </si>
  <si>
    <t xml:space="preserve">敦南            </t>
  </si>
  <si>
    <t xml:space="preserve">中磊            </t>
  </si>
  <si>
    <t xml:space="preserve">崇越            </t>
  </si>
  <si>
    <t xml:space="preserve">瀚宇博          </t>
  </si>
  <si>
    <t xml:space="preserve">松翰            </t>
  </si>
  <si>
    <t xml:space="preserve">慧友            </t>
  </si>
  <si>
    <t xml:space="preserve">建國            </t>
  </si>
  <si>
    <t xml:space="preserve">隆大            </t>
  </si>
  <si>
    <t xml:space="preserve">工信            </t>
  </si>
  <si>
    <t xml:space="preserve">遠雄            </t>
  </si>
  <si>
    <t xml:space="preserve">順天            </t>
  </si>
  <si>
    <t xml:space="preserve">鄉林            </t>
  </si>
  <si>
    <t xml:space="preserve">皇鼎            </t>
  </si>
  <si>
    <t xml:space="preserve">長虹            </t>
  </si>
  <si>
    <t xml:space="preserve">F-東明          </t>
  </si>
  <si>
    <t xml:space="preserve">遠雄港          </t>
  </si>
  <si>
    <t xml:space="preserve">四維航          </t>
  </si>
  <si>
    <t xml:space="preserve">鳳凰            </t>
  </si>
  <si>
    <t xml:space="preserve">F-中租          </t>
  </si>
  <si>
    <t xml:space="preserve">合庫金          </t>
  </si>
  <si>
    <t xml:space="preserve">F-台南          </t>
  </si>
  <si>
    <t xml:space="preserve">F-大洋          </t>
  </si>
  <si>
    <t xml:space="preserve">群益證          </t>
  </si>
  <si>
    <t xml:space="preserve">競國            </t>
  </si>
  <si>
    <t xml:space="preserve">聚碩            </t>
  </si>
  <si>
    <t xml:space="preserve">鎰勝            </t>
  </si>
  <si>
    <t xml:space="preserve">彩晶            </t>
  </si>
  <si>
    <t xml:space="preserve">迎廣            </t>
  </si>
  <si>
    <t xml:space="preserve">達運            </t>
  </si>
  <si>
    <t xml:space="preserve">上福            </t>
  </si>
  <si>
    <t xml:space="preserve">悠克            </t>
  </si>
  <si>
    <t xml:space="preserve">金橋            </t>
  </si>
  <si>
    <t xml:space="preserve">富爾特          </t>
  </si>
  <si>
    <t xml:space="preserve">亞翔            </t>
  </si>
  <si>
    <t xml:space="preserve">柏承            </t>
  </si>
  <si>
    <t xml:space="preserve">友勁            </t>
  </si>
  <si>
    <t xml:space="preserve">勁永            </t>
  </si>
  <si>
    <t xml:space="preserve">百一            </t>
  </si>
  <si>
    <t xml:space="preserve">嘉聯益          </t>
  </si>
  <si>
    <t xml:space="preserve">鈞寶            </t>
  </si>
  <si>
    <t xml:space="preserve">華興            </t>
  </si>
  <si>
    <t xml:space="preserve">捷泰            </t>
  </si>
  <si>
    <t xml:space="preserve">凌華            </t>
  </si>
  <si>
    <t xml:space="preserve">宏齊            </t>
  </si>
  <si>
    <t xml:space="preserve">互億            </t>
  </si>
  <si>
    <t xml:space="preserve">瑞儀            </t>
  </si>
  <si>
    <t xml:space="preserve">達麗            </t>
  </si>
  <si>
    <t xml:space="preserve">關貿            </t>
  </si>
  <si>
    <t xml:space="preserve">大豐電          </t>
  </si>
  <si>
    <t xml:space="preserve">豐藝            </t>
  </si>
  <si>
    <t xml:space="preserve">精成科          </t>
  </si>
  <si>
    <t xml:space="preserve">巨路            </t>
  </si>
  <si>
    <t xml:space="preserve">帆宣            </t>
  </si>
  <si>
    <t xml:space="preserve">佳必琪          </t>
  </si>
  <si>
    <t xml:space="preserve">亞弘電          </t>
  </si>
  <si>
    <t xml:space="preserve">盛群            </t>
  </si>
  <si>
    <t xml:space="preserve">詮欣            </t>
  </si>
  <si>
    <t xml:space="preserve">飛捷            </t>
  </si>
  <si>
    <t xml:space="preserve">今國光          </t>
  </si>
  <si>
    <t xml:space="preserve">聯茂            </t>
  </si>
  <si>
    <t xml:space="preserve">精誠            </t>
  </si>
  <si>
    <t xml:space="preserve">和椿            </t>
  </si>
  <si>
    <t xml:space="preserve">居易            </t>
  </si>
  <si>
    <t xml:space="preserve">聚鼎            </t>
  </si>
  <si>
    <t xml:space="preserve">天瀚            </t>
  </si>
  <si>
    <t xml:space="preserve">光鼎            </t>
  </si>
  <si>
    <t xml:space="preserve">超眾            </t>
  </si>
  <si>
    <t xml:space="preserve">華孚            </t>
  </si>
  <si>
    <t xml:space="preserve">力成            </t>
  </si>
  <si>
    <t xml:space="preserve">迅杰            </t>
  </si>
  <si>
    <t xml:space="preserve">定穎            </t>
  </si>
  <si>
    <t xml:space="preserve">矽格            </t>
  </si>
  <si>
    <t xml:space="preserve">台郡            </t>
  </si>
  <si>
    <t xml:space="preserve">同欣電          </t>
  </si>
  <si>
    <t xml:space="preserve">宏正            </t>
  </si>
  <si>
    <t xml:space="preserve">台表科          </t>
  </si>
  <si>
    <t xml:space="preserve">全國電          </t>
  </si>
  <si>
    <t xml:space="preserve">康舒            </t>
  </si>
  <si>
    <t xml:space="preserve">淳安            </t>
  </si>
  <si>
    <t xml:space="preserve">啟碁            </t>
  </si>
  <si>
    <t xml:space="preserve">立錡            </t>
  </si>
  <si>
    <t xml:space="preserve">華上            </t>
  </si>
  <si>
    <t xml:space="preserve">悅城            </t>
  </si>
  <si>
    <t xml:space="preserve">旭隼            </t>
  </si>
  <si>
    <t xml:space="preserve">群電            </t>
  </si>
  <si>
    <t xml:space="preserve">樺漢            </t>
  </si>
  <si>
    <t xml:space="preserve">F-矽力          </t>
  </si>
  <si>
    <t xml:space="preserve">F-君耀          </t>
  </si>
  <si>
    <t xml:space="preserve">F-光麗          </t>
  </si>
  <si>
    <t xml:space="preserve">光聖            </t>
  </si>
  <si>
    <t xml:space="preserve">元晶            </t>
  </si>
  <si>
    <t xml:space="preserve">鈺邦            </t>
  </si>
  <si>
    <t xml:space="preserve">F-訊芯          </t>
  </si>
  <si>
    <t xml:space="preserve">F-康友          </t>
  </si>
  <si>
    <t xml:space="preserve">F-GIS           </t>
  </si>
  <si>
    <t xml:space="preserve">南六            </t>
  </si>
  <si>
    <t xml:space="preserve">台塑化          </t>
  </si>
  <si>
    <t xml:space="preserve">帝寶            </t>
  </si>
  <si>
    <t xml:space="preserve">興航            </t>
  </si>
  <si>
    <t xml:space="preserve">台通            </t>
  </si>
  <si>
    <t xml:space="preserve">矽創            </t>
  </si>
  <si>
    <t xml:space="preserve">尖點            </t>
  </si>
  <si>
    <t xml:space="preserve">雷虎            </t>
  </si>
  <si>
    <t xml:space="preserve">台虹            </t>
  </si>
  <si>
    <t xml:space="preserve">南電            </t>
  </si>
  <si>
    <t xml:space="preserve">長華            </t>
  </si>
  <si>
    <t xml:space="preserve">陞泰            </t>
  </si>
  <si>
    <t xml:space="preserve">致新            </t>
  </si>
  <si>
    <t xml:space="preserve">華冠            </t>
  </si>
  <si>
    <t xml:space="preserve">瀚荃            </t>
  </si>
  <si>
    <t xml:space="preserve">凌巨            </t>
  </si>
  <si>
    <t xml:space="preserve">華東            </t>
  </si>
  <si>
    <t xml:space="preserve">至上            </t>
  </si>
  <si>
    <t xml:space="preserve">振樺電          </t>
  </si>
  <si>
    <t xml:space="preserve">福懋科          </t>
  </si>
  <si>
    <t xml:space="preserve">南茂            </t>
  </si>
  <si>
    <t xml:space="preserve">達方            </t>
  </si>
  <si>
    <t xml:space="preserve">無敵            </t>
  </si>
  <si>
    <t xml:space="preserve">勤誠            </t>
  </si>
  <si>
    <t xml:space="preserve">志超            </t>
  </si>
  <si>
    <t xml:space="preserve">明基材          </t>
  </si>
  <si>
    <t xml:space="preserve">寶一            </t>
  </si>
  <si>
    <t xml:space="preserve">菱光            </t>
  </si>
  <si>
    <t xml:space="preserve">富鼎            </t>
  </si>
  <si>
    <t xml:space="preserve">宇瞻            </t>
  </si>
  <si>
    <t xml:space="preserve">日友            </t>
  </si>
  <si>
    <t xml:space="preserve">羅昇            </t>
  </si>
  <si>
    <t xml:space="preserve">F-百和          </t>
  </si>
  <si>
    <t xml:space="preserve">F-福貞          </t>
  </si>
  <si>
    <t xml:space="preserve">可寧衛          </t>
  </si>
  <si>
    <t xml:space="preserve">F-基勝          </t>
  </si>
  <si>
    <t xml:space="preserve">F-金麗          </t>
  </si>
  <si>
    <t xml:space="preserve">阿瘦            </t>
  </si>
  <si>
    <t xml:space="preserve">富邦媒          </t>
  </si>
  <si>
    <t xml:space="preserve">潤泰材          </t>
  </si>
  <si>
    <t xml:space="preserve">台汽電          </t>
  </si>
  <si>
    <t xml:space="preserve">新天地          </t>
  </si>
  <si>
    <t xml:space="preserve">高力            </t>
  </si>
  <si>
    <t xml:space="preserve">美德醫          </t>
  </si>
  <si>
    <t xml:space="preserve">康師傅          </t>
  </si>
  <si>
    <t xml:space="preserve">聖馬丁          </t>
  </si>
  <si>
    <t xml:space="preserve">泰金寶          </t>
  </si>
  <si>
    <t xml:space="preserve">新焦點          </t>
  </si>
  <si>
    <t xml:space="preserve">恒大健          </t>
  </si>
  <si>
    <t xml:space="preserve">金衛            </t>
  </si>
  <si>
    <t xml:space="preserve">神州            </t>
  </si>
  <si>
    <t xml:space="preserve">越南控          </t>
  </si>
  <si>
    <t xml:space="preserve">明輝            </t>
  </si>
  <si>
    <t xml:space="preserve">中泰山          </t>
  </si>
  <si>
    <t xml:space="preserve">滬安            </t>
  </si>
  <si>
    <t xml:space="preserve">杜康            </t>
  </si>
  <si>
    <t xml:space="preserve">耀傑            </t>
  </si>
  <si>
    <t xml:space="preserve">泰聚亨          </t>
  </si>
  <si>
    <t xml:space="preserve">MSH             </t>
  </si>
  <si>
    <t xml:space="preserve">同方友          </t>
  </si>
  <si>
    <t xml:space="preserve">晨訊科          </t>
  </si>
  <si>
    <t xml:space="preserve">友佳            </t>
  </si>
  <si>
    <t xml:space="preserve">巨騰            </t>
  </si>
  <si>
    <t xml:space="preserve">大成糖          </t>
  </si>
  <si>
    <t xml:space="preserve">陽光能          </t>
  </si>
  <si>
    <t xml:space="preserve">精熙            </t>
  </si>
  <si>
    <t xml:space="preserve">F-鈺齊          </t>
  </si>
  <si>
    <t xml:space="preserve">台火            </t>
  </si>
  <si>
    <t xml:space="preserve">寶成            </t>
  </si>
  <si>
    <t xml:space="preserve">大華            </t>
  </si>
  <si>
    <t xml:space="preserve">欣巴巴          </t>
  </si>
  <si>
    <t xml:space="preserve">統一實          </t>
  </si>
  <si>
    <t xml:space="preserve">大台北          </t>
  </si>
  <si>
    <t xml:space="preserve">豐泰            </t>
  </si>
  <si>
    <t xml:space="preserve">櫻花            </t>
  </si>
  <si>
    <t xml:space="preserve">偉聯            </t>
  </si>
  <si>
    <t xml:space="preserve">美利達          </t>
  </si>
  <si>
    <t xml:space="preserve">中保            </t>
  </si>
  <si>
    <t xml:space="preserve">欣天然          </t>
  </si>
  <si>
    <t xml:space="preserve">康那香          </t>
  </si>
  <si>
    <t xml:space="preserve">巨大            </t>
  </si>
  <si>
    <t xml:space="preserve">福興            </t>
  </si>
  <si>
    <t xml:space="preserve">新保            </t>
  </si>
  <si>
    <t xml:space="preserve">新海            </t>
  </si>
  <si>
    <t xml:space="preserve">泰銘            </t>
  </si>
  <si>
    <t xml:space="preserve">中視            </t>
  </si>
  <si>
    <t xml:space="preserve">秋雨            </t>
  </si>
  <si>
    <t xml:space="preserve">中聯資          </t>
  </si>
  <si>
    <t xml:space="preserve">欣高            </t>
  </si>
  <si>
    <t xml:space="preserve">中鼎            </t>
  </si>
  <si>
    <t xml:space="preserve">成霖            </t>
  </si>
  <si>
    <t xml:space="preserve">慶豐富          </t>
  </si>
  <si>
    <t xml:space="preserve">全國            </t>
  </si>
  <si>
    <t xml:space="preserve">百和            </t>
  </si>
  <si>
    <t xml:space="preserve">宏全            </t>
  </si>
  <si>
    <t xml:space="preserve">信義            </t>
  </si>
  <si>
    <t xml:space="preserve">裕融            </t>
  </si>
  <si>
    <t xml:space="preserve">茂順            </t>
  </si>
  <si>
    <t xml:space="preserve">好樂迪          </t>
  </si>
  <si>
    <t xml:space="preserve">新麗            </t>
  </si>
  <si>
    <t xml:space="preserve">潤泰新          </t>
  </si>
  <si>
    <t xml:space="preserve">三發            </t>
  </si>
  <si>
    <t xml:space="preserve">佳龍            </t>
  </si>
  <si>
    <t xml:space="preserve">世紀鋼          </t>
  </si>
  <si>
    <t>寶富櫃</t>
  </si>
  <si>
    <t>F-鮮活</t>
  </si>
  <si>
    <t>F-其祥</t>
  </si>
  <si>
    <t>精華</t>
  </si>
  <si>
    <t>力肯</t>
  </si>
  <si>
    <t>新麥</t>
  </si>
  <si>
    <t>精剛</t>
  </si>
  <si>
    <t>和勤</t>
  </si>
  <si>
    <t>F-駿吉</t>
  </si>
  <si>
    <t>川寶</t>
  </si>
  <si>
    <t>宏佳騰</t>
  </si>
  <si>
    <t>合世</t>
  </si>
  <si>
    <t>訊聯</t>
  </si>
  <si>
    <t>光洋科</t>
  </si>
  <si>
    <t>杏昌</t>
  </si>
  <si>
    <t>美時</t>
  </si>
  <si>
    <t>富喬</t>
  </si>
  <si>
    <t>唐榮</t>
  </si>
  <si>
    <t>嘉鋼</t>
  </si>
  <si>
    <t>大甲</t>
  </si>
  <si>
    <t>綠意</t>
  </si>
  <si>
    <t>台驊</t>
  </si>
  <si>
    <t>大車隊</t>
  </si>
  <si>
    <t>正德</t>
  </si>
  <si>
    <t>F-富驛</t>
  </si>
  <si>
    <t>F-雅茗</t>
  </si>
  <si>
    <t>瓦城</t>
  </si>
  <si>
    <t>六角</t>
  </si>
  <si>
    <t>滿心</t>
  </si>
  <si>
    <t>F-東凌</t>
  </si>
  <si>
    <t>誠品生</t>
  </si>
  <si>
    <t>泰偉</t>
  </si>
  <si>
    <t>李洲</t>
  </si>
  <si>
    <t>協禧</t>
  </si>
  <si>
    <t>普格</t>
  </si>
  <si>
    <t>僑威</t>
  </si>
  <si>
    <t>聯亞</t>
  </si>
  <si>
    <t>網龍</t>
  </si>
  <si>
    <t>華義</t>
  </si>
  <si>
    <t>好德</t>
  </si>
  <si>
    <t>寶島極</t>
  </si>
  <si>
    <t>進階</t>
  </si>
  <si>
    <t>笙泉</t>
  </si>
  <si>
    <t>昇銳</t>
  </si>
  <si>
    <t>弘塑</t>
  </si>
  <si>
    <t>璟德</t>
  </si>
  <si>
    <t>精確</t>
  </si>
  <si>
    <t>亞信</t>
  </si>
  <si>
    <t>新洲</t>
  </si>
  <si>
    <t>和進</t>
  </si>
  <si>
    <t>樺晟</t>
  </si>
  <si>
    <t>志豐</t>
  </si>
  <si>
    <t>順達</t>
  </si>
  <si>
    <t>茂訊</t>
  </si>
  <si>
    <t>優群</t>
  </si>
  <si>
    <t>倚強</t>
  </si>
  <si>
    <t>台嘉碩</t>
  </si>
  <si>
    <t>三顧</t>
  </si>
  <si>
    <t>錦明</t>
  </si>
  <si>
    <t>鑫創</t>
  </si>
  <si>
    <t>威剛</t>
  </si>
  <si>
    <t>欣銓</t>
  </si>
  <si>
    <t>宇環</t>
  </si>
  <si>
    <t>廣寰科</t>
  </si>
  <si>
    <t>點晶</t>
  </si>
  <si>
    <t>宜特</t>
  </si>
  <si>
    <t>東浦</t>
  </si>
  <si>
    <t>鈊象</t>
  </si>
  <si>
    <t>鼎天</t>
  </si>
  <si>
    <t>佳穎</t>
  </si>
  <si>
    <t>尼克森</t>
  </si>
  <si>
    <t>建舜電</t>
  </si>
  <si>
    <t>雙鴻</t>
  </si>
  <si>
    <t>旭品</t>
  </si>
  <si>
    <t>泰谷</t>
  </si>
  <si>
    <t>律勝</t>
  </si>
  <si>
    <t>先進光</t>
  </si>
  <si>
    <t>彬台</t>
  </si>
  <si>
    <t>旭軟</t>
  </si>
  <si>
    <t>漢科</t>
  </si>
  <si>
    <t>長天</t>
  </si>
  <si>
    <t>類比科</t>
  </si>
  <si>
    <t>聯一光</t>
  </si>
  <si>
    <t>利機</t>
  </si>
  <si>
    <t>益通</t>
  </si>
  <si>
    <t>祥業</t>
  </si>
  <si>
    <t>安勤</t>
  </si>
  <si>
    <t>昇達科</t>
  </si>
  <si>
    <t>長盛</t>
  </si>
  <si>
    <t>陽程</t>
  </si>
  <si>
    <t>矽瑪</t>
  </si>
  <si>
    <t>能緹</t>
  </si>
  <si>
    <t>振維</t>
  </si>
  <si>
    <t>鴻翊</t>
  </si>
  <si>
    <t>迎輝</t>
  </si>
  <si>
    <t>凡甲</t>
  </si>
  <si>
    <t>安馳</t>
  </si>
  <si>
    <t>先益</t>
  </si>
  <si>
    <t>曜越</t>
  </si>
  <si>
    <t>西柏</t>
  </si>
  <si>
    <t>宇峻</t>
  </si>
  <si>
    <t>同致</t>
  </si>
  <si>
    <t>擎泰</t>
  </si>
  <si>
    <t>其陽</t>
  </si>
  <si>
    <t>逸昌</t>
  </si>
  <si>
    <t>大塚</t>
  </si>
  <si>
    <t>泓格</t>
  </si>
  <si>
    <t>友威科</t>
  </si>
  <si>
    <t>博磊</t>
  </si>
  <si>
    <t>閎康</t>
  </si>
  <si>
    <t>安可</t>
  </si>
  <si>
    <t>盈正</t>
  </si>
  <si>
    <t>卓韋</t>
  </si>
  <si>
    <t>研勤</t>
  </si>
  <si>
    <t>駿熠電</t>
  </si>
  <si>
    <t>艾恩特</t>
  </si>
  <si>
    <t>樂陞</t>
  </si>
  <si>
    <t>鑫科</t>
  </si>
  <si>
    <t>F-安瑞</t>
  </si>
  <si>
    <t>德微</t>
  </si>
  <si>
    <t>家登</t>
  </si>
  <si>
    <t>榮昌</t>
  </si>
  <si>
    <t>政翔</t>
  </si>
  <si>
    <t>湧德</t>
  </si>
  <si>
    <t>碩禾</t>
  </si>
  <si>
    <t>永日</t>
  </si>
  <si>
    <t>百略</t>
  </si>
  <si>
    <t>東洋</t>
  </si>
  <si>
    <t>邦特</t>
  </si>
  <si>
    <t>穆拉德</t>
  </si>
  <si>
    <t>濟生</t>
  </si>
  <si>
    <t>健喬</t>
  </si>
  <si>
    <t>優盛</t>
  </si>
  <si>
    <t>晟德</t>
  </si>
  <si>
    <t>天良</t>
  </si>
  <si>
    <t>中天</t>
  </si>
  <si>
    <t>聯合</t>
  </si>
  <si>
    <t>晶宇</t>
  </si>
  <si>
    <t>曜亞</t>
  </si>
  <si>
    <t>F-馬光</t>
  </si>
  <si>
    <t>F-康樂</t>
  </si>
  <si>
    <t>F*太景</t>
  </si>
  <si>
    <t>創源</t>
  </si>
  <si>
    <t>聿新科</t>
  </si>
  <si>
    <t>鐿鈦</t>
  </si>
  <si>
    <t>瑞基</t>
  </si>
  <si>
    <t>安成藥</t>
  </si>
  <si>
    <t>安克</t>
  </si>
  <si>
    <t>杏國</t>
  </si>
  <si>
    <t>中華食</t>
  </si>
  <si>
    <t>環泰</t>
  </si>
  <si>
    <t>信立</t>
  </si>
  <si>
    <t>世坤</t>
  </si>
  <si>
    <t>東隆興</t>
  </si>
  <si>
    <t>新昕纖</t>
  </si>
  <si>
    <t>飛寶</t>
  </si>
  <si>
    <t>台原藥</t>
  </si>
  <si>
    <t>金洲</t>
  </si>
  <si>
    <t>松懋</t>
  </si>
  <si>
    <t>光明</t>
  </si>
  <si>
    <t>耀億</t>
  </si>
  <si>
    <t>銘旺實</t>
  </si>
  <si>
    <t>興采</t>
  </si>
  <si>
    <t>源恆</t>
  </si>
  <si>
    <t>高鋒</t>
  </si>
  <si>
    <t>福裕</t>
  </si>
  <si>
    <t>永彰</t>
  </si>
  <si>
    <t>方土霖</t>
  </si>
  <si>
    <t>江興鍛</t>
  </si>
  <si>
    <t>昶洧</t>
  </si>
  <si>
    <t>宏易</t>
  </si>
  <si>
    <t>協易機</t>
  </si>
  <si>
    <t>慶騰</t>
  </si>
  <si>
    <t>至興</t>
  </si>
  <si>
    <t>晟田</t>
  </si>
  <si>
    <t>唐鋒</t>
  </si>
  <si>
    <t>大恭</t>
  </si>
  <si>
    <t>永純</t>
  </si>
  <si>
    <t>大立</t>
  </si>
  <si>
    <t>永昕</t>
  </si>
  <si>
    <t>豪展</t>
  </si>
  <si>
    <t>康普</t>
  </si>
  <si>
    <t>合一</t>
  </si>
  <si>
    <t>F-合富</t>
  </si>
  <si>
    <t>強生</t>
  </si>
  <si>
    <t>聯光通</t>
  </si>
  <si>
    <t>台聯電</t>
  </si>
  <si>
    <t>富宇</t>
  </si>
  <si>
    <t>前鼎</t>
  </si>
  <si>
    <t>F-欣厚</t>
  </si>
  <si>
    <t>兆遠</t>
  </si>
  <si>
    <t>辣椒</t>
  </si>
  <si>
    <t>F-昂寶</t>
  </si>
  <si>
    <t>緯軟</t>
  </si>
  <si>
    <t>F-譜瑞</t>
  </si>
  <si>
    <t>F-IET</t>
  </si>
  <si>
    <t>湯石</t>
  </si>
  <si>
    <t>廣穎</t>
  </si>
  <si>
    <t>科誠</t>
  </si>
  <si>
    <t>F-環宇</t>
  </si>
  <si>
    <t>晶達</t>
  </si>
  <si>
    <t>強新</t>
  </si>
  <si>
    <t>建錩</t>
  </si>
  <si>
    <t>松和</t>
  </si>
  <si>
    <t>凱衛</t>
  </si>
  <si>
    <t>力新</t>
  </si>
  <si>
    <t>漢康</t>
  </si>
  <si>
    <t>新鼎</t>
  </si>
  <si>
    <t>凌網</t>
  </si>
  <si>
    <t>亞昕</t>
  </si>
  <si>
    <t>F-立凱</t>
  </si>
  <si>
    <t>智崴</t>
  </si>
  <si>
    <t>F*AS</t>
  </si>
  <si>
    <t>信驊</t>
  </si>
  <si>
    <t>F-達輝</t>
  </si>
  <si>
    <t>F-jpp</t>
  </si>
  <si>
    <t>宜鼎</t>
  </si>
  <si>
    <t>桂盟</t>
  </si>
  <si>
    <t>系統電</t>
  </si>
  <si>
    <t>天剛</t>
  </si>
  <si>
    <t>世紀</t>
  </si>
  <si>
    <t>光聯</t>
  </si>
  <si>
    <t>友銓</t>
  </si>
  <si>
    <t>華容</t>
  </si>
  <si>
    <t>建榮</t>
  </si>
  <si>
    <t>立衛</t>
  </si>
  <si>
    <t>系通</t>
  </si>
  <si>
    <t>先豐</t>
  </si>
  <si>
    <t>鈺創</t>
  </si>
  <si>
    <t>台林</t>
  </si>
  <si>
    <t>協益</t>
  </si>
  <si>
    <t>合正</t>
  </si>
  <si>
    <t>金利</t>
  </si>
  <si>
    <t>青雲</t>
  </si>
  <si>
    <t>應華</t>
  </si>
  <si>
    <t>圓方</t>
  </si>
  <si>
    <t>國眾</t>
  </si>
  <si>
    <t>達威</t>
  </si>
  <si>
    <t>東友</t>
  </si>
  <si>
    <t>均豪</t>
  </si>
  <si>
    <t>同協</t>
  </si>
  <si>
    <t>霖宏</t>
  </si>
  <si>
    <t>聰泰</t>
  </si>
  <si>
    <t>德宏</t>
  </si>
  <si>
    <t>統盟</t>
  </si>
  <si>
    <t>華韡</t>
  </si>
  <si>
    <t>中美晶</t>
  </si>
  <si>
    <t>松普</t>
  </si>
  <si>
    <t>彩富</t>
  </si>
  <si>
    <t>連展</t>
  </si>
  <si>
    <t>三聯</t>
  </si>
  <si>
    <t>凱崴</t>
  </si>
  <si>
    <t>永信建</t>
  </si>
  <si>
    <t>德昌</t>
  </si>
  <si>
    <t>三豐</t>
  </si>
  <si>
    <t>雙喜</t>
  </si>
  <si>
    <t>力泰</t>
  </si>
  <si>
    <t>志嘉</t>
  </si>
  <si>
    <t>龍巖</t>
  </si>
  <si>
    <t>台聯櫃</t>
  </si>
  <si>
    <t>中連貨</t>
  </si>
  <si>
    <t>劍湖山</t>
  </si>
  <si>
    <t>亞都</t>
  </si>
  <si>
    <t>老爺知</t>
  </si>
  <si>
    <t>日盛金</t>
  </si>
  <si>
    <t>全家</t>
  </si>
  <si>
    <t>南仁湖</t>
  </si>
  <si>
    <t>宏遠證</t>
  </si>
  <si>
    <t>康和證</t>
  </si>
  <si>
    <t>大眾證</t>
  </si>
  <si>
    <t>元大期</t>
  </si>
  <si>
    <t>弘捷</t>
  </si>
  <si>
    <t>合邦</t>
  </si>
  <si>
    <t>創惟</t>
  </si>
  <si>
    <t>瑞傳</t>
  </si>
  <si>
    <t>華美</t>
  </si>
  <si>
    <t>亞元</t>
  </si>
  <si>
    <t>大宇資</t>
  </si>
  <si>
    <t>亞矽</t>
  </si>
  <si>
    <t>久威</t>
  </si>
  <si>
    <t>建達</t>
  </si>
  <si>
    <t>擎邦</t>
  </si>
  <si>
    <t>上奇</t>
  </si>
  <si>
    <t>業強</t>
  </si>
  <si>
    <t>信音</t>
  </si>
  <si>
    <t>九豪</t>
  </si>
  <si>
    <t>普誠</t>
  </si>
  <si>
    <t>萬旭</t>
  </si>
  <si>
    <t>茂達</t>
  </si>
  <si>
    <t>訊達</t>
  </si>
  <si>
    <t>振曜</t>
  </si>
  <si>
    <t>得利影</t>
  </si>
  <si>
    <t>頎邦</t>
  </si>
  <si>
    <t>驊宏資</t>
  </si>
  <si>
    <t>撼訊</t>
  </si>
  <si>
    <t>晉倫</t>
  </si>
  <si>
    <t>欣技</t>
  </si>
  <si>
    <t>久正</t>
  </si>
  <si>
    <t>昱泉</t>
  </si>
  <si>
    <t>信昌電</t>
  </si>
  <si>
    <t>安碁</t>
  </si>
  <si>
    <t>橘子</t>
  </si>
  <si>
    <t>幃翔</t>
  </si>
  <si>
    <t>萬潤</t>
  </si>
  <si>
    <t>廣明</t>
  </si>
  <si>
    <t>育富</t>
  </si>
  <si>
    <t>凌泰</t>
  </si>
  <si>
    <t>天品</t>
  </si>
  <si>
    <t>艾華</t>
  </si>
  <si>
    <t>日揚</t>
  </si>
  <si>
    <t>慶生</t>
  </si>
  <si>
    <t>福登</t>
  </si>
  <si>
    <t>中探針</t>
  </si>
  <si>
    <t>豪勉</t>
  </si>
  <si>
    <t>富旺</t>
  </si>
  <si>
    <t>上揚</t>
  </si>
  <si>
    <t>全譜</t>
  </si>
  <si>
    <t>旺玖</t>
  </si>
  <si>
    <t>勝麗</t>
  </si>
  <si>
    <t>松崗</t>
  </si>
  <si>
    <t>立康</t>
  </si>
  <si>
    <t>立端</t>
  </si>
  <si>
    <t>淇譽電</t>
  </si>
  <si>
    <t>普萊德</t>
  </si>
  <si>
    <t>泰詠</t>
  </si>
  <si>
    <t>倍微</t>
  </si>
  <si>
    <t>元山</t>
  </si>
  <si>
    <t>胡連</t>
  </si>
  <si>
    <t>佳邦</t>
  </si>
  <si>
    <t>元隆</t>
  </si>
  <si>
    <t>良維</t>
  </si>
  <si>
    <t>迅德</t>
  </si>
  <si>
    <t>智基</t>
  </si>
  <si>
    <t>崴強</t>
  </si>
  <si>
    <t>F-通訊</t>
  </si>
  <si>
    <t>京晨科</t>
  </si>
  <si>
    <t>今展科</t>
  </si>
  <si>
    <t>紘康</t>
  </si>
  <si>
    <t>環球晶</t>
  </si>
  <si>
    <t>雙邦</t>
  </si>
  <si>
    <t>崑鼎</t>
  </si>
  <si>
    <t>鈦昇</t>
  </si>
  <si>
    <t>光菱</t>
  </si>
  <si>
    <t>榮群</t>
  </si>
  <si>
    <t>九暘</t>
  </si>
  <si>
    <t>金山電</t>
  </si>
  <si>
    <t>蜜望實</t>
  </si>
  <si>
    <t>網家</t>
  </si>
  <si>
    <t>星雲</t>
  </si>
  <si>
    <t>德勝</t>
  </si>
  <si>
    <t>晶采</t>
  </si>
  <si>
    <t>廣積</t>
  </si>
  <si>
    <t>巨擘</t>
  </si>
  <si>
    <t>凱碩</t>
  </si>
  <si>
    <t>來思達</t>
  </si>
  <si>
    <t>志旭</t>
  </si>
  <si>
    <t>元太</t>
  </si>
  <si>
    <t>鉅橡</t>
  </si>
  <si>
    <t>伍豐</t>
  </si>
  <si>
    <t>洛碁</t>
  </si>
  <si>
    <t>誠遠</t>
  </si>
  <si>
    <t>巨虹</t>
  </si>
  <si>
    <t>宏捷科</t>
  </si>
  <si>
    <t>翔名</t>
  </si>
  <si>
    <t>建暐</t>
  </si>
  <si>
    <t>保銳</t>
  </si>
  <si>
    <t>擎亞</t>
  </si>
  <si>
    <t>常珵</t>
  </si>
  <si>
    <t>大世科</t>
  </si>
  <si>
    <t>博大</t>
  </si>
  <si>
    <t>立碁</t>
  </si>
  <si>
    <t>越峰</t>
  </si>
  <si>
    <t>正淩</t>
  </si>
  <si>
    <t>博智</t>
  </si>
  <si>
    <t>天宇</t>
  </si>
  <si>
    <t>智捷</t>
  </si>
  <si>
    <t>加高</t>
  </si>
  <si>
    <t>精星</t>
  </si>
  <si>
    <t>華宏</t>
  </si>
  <si>
    <t>朋程</t>
  </si>
  <si>
    <t>中日新</t>
  </si>
  <si>
    <t>商丞</t>
  </si>
  <si>
    <t>英格爾</t>
  </si>
  <si>
    <t>泰藝</t>
  </si>
  <si>
    <t>尚茂</t>
  </si>
  <si>
    <t>群聯</t>
  </si>
  <si>
    <t>恒耀</t>
  </si>
  <si>
    <t>冠好</t>
  </si>
  <si>
    <t>金居</t>
  </si>
  <si>
    <t>金益鼎</t>
  </si>
  <si>
    <t>白紗科</t>
  </si>
  <si>
    <t>盛弘</t>
  </si>
  <si>
    <t>F-金可</t>
  </si>
  <si>
    <t>商之器</t>
  </si>
  <si>
    <t>F-必勝</t>
  </si>
  <si>
    <t>F-保綠</t>
  </si>
  <si>
    <t>F-紅木</t>
  </si>
  <si>
    <t>大江</t>
  </si>
  <si>
    <t>F-大地</t>
  </si>
  <si>
    <t>華研</t>
  </si>
  <si>
    <t>裕國</t>
  </si>
  <si>
    <t>花王</t>
  </si>
  <si>
    <t>沈氏</t>
  </si>
  <si>
    <t>時報</t>
  </si>
  <si>
    <t>大田</t>
  </si>
  <si>
    <t>偉盟</t>
  </si>
  <si>
    <t>大汽電</t>
  </si>
  <si>
    <t>宏大</t>
  </si>
  <si>
    <t>愛地雅</t>
  </si>
  <si>
    <t>衡平</t>
  </si>
  <si>
    <t>國統</t>
  </si>
  <si>
    <t>合騏</t>
  </si>
  <si>
    <t>森鉅</t>
  </si>
  <si>
    <t>特藝</t>
  </si>
  <si>
    <t>萬國通</t>
  </si>
  <si>
    <t>皇田</t>
  </si>
  <si>
    <t>有益</t>
  </si>
  <si>
    <t xml:space="preserve">信大            </t>
  </si>
  <si>
    <t xml:space="preserve">華紙            </t>
  </si>
  <si>
    <t xml:space="preserve">立隆電          </t>
  </si>
  <si>
    <t xml:space="preserve">台壽保          </t>
  </si>
  <si>
    <t xml:space="preserve">2833A </t>
  </si>
  <si>
    <t xml:space="preserve">台壽甲          </t>
  </si>
  <si>
    <t xml:space="preserve">全漢            </t>
  </si>
  <si>
    <t>紅電醫</t>
  </si>
  <si>
    <t>F-泰鼎</t>
  </si>
  <si>
    <t>中菲</t>
  </si>
  <si>
    <t>翔昇</t>
  </si>
  <si>
    <t>松上</t>
  </si>
  <si>
    <t>精威</t>
  </si>
  <si>
    <t>冠華</t>
  </si>
  <si>
    <t>%</t>
  </si>
  <si>
    <t>圖例&amp;說明</t>
    <phoneticPr fontId="2" type="noConversion"/>
  </si>
  <si>
    <t>營業活動現金  與  負債比</t>
    <phoneticPr fontId="2" type="noConversion"/>
  </si>
  <si>
    <t>每股盈餘</t>
    <phoneticPr fontId="2" type="noConversion"/>
  </si>
  <si>
    <t>每股資本支出</t>
    <phoneticPr fontId="2" type="noConversion"/>
  </si>
  <si>
    <t>資本支出  與  折舊率</t>
    <phoneticPr fontId="2" type="noConversion"/>
  </si>
  <si>
    <t>股名</t>
    <phoneticPr fontId="2" type="noConversion"/>
  </si>
  <si>
    <t>推估EPS</t>
    <phoneticPr fontId="2" type="noConversion"/>
  </si>
  <si>
    <t>PE</t>
    <phoneticPr fontId="2" type="noConversion"/>
  </si>
  <si>
    <t>PRICE</t>
    <phoneticPr fontId="2" type="noConversion"/>
  </si>
  <si>
    <t xml:space="preserve">F-佐登          </t>
  </si>
  <si>
    <t>重點說明</t>
    <phoneticPr fontId="2" type="noConversion"/>
  </si>
  <si>
    <t>系統日期</t>
    <phoneticPr fontId="2" type="noConversion"/>
  </si>
  <si>
    <t>集保日期</t>
    <phoneticPr fontId="19" type="noConversion"/>
  </si>
  <si>
    <r>
      <rPr>
        <b/>
        <sz val="16"/>
        <color rgb="FF00B0F0"/>
        <rFont val="微軟正黑體"/>
        <family val="2"/>
        <charset val="136"/>
      </rPr>
      <t>營收</t>
    </r>
    <r>
      <rPr>
        <b/>
        <sz val="16"/>
        <color theme="0"/>
        <rFont val="微軟正黑體"/>
        <family val="2"/>
        <charset val="136"/>
      </rPr>
      <t>/</t>
    </r>
    <r>
      <rPr>
        <b/>
        <sz val="16"/>
        <color rgb="FFFF0000"/>
        <rFont val="微軟正黑體"/>
        <family val="2"/>
        <charset val="136"/>
      </rPr>
      <t>毛利率</t>
    </r>
    <r>
      <rPr>
        <b/>
        <sz val="16"/>
        <color theme="0"/>
        <rFont val="微軟正黑體"/>
        <family val="2"/>
        <charset val="136"/>
      </rPr>
      <t>/</t>
    </r>
    <r>
      <rPr>
        <b/>
        <sz val="16"/>
        <color rgb="FFFFFF00"/>
        <rFont val="微軟正黑體"/>
        <family val="2"/>
        <charset val="136"/>
      </rPr>
      <t>淨利率</t>
    </r>
    <phoneticPr fontId="2" type="noConversion"/>
  </si>
  <si>
    <r>
      <rPr>
        <b/>
        <sz val="14"/>
        <color rgb="FF66FF33"/>
        <rFont val="Adobe 繁黑體 Std B"/>
        <family val="2"/>
        <charset val="136"/>
      </rPr>
      <t>每股盈餘</t>
    </r>
    <r>
      <rPr>
        <b/>
        <sz val="14"/>
        <color theme="0"/>
        <rFont val="Adobe 繁黑體 Std B"/>
        <family val="2"/>
        <charset val="136"/>
      </rPr>
      <t>/</t>
    </r>
    <r>
      <rPr>
        <b/>
        <sz val="14"/>
        <color rgb="FFFF0000"/>
        <rFont val="Adobe 繁黑體 Std B"/>
        <family val="2"/>
        <charset val="136"/>
      </rPr>
      <t>本業比率</t>
    </r>
    <phoneticPr fontId="2" type="noConversion"/>
  </si>
  <si>
    <t>前2週</t>
  </si>
  <si>
    <t>前3週</t>
  </si>
  <si>
    <t>前4週</t>
  </si>
  <si>
    <t>前5週</t>
  </si>
  <si>
    <t>前1週</t>
    <phoneticPr fontId="2" type="noConversion"/>
  </si>
  <si>
    <r>
      <rPr>
        <b/>
        <sz val="16"/>
        <color rgb="FF00B0F0"/>
        <rFont val="微軟正黑體"/>
        <family val="2"/>
        <charset val="136"/>
      </rPr>
      <t>應收</t>
    </r>
    <r>
      <rPr>
        <b/>
        <sz val="16"/>
        <color theme="0"/>
        <rFont val="微軟正黑體"/>
        <family val="2"/>
        <charset val="136"/>
      </rPr>
      <t>/</t>
    </r>
    <r>
      <rPr>
        <b/>
        <sz val="16"/>
        <color rgb="FFFF0000"/>
        <rFont val="微軟正黑體"/>
        <family val="2"/>
        <charset val="136"/>
      </rPr>
      <t>存貨</t>
    </r>
    <r>
      <rPr>
        <b/>
        <sz val="16"/>
        <color theme="0"/>
        <rFont val="微軟正黑體"/>
        <family val="2"/>
        <charset val="136"/>
      </rPr>
      <t>/</t>
    </r>
    <r>
      <rPr>
        <b/>
        <sz val="16"/>
        <color theme="9" tint="-0.249977111117893"/>
        <rFont val="微軟正黑體"/>
        <family val="2"/>
        <charset val="136"/>
      </rPr>
      <t>應付周轉天數</t>
    </r>
    <phoneticPr fontId="2" type="noConversion"/>
  </si>
  <si>
    <r>
      <rPr>
        <b/>
        <sz val="16"/>
        <color theme="9" tint="-0.249977111117893"/>
        <rFont val="微軟正黑體"/>
        <family val="2"/>
        <charset val="136"/>
      </rPr>
      <t>營業活動現金</t>
    </r>
    <r>
      <rPr>
        <b/>
        <sz val="16"/>
        <color theme="0"/>
        <rFont val="微軟正黑體"/>
        <family val="2"/>
        <charset val="136"/>
      </rPr>
      <t>/</t>
    </r>
    <r>
      <rPr>
        <b/>
        <sz val="16"/>
        <color rgb="FF00B0F0"/>
        <rFont val="微軟正黑體"/>
        <family val="2"/>
        <charset val="136"/>
      </rPr>
      <t>自由現金</t>
    </r>
    <r>
      <rPr>
        <b/>
        <sz val="16"/>
        <color theme="0"/>
        <rFont val="微軟正黑體"/>
        <family val="2"/>
        <charset val="136"/>
      </rPr>
      <t>/</t>
    </r>
    <r>
      <rPr>
        <b/>
        <sz val="16"/>
        <color rgb="FFFF0000"/>
        <rFont val="微軟正黑體"/>
        <family val="2"/>
        <charset val="136"/>
      </rPr>
      <t>負債比</t>
    </r>
    <phoneticPr fontId="2" type="noConversion"/>
  </si>
  <si>
    <r>
      <rPr>
        <b/>
        <sz val="14"/>
        <color rgb="FF00B0F0"/>
        <rFont val="Adobe 繁黑體 Std B"/>
        <family val="2"/>
        <charset val="136"/>
      </rPr>
      <t>資本支出</t>
    </r>
    <r>
      <rPr>
        <b/>
        <sz val="14"/>
        <color theme="0"/>
        <rFont val="Adobe 繁黑體 Std B"/>
        <family val="2"/>
        <charset val="136"/>
      </rPr>
      <t>/</t>
    </r>
    <r>
      <rPr>
        <b/>
        <sz val="14"/>
        <color rgb="FFFF0000"/>
        <rFont val="Adobe 繁黑體 Std B"/>
        <family val="2"/>
        <charset val="136"/>
      </rPr>
      <t>折舊率</t>
    </r>
    <r>
      <rPr>
        <b/>
        <sz val="14"/>
        <color theme="0"/>
        <rFont val="Adobe 繁黑體 Std B"/>
        <family val="2"/>
        <charset val="136"/>
      </rPr>
      <t>/現增與公司債</t>
    </r>
    <phoneticPr fontId="2" type="noConversion"/>
  </si>
  <si>
    <r>
      <rPr>
        <b/>
        <sz val="14"/>
        <color rgb="FFFF33CC"/>
        <rFont val="Adobe 繁黑體 Std B"/>
        <family val="2"/>
        <charset val="136"/>
      </rPr>
      <t>財務品質保守指標</t>
    </r>
    <r>
      <rPr>
        <b/>
        <sz val="14"/>
        <color theme="0"/>
        <rFont val="Adobe 繁黑體 Std B"/>
        <family val="2"/>
        <charset val="136"/>
      </rPr>
      <t>/</t>
    </r>
    <r>
      <rPr>
        <b/>
        <sz val="14"/>
        <color rgb="FFFF0000"/>
        <rFont val="Adobe 繁黑體 Std B"/>
        <family val="2"/>
        <charset val="136"/>
      </rPr>
      <t>股東權益報酬率</t>
    </r>
    <phoneticPr fontId="2" type="noConversion"/>
  </si>
  <si>
    <t>晶悅</t>
  </si>
  <si>
    <t>F-綠河</t>
  </si>
  <si>
    <t>標準清單</t>
    <phoneticPr fontId="2" type="noConversion"/>
  </si>
  <si>
    <t xml:space="preserve">氣立            </t>
  </si>
  <si>
    <t>RPS</t>
  </si>
  <si>
    <t>過去一年營業額</t>
    <phoneticPr fontId="19" type="noConversion"/>
  </si>
  <si>
    <t>營收成長率</t>
    <phoneticPr fontId="19" type="noConversion"/>
  </si>
  <si>
    <t>PE</t>
    <phoneticPr fontId="19" type="noConversion"/>
  </si>
  <si>
    <t>財務分數</t>
    <phoneticPr fontId="19" type="noConversion"/>
  </si>
  <si>
    <t>RPS</t>
    <phoneticPr fontId="2" type="noConversion"/>
  </si>
  <si>
    <t>加項</t>
    <phoneticPr fontId="2" type="noConversion"/>
  </si>
  <si>
    <t>--</t>
  </si>
  <si>
    <t>股名</t>
    <phoneticPr fontId="2" type="noConversion"/>
  </si>
  <si>
    <t>股東權益</t>
    <phoneticPr fontId="2" type="noConversion"/>
  </si>
  <si>
    <t>有息負債</t>
    <phoneticPr fontId="2" type="noConversion"/>
  </si>
  <si>
    <t>淨
固定資產</t>
    <phoneticPr fontId="2" type="noConversion"/>
  </si>
  <si>
    <t>淨
營運資金</t>
    <phoneticPr fontId="2" type="noConversion"/>
  </si>
  <si>
    <t>資產
報酬率</t>
    <phoneticPr fontId="2" type="noConversion"/>
  </si>
  <si>
    <t>盈餘
報酬率</t>
    <phoneticPr fontId="2" type="noConversion"/>
  </si>
  <si>
    <t>標準清單</t>
  </si>
  <si>
    <t>名稱</t>
  </si>
  <si>
    <t>EPS</t>
  </si>
  <si>
    <t>純益</t>
  </si>
  <si>
    <t>周轉率</t>
  </si>
  <si>
    <t>現流</t>
  </si>
  <si>
    <t>擴廠</t>
  </si>
  <si>
    <t>營業收入</t>
  </si>
  <si>
    <t>累計營業收入</t>
  </si>
  <si>
    <t>備註</t>
  </si>
  <si>
    <t>宇智</t>
  </si>
  <si>
    <t xml:space="preserve">國泰R2          </t>
  </si>
  <si>
    <t>稅前息前
(本業)淨利</t>
    <phoneticPr fontId="2" type="noConversion"/>
  </si>
  <si>
    <t>ONE</t>
    <phoneticPr fontId="2" type="noConversion"/>
  </si>
  <si>
    <t>參考比率</t>
    <phoneticPr fontId="2" type="noConversion"/>
  </si>
  <si>
    <t xml:space="preserve">F-材料          </t>
  </si>
  <si>
    <t>公告比對</t>
    <phoneticPr fontId="2" type="noConversion"/>
  </si>
  <si>
    <t>已讀/待讀</t>
    <phoneticPr fontId="2" type="noConversion"/>
  </si>
  <si>
    <t>公司債</t>
    <phoneticPr fontId="2" type="noConversion"/>
  </si>
  <si>
    <t>現金增資</t>
    <phoneticPr fontId="2" type="noConversion"/>
  </si>
  <si>
    <t>減資</t>
    <phoneticPr fontId="2" type="noConversion"/>
  </si>
  <si>
    <t>關鍵清單</t>
    <phoneticPr fontId="2" type="noConversion"/>
  </si>
  <si>
    <t>財務報</t>
    <phoneticPr fontId="2" type="noConversion"/>
  </si>
  <si>
    <t>104.3Q</t>
  </si>
  <si>
    <t xml:space="preserve">立積            </t>
  </si>
  <si>
    <t>小計</t>
    <phoneticPr fontId="2" type="noConversion"/>
  </si>
  <si>
    <t>淨利率</t>
    <phoneticPr fontId="2" type="noConversion"/>
  </si>
  <si>
    <t xml:space="preserve">   </t>
  </si>
  <si>
    <t>問題回報</t>
  </si>
  <si>
    <t>回上頁</t>
  </si>
  <si>
    <t>金額</t>
  </si>
  <si>
    <t>103年第3季</t>
  </si>
  <si>
    <t>104年01月01日至104年09月30日</t>
  </si>
  <si>
    <t>103年01月01日至103年09月30日</t>
  </si>
  <si>
    <t>威潤</t>
  </si>
  <si>
    <t>點序</t>
  </si>
  <si>
    <t>全新(2455)</t>
  </si>
  <si>
    <t>全新（2455）</t>
  </si>
  <si>
    <t>宏捷科(8086)</t>
  </si>
  <si>
    <t>宏捷科（8086）</t>
  </si>
  <si>
    <t>穩懋(3105)</t>
  </si>
  <si>
    <t>穩懋（3105）</t>
  </si>
  <si>
    <t>全新(2455)</t>
    <phoneticPr fontId="2" type="noConversion"/>
  </si>
  <si>
    <t>宏捷科(8086)</t>
    <phoneticPr fontId="2" type="noConversion"/>
  </si>
  <si>
    <t>穩懋(3105)</t>
    <phoneticPr fontId="2" type="noConversion"/>
  </si>
  <si>
    <t>集保標準</t>
    <phoneticPr fontId="19" type="noConversion"/>
  </si>
  <si>
    <t>基本面_財務分析</t>
    <phoneticPr fontId="2" type="noConversion"/>
  </si>
  <si>
    <t>中裕</t>
  </si>
  <si>
    <t>健信</t>
  </si>
  <si>
    <t>股票</t>
  </si>
  <si>
    <t>代號</t>
  </si>
  <si>
    <t>時間</t>
  </si>
  <si>
    <t>成交</t>
  </si>
  <si>
    <t>買進</t>
  </si>
  <si>
    <t>賣出</t>
  </si>
  <si>
    <t>漲跌</t>
  </si>
  <si>
    <t>張數</t>
  </si>
  <si>
    <t>昨收</t>
  </si>
  <si>
    <t>開盤</t>
  </si>
  <si>
    <t>最高</t>
  </si>
  <si>
    <t>最低</t>
  </si>
  <si>
    <t>個股資料</t>
  </si>
  <si>
    <t>加到投資組合</t>
  </si>
  <si>
    <t>成交明細</t>
  </si>
  <si>
    <r>
      <t>技術</t>
    </r>
    <r>
      <rPr>
        <sz val="10"/>
        <color rgb="FF000000"/>
        <rFont val="繚s簡?穢繳?矇"/>
        <family val="3"/>
        <charset val="136"/>
      </rPr>
      <t xml:space="preserve"> </t>
    </r>
    <r>
      <rPr>
        <sz val="10"/>
        <color rgb="FF0000FF"/>
        <rFont val="繚s簡?穢繳?矇"/>
        <family val="3"/>
        <charset val="136"/>
      </rPr>
      <t>新聞</t>
    </r>
  </si>
  <si>
    <r>
      <t>基本</t>
    </r>
    <r>
      <rPr>
        <sz val="10"/>
        <color rgb="FF000000"/>
        <rFont val="繚s簡?穢繳?矇"/>
        <family val="3"/>
        <charset val="136"/>
      </rPr>
      <t xml:space="preserve"> </t>
    </r>
    <r>
      <rPr>
        <sz val="10"/>
        <color rgb="FF0000FF"/>
        <rFont val="繚s簡?穢繳?矇"/>
        <family val="3"/>
        <charset val="136"/>
      </rPr>
      <t>籌碼</t>
    </r>
  </si>
  <si>
    <t>個股健診</t>
  </si>
  <si>
    <t>葛林</t>
    <phoneticPr fontId="2" type="noConversion"/>
  </si>
  <si>
    <t>自選清單</t>
    <phoneticPr fontId="2" type="noConversion"/>
  </si>
  <si>
    <t>週集保</t>
  </si>
  <si>
    <t>持股分級</t>
  </si>
  <si>
    <t>人  數</t>
  </si>
  <si>
    <t>股  數</t>
  </si>
  <si>
    <t>佔集保庫存數比例 (%)</t>
  </si>
  <si>
    <t>1-999</t>
  </si>
  <si>
    <t>1,000-5,000</t>
  </si>
  <si>
    <t>5,001-10,000</t>
  </si>
  <si>
    <t>10,001-15,000</t>
  </si>
  <si>
    <t>15,001-20,000</t>
  </si>
  <si>
    <t>20,001-30,000</t>
  </si>
  <si>
    <t>30,001-40,000</t>
  </si>
  <si>
    <t>40,001-50,000</t>
  </si>
  <si>
    <t>50,001-100,000</t>
  </si>
  <si>
    <t>100,001-200,000</t>
  </si>
  <si>
    <t>200,001-400,000</t>
  </si>
  <si>
    <t>400,001-600,000</t>
  </si>
  <si>
    <t>600,001-800,000</t>
  </si>
  <si>
    <t>800,001-1,000,000</t>
  </si>
  <si>
    <t>1,000,001以上</t>
  </si>
  <si>
    <t>合 計</t>
  </si>
  <si>
    <t xml:space="preserve">富邦R2          </t>
  </si>
  <si>
    <t>F-大略</t>
  </si>
  <si>
    <t>F-芮特</t>
  </si>
  <si>
    <t>上櫃</t>
  </si>
  <si>
    <t>和勤精機</t>
  </si>
  <si>
    <t>朋程科技</t>
  </si>
  <si>
    <t>中裕新藥</t>
  </si>
  <si>
    <t>聿新生技</t>
  </si>
  <si>
    <t>有益鋼鐵</t>
  </si>
  <si>
    <t>威剛科技</t>
  </si>
  <si>
    <t>德微科技</t>
  </si>
  <si>
    <t>普誠科技</t>
  </si>
  <si>
    <t>元隆電子</t>
  </si>
  <si>
    <t>協益電子</t>
  </si>
  <si>
    <t>卓韋光電</t>
  </si>
  <si>
    <t>湯石照明</t>
  </si>
  <si>
    <t>達威光電</t>
  </si>
  <si>
    <t>聯亞光電</t>
  </si>
  <si>
    <t>凱碩科技</t>
  </si>
  <si>
    <t>川寶科技</t>
  </si>
  <si>
    <t>先豐通訊</t>
  </si>
  <si>
    <t>同協電子</t>
  </si>
  <si>
    <t>艾華電子</t>
  </si>
  <si>
    <t>博大科技</t>
  </si>
  <si>
    <t>大同世界</t>
  </si>
  <si>
    <t>永信建設</t>
  </si>
  <si>
    <t>鈊象電子</t>
  </si>
  <si>
    <t>序</t>
  </si>
  <si>
    <t>1338_%</t>
  </si>
  <si>
    <t>1464_%</t>
  </si>
  <si>
    <t>1477_%</t>
  </si>
  <si>
    <t>2231_%</t>
  </si>
  <si>
    <t>2361_%</t>
  </si>
  <si>
    <t>2379_%</t>
  </si>
  <si>
    <t>2406_%</t>
  </si>
  <si>
    <t>2425_%</t>
  </si>
  <si>
    <t>2482_%</t>
  </si>
  <si>
    <t>3227_%</t>
  </si>
  <si>
    <t>3673_%</t>
  </si>
  <si>
    <t>4105_%</t>
  </si>
  <si>
    <t>4924_%</t>
  </si>
  <si>
    <t>5388_%</t>
  </si>
  <si>
    <t>5425_%</t>
  </si>
  <si>
    <t>5490_%</t>
  </si>
  <si>
    <t>6172_%</t>
  </si>
  <si>
    <t>9938_%</t>
  </si>
  <si>
    <t>-</t>
  </si>
  <si>
    <t>選</t>
  </si>
  <si>
    <t>同致電子</t>
  </si>
  <si>
    <t>元大期貨</t>
  </si>
  <si>
    <t>順達科</t>
  </si>
  <si>
    <t>揚華</t>
  </si>
  <si>
    <t>東浦精密</t>
  </si>
  <si>
    <t>臺聯貨櫃</t>
  </si>
  <si>
    <t>104_11</t>
    <phoneticPr fontId="2" type="noConversion"/>
  </si>
  <si>
    <t>凱基證券下單</t>
  </si>
  <si>
    <r>
      <t>買</t>
    </r>
    <r>
      <rPr>
        <sz val="12"/>
        <color theme="1"/>
        <rFont val="新細明體"/>
        <family val="2"/>
        <charset val="136"/>
        <scheme val="minor"/>
      </rPr>
      <t xml:space="preserve"> </t>
    </r>
    <r>
      <rPr>
        <sz val="12"/>
        <color rgb="FF009900"/>
        <rFont val="新細明體"/>
        <family val="1"/>
        <charset val="136"/>
        <scheme val="minor"/>
      </rPr>
      <t>賣</t>
    </r>
    <r>
      <rPr>
        <sz val="12"/>
        <color theme="1"/>
        <rFont val="新細明體"/>
        <family val="2"/>
        <charset val="136"/>
        <scheme val="minor"/>
      </rPr>
      <t xml:space="preserve"> </t>
    </r>
    <r>
      <rPr>
        <sz val="12"/>
        <color rgb="FF990066"/>
        <rFont val="新細明體"/>
        <family val="1"/>
        <charset val="136"/>
        <scheme val="minor"/>
      </rPr>
      <t>張</t>
    </r>
    <r>
      <rPr>
        <sz val="12"/>
        <color theme="1"/>
        <rFont val="新細明體"/>
        <family val="2"/>
        <charset val="136"/>
        <scheme val="minor"/>
      </rPr>
      <t xml:space="preserve"> </t>
    </r>
    <r>
      <rPr>
        <sz val="10"/>
        <color rgb="FF0000FF"/>
        <rFont val="Arial"/>
        <family val="2"/>
      </rPr>
      <t>零股交易</t>
    </r>
  </si>
  <si>
    <t>1707</t>
  </si>
  <si>
    <t>葡萄王(1707)</t>
  </si>
  <si>
    <t>葡萄王（1707）</t>
  </si>
  <si>
    <t>1707葡萄王</t>
  </si>
  <si>
    <t xml:space="preserve">△1.5 </t>
  </si>
  <si>
    <t xml:space="preserve">葡萄王(1707)      市價：188  元             PE = </t>
    <phoneticPr fontId="2" type="noConversion"/>
  </si>
</sst>
</file>

<file path=xl/styles.xml><?xml version="1.0" encoding="utf-8"?>
<styleSheet xmlns="http://schemas.openxmlformats.org/spreadsheetml/2006/main">
  <numFmts count="11">
    <numFmt numFmtId="44" formatCode="_-&quot;$&quot;* #,##0.00_-;\-&quot;$&quot;* #,##0.00_-;_-&quot;$&quot;* &quot;-&quot;??_-;_-@_-"/>
    <numFmt numFmtId="176" formatCode="_(* #,##0.00_);_(* \(#,##0.00\);_(* &quot;-&quot;??_);_(@_)"/>
    <numFmt numFmtId="177" formatCode="_-* #,##0_-;\-* #,##0_-;_-* &quot;-&quot;??_-;_-@_-"/>
    <numFmt numFmtId="178" formatCode="0_);[Red]\(0\)"/>
    <numFmt numFmtId="179" formatCode="0_ "/>
    <numFmt numFmtId="180" formatCode="#,##0_);[Red]\(#,##0\)"/>
    <numFmt numFmtId="181" formatCode="0.00_ "/>
    <numFmt numFmtId="182" formatCode="m&quot;月&quot;d&quot;日&quot;"/>
    <numFmt numFmtId="183" formatCode="_(* #,##0_);_(* \(#,##0\);_(* &quot;-&quot;??_);_(@_)"/>
    <numFmt numFmtId="184" formatCode="yyyymmdd"/>
    <numFmt numFmtId="185" formatCode="#,##0_ "/>
  </numFmts>
  <fonts count="65"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b/>
      <sz val="12"/>
      <color theme="1"/>
      <name val="新細明體"/>
      <family val="1"/>
      <charset val="136"/>
      <scheme val="minor"/>
    </font>
    <font>
      <b/>
      <sz val="14"/>
      <color theme="1"/>
      <name val="新細明體"/>
      <family val="1"/>
      <charset val="136"/>
      <scheme val="minor"/>
    </font>
    <font>
      <u/>
      <sz val="12"/>
      <color theme="10"/>
      <name val="新細明體"/>
      <family val="2"/>
      <charset val="136"/>
      <scheme val="minor"/>
    </font>
    <font>
      <b/>
      <sz val="12"/>
      <color indexed="81"/>
      <name val="細明體"/>
      <family val="3"/>
      <charset val="136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6"/>
      <color theme="1"/>
      <name val="新細明體"/>
      <family val="1"/>
      <charset val="136"/>
      <scheme val="minor"/>
    </font>
    <font>
      <sz val="12"/>
      <color indexed="81"/>
      <name val="Tahoma"/>
      <family val="2"/>
    </font>
    <font>
      <sz val="12"/>
      <color rgb="FF0000FF"/>
      <name val="新細明體"/>
      <family val="1"/>
      <charset val="136"/>
      <scheme val="minor"/>
    </font>
    <font>
      <sz val="10"/>
      <color rgb="FF0000FF"/>
      <name val="新細明體"/>
      <family val="1"/>
      <charset val="136"/>
      <scheme val="minor"/>
    </font>
    <font>
      <sz val="10"/>
      <color rgb="FF0000FF"/>
      <name val="繚s簡?穢繳?矇"/>
      <family val="3"/>
      <charset val="136"/>
    </font>
    <font>
      <sz val="10"/>
      <color rgb="FFFF0000"/>
      <name val="繚s簡?穢繳?矇"/>
      <family val="3"/>
      <charset val="136"/>
    </font>
    <font>
      <b/>
      <sz val="12"/>
      <color rgb="FF990066"/>
      <name val="新細明體"/>
      <family val="1"/>
      <charset val="136"/>
      <scheme val="minor"/>
    </font>
    <font>
      <sz val="12"/>
      <color rgb="FFFF0000"/>
      <name val="新細明體"/>
      <family val="1"/>
      <charset val="136"/>
      <scheme val="minor"/>
    </font>
    <font>
      <sz val="14"/>
      <color theme="1"/>
      <name val="新細明體"/>
      <family val="1"/>
      <charset val="136"/>
      <scheme val="minor"/>
    </font>
    <font>
      <sz val="12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  <font>
      <u/>
      <sz val="12"/>
      <color theme="10"/>
      <name val="新細明體"/>
      <family val="2"/>
      <scheme val="minor"/>
    </font>
    <font>
      <b/>
      <sz val="10"/>
      <color theme="1"/>
      <name val="Arial"/>
      <family val="2"/>
    </font>
    <font>
      <b/>
      <sz val="10"/>
      <color theme="1"/>
      <name val="新細明體"/>
      <family val="1"/>
      <charset val="136"/>
    </font>
    <font>
      <sz val="10"/>
      <color theme="1"/>
      <name val="Arial"/>
      <family val="2"/>
    </font>
    <font>
      <sz val="10"/>
      <color theme="1"/>
      <name val="細明體"/>
      <family val="3"/>
      <charset val="136"/>
    </font>
    <font>
      <b/>
      <sz val="12"/>
      <color theme="1"/>
      <name val="新細明體"/>
      <family val="2"/>
      <charset val="136"/>
      <scheme val="minor"/>
    </font>
    <font>
      <b/>
      <sz val="13"/>
      <color theme="1"/>
      <name val="新細明體"/>
      <family val="1"/>
      <charset val="136"/>
      <scheme val="minor"/>
    </font>
    <font>
      <b/>
      <sz val="13"/>
      <name val="新細明體"/>
      <family val="1"/>
      <charset val="136"/>
      <scheme val="minor"/>
    </font>
    <font>
      <b/>
      <sz val="13"/>
      <color rgb="FF0033CC"/>
      <name val="新細明體"/>
      <family val="1"/>
      <charset val="136"/>
      <scheme val="minor"/>
    </font>
    <font>
      <b/>
      <sz val="13"/>
      <color rgb="FFFF0000"/>
      <name val="新細明體"/>
      <family val="1"/>
      <charset val="136"/>
      <scheme val="minor"/>
    </font>
    <font>
      <b/>
      <sz val="13"/>
      <color rgb="FFFF9900"/>
      <name val="新細明體"/>
      <family val="1"/>
      <charset val="136"/>
      <scheme val="minor"/>
    </font>
    <font>
      <b/>
      <sz val="14"/>
      <color theme="0"/>
      <name val="新細明體"/>
      <family val="1"/>
      <charset val="136"/>
      <scheme val="minor"/>
    </font>
    <font>
      <sz val="14"/>
      <color theme="1"/>
      <name val="新細明體"/>
      <family val="2"/>
      <charset val="136"/>
      <scheme val="minor"/>
    </font>
    <font>
      <sz val="14"/>
      <color indexed="81"/>
      <name val="細明體"/>
      <family val="3"/>
      <charset val="136"/>
    </font>
    <font>
      <b/>
      <sz val="12"/>
      <color theme="1"/>
      <name val="Arial"/>
      <family val="2"/>
    </font>
    <font>
      <b/>
      <sz val="12"/>
      <color theme="1"/>
      <name val="新細明體"/>
      <family val="1"/>
      <charset val="136"/>
    </font>
    <font>
      <b/>
      <sz val="12"/>
      <color theme="1"/>
      <name val="細明體"/>
      <family val="3"/>
      <charset val="136"/>
    </font>
    <font>
      <b/>
      <sz val="18"/>
      <color theme="1"/>
      <name val="新細明體"/>
      <family val="1"/>
      <charset val="136"/>
      <scheme val="minor"/>
    </font>
    <font>
      <sz val="18"/>
      <color theme="1"/>
      <name val="新細明體"/>
      <family val="1"/>
      <charset val="136"/>
      <scheme val="minor"/>
    </font>
    <font>
      <sz val="12"/>
      <color theme="1"/>
      <name val="新細明體"/>
      <family val="1"/>
      <charset val="136"/>
    </font>
    <font>
      <sz val="12"/>
      <color theme="0"/>
      <name val="新細明體"/>
      <family val="2"/>
      <charset val="136"/>
      <scheme val="minor"/>
    </font>
    <font>
      <b/>
      <sz val="12"/>
      <color theme="0"/>
      <name val="新細明體"/>
      <family val="2"/>
      <charset val="136"/>
      <scheme val="minor"/>
    </font>
    <font>
      <b/>
      <sz val="14"/>
      <color theme="0"/>
      <name val="Adobe 繁黑體 Std B"/>
      <family val="2"/>
      <charset val="136"/>
    </font>
    <font>
      <sz val="12"/>
      <color theme="0"/>
      <name val="新細明體"/>
      <family val="1"/>
      <charset val="136"/>
      <scheme val="minor"/>
    </font>
    <font>
      <b/>
      <sz val="16"/>
      <color theme="0"/>
      <name val="微軟正黑體"/>
      <family val="2"/>
      <charset val="136"/>
    </font>
    <font>
      <b/>
      <sz val="16"/>
      <color rgb="FF00B0F0"/>
      <name val="微軟正黑體"/>
      <family val="2"/>
      <charset val="136"/>
    </font>
    <font>
      <b/>
      <sz val="16"/>
      <color rgb="FFFF0000"/>
      <name val="微軟正黑體"/>
      <family val="2"/>
      <charset val="136"/>
    </font>
    <font>
      <b/>
      <sz val="16"/>
      <color rgb="FFFFFF00"/>
      <name val="微軟正黑體"/>
      <family val="2"/>
      <charset val="136"/>
    </font>
    <font>
      <b/>
      <sz val="14"/>
      <color rgb="FFFF0000"/>
      <name val="Adobe 繁黑體 Std B"/>
      <family val="2"/>
      <charset val="136"/>
    </font>
    <font>
      <b/>
      <sz val="14"/>
      <color rgb="FF00B0F0"/>
      <name val="Adobe 繁黑體 Std B"/>
      <family val="2"/>
      <charset val="136"/>
    </font>
    <font>
      <b/>
      <sz val="14"/>
      <color rgb="FF66FF33"/>
      <name val="Adobe 繁黑體 Std B"/>
      <family val="2"/>
      <charset val="136"/>
    </font>
    <font>
      <sz val="14"/>
      <color theme="1"/>
      <name val="新細明體"/>
      <family val="2"/>
      <scheme val="minor"/>
    </font>
    <font>
      <sz val="9"/>
      <color indexed="81"/>
      <name val="細明體"/>
      <family val="3"/>
      <charset val="136"/>
    </font>
    <font>
      <b/>
      <sz val="16"/>
      <color theme="9" tint="-0.249977111117893"/>
      <name val="微軟正黑體"/>
      <family val="2"/>
      <charset val="136"/>
    </font>
    <font>
      <b/>
      <sz val="14"/>
      <color rgb="FFFF33CC"/>
      <name val="Adobe 繁黑體 Std B"/>
      <family val="2"/>
      <charset val="136"/>
    </font>
    <font>
      <sz val="12"/>
      <color theme="1"/>
      <name val="新細明體"/>
      <family val="1"/>
      <charset val="136"/>
      <scheme val="minor"/>
    </font>
    <font>
      <b/>
      <sz val="12"/>
      <color theme="0"/>
      <name val="新細明體"/>
      <family val="1"/>
      <charset val="136"/>
      <scheme val="minor"/>
    </font>
    <font>
      <b/>
      <sz val="12"/>
      <name val="新細明體"/>
      <family val="1"/>
      <charset val="136"/>
      <scheme val="minor"/>
    </font>
    <font>
      <sz val="12"/>
      <name val="新細明體"/>
      <family val="1"/>
      <charset val="136"/>
      <scheme val="minor"/>
    </font>
    <font>
      <sz val="18"/>
      <color theme="1"/>
      <name val="新細明體"/>
      <family val="2"/>
      <charset val="136"/>
      <scheme val="minor"/>
    </font>
    <font>
      <sz val="10"/>
      <color rgb="FF000000"/>
      <name val="繚s簡?穢繳?矇"/>
      <family val="3"/>
      <charset val="136"/>
    </font>
    <font>
      <b/>
      <sz val="14"/>
      <name val="新細明體"/>
      <family val="1"/>
      <charset val="136"/>
      <scheme val="minor"/>
    </font>
    <font>
      <sz val="12"/>
      <color rgb="FF009900"/>
      <name val="新細明體"/>
      <family val="1"/>
      <charset val="136"/>
      <scheme val="minor"/>
    </font>
    <font>
      <sz val="12"/>
      <color rgb="FF990066"/>
      <name val="新細明體"/>
      <family val="1"/>
      <charset val="136"/>
      <scheme val="minor"/>
    </font>
    <font>
      <sz val="10"/>
      <color rgb="FF0000FF"/>
      <name val="Arial"/>
      <family val="2"/>
    </font>
  </fonts>
  <fills count="31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0C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DEDEF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FF66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00FF99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D3D6FF"/>
        <bgColor indexed="64"/>
      </patternFill>
    </fill>
    <fill>
      <patternFill patternType="solid">
        <fgColor rgb="FFEAEBFF"/>
        <bgColor indexed="64"/>
      </patternFill>
    </fill>
  </fills>
  <borders count="40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 style="medium">
        <color rgb="FF000000"/>
      </right>
      <top/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/>
      <bottom/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/>
      <right/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</borders>
  <cellStyleXfs count="6">
    <xf numFmtId="0" fontId="0" fillId="0" borderId="0">
      <alignment vertical="center"/>
    </xf>
    <xf numFmtId="176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18" fillId="0" borderId="0"/>
    <xf numFmtId="0" fontId="20" fillId="0" borderId="0" applyNumberFormat="0" applyFill="0" applyBorder="0" applyAlignment="0" applyProtection="0"/>
  </cellStyleXfs>
  <cellXfs count="390">
    <xf numFmtId="0" fontId="0" fillId="0" borderId="0" xfId="0">
      <alignment vertical="center"/>
    </xf>
    <xf numFmtId="0" fontId="0" fillId="2" borderId="2" xfId="0" applyFill="1" applyBorder="1">
      <alignment vertical="center"/>
    </xf>
    <xf numFmtId="0" fontId="0" fillId="2" borderId="3" xfId="0" applyFill="1" applyBorder="1">
      <alignment vertical="center"/>
    </xf>
    <xf numFmtId="0" fontId="0" fillId="2" borderId="0" xfId="0" applyFill="1">
      <alignment vertical="center"/>
    </xf>
    <xf numFmtId="0" fontId="0" fillId="3" borderId="6" xfId="0" applyFill="1" applyBorder="1">
      <alignment vertical="center"/>
    </xf>
    <xf numFmtId="0" fontId="0" fillId="3" borderId="0" xfId="0" applyFill="1" applyBorder="1">
      <alignment vertical="center"/>
    </xf>
    <xf numFmtId="0" fontId="0" fillId="3" borderId="7" xfId="0" applyFill="1" applyBorder="1">
      <alignment vertical="center"/>
    </xf>
    <xf numFmtId="0" fontId="0" fillId="2" borderId="6" xfId="0" applyFill="1" applyBorder="1">
      <alignment vertical="center"/>
    </xf>
    <xf numFmtId="0" fontId="0" fillId="2" borderId="0" xfId="0" applyFill="1" applyBorder="1">
      <alignment vertical="center"/>
    </xf>
    <xf numFmtId="0" fontId="0" fillId="2" borderId="7" xfId="0" applyFill="1" applyBorder="1">
      <alignment vertical="center"/>
    </xf>
    <xf numFmtId="0" fontId="0" fillId="3" borderId="14" xfId="0" applyFill="1" applyBorder="1">
      <alignment vertical="center"/>
    </xf>
    <xf numFmtId="0" fontId="0" fillId="3" borderId="15" xfId="0" applyFill="1" applyBorder="1">
      <alignment vertical="center"/>
    </xf>
    <xf numFmtId="0" fontId="0" fillId="3" borderId="16" xfId="0" applyFill="1" applyBorder="1">
      <alignment vertical="center"/>
    </xf>
    <xf numFmtId="0" fontId="0" fillId="0" borderId="2" xfId="0" applyFill="1" applyBorder="1">
      <alignment vertical="center"/>
    </xf>
    <xf numFmtId="3" fontId="0" fillId="2" borderId="0" xfId="0" applyNumberFormat="1" applyFill="1">
      <alignment vertical="center"/>
    </xf>
    <xf numFmtId="179" fontId="4" fillId="7" borderId="11" xfId="0" applyNumberFormat="1" applyFont="1" applyFill="1" applyBorder="1" applyAlignment="1">
      <alignment horizontal="center" vertical="center"/>
    </xf>
    <xf numFmtId="179" fontId="4" fillId="7" borderId="12" xfId="0" applyNumberFormat="1" applyFont="1" applyFill="1" applyBorder="1" applyAlignment="1">
      <alignment horizontal="center" vertical="center"/>
    </xf>
    <xf numFmtId="179" fontId="4" fillId="8" borderId="11" xfId="0" applyNumberFormat="1" applyFont="1" applyFill="1" applyBorder="1" applyAlignment="1">
      <alignment horizontal="center" vertical="center"/>
    </xf>
    <xf numFmtId="0" fontId="17" fillId="0" borderId="0" xfId="0" applyFont="1">
      <alignment vertical="center"/>
    </xf>
    <xf numFmtId="176" fontId="17" fillId="0" borderId="0" xfId="1" applyFont="1">
      <alignment vertical="center"/>
    </xf>
    <xf numFmtId="0" fontId="17" fillId="0" borderId="0" xfId="0" applyFont="1" applyAlignment="1">
      <alignment horizontal="center" vertical="center"/>
    </xf>
    <xf numFmtId="178" fontId="4" fillId="6" borderId="11" xfId="0" applyNumberFormat="1" applyFont="1" applyFill="1" applyBorder="1" applyAlignment="1">
      <alignment horizontal="center" vertical="center"/>
    </xf>
    <xf numFmtId="0" fontId="4" fillId="6" borderId="20" xfId="0" applyFont="1" applyFill="1" applyBorder="1" applyAlignment="1">
      <alignment vertical="center"/>
    </xf>
    <xf numFmtId="0" fontId="4" fillId="0" borderId="0" xfId="0" applyFont="1">
      <alignment vertical="center"/>
    </xf>
    <xf numFmtId="0" fontId="9" fillId="5" borderId="2" xfId="0" applyFont="1" applyFill="1" applyBorder="1" applyAlignment="1">
      <alignment horizontal="left" vertical="center"/>
    </xf>
    <xf numFmtId="0" fontId="0" fillId="2" borderId="0" xfId="0" applyFill="1" applyBorder="1" applyAlignment="1">
      <alignment vertical="center"/>
    </xf>
    <xf numFmtId="0" fontId="0" fillId="0" borderId="0" xfId="0" applyFill="1" applyAlignment="1">
      <alignment horizontal="center" vertical="center"/>
    </xf>
    <xf numFmtId="0" fontId="18" fillId="0" borderId="0" xfId="4"/>
    <xf numFmtId="0" fontId="21" fillId="0" borderId="0" xfId="4" applyFont="1" applyAlignment="1">
      <alignment horizontal="center" vertical="center"/>
    </xf>
    <xf numFmtId="0" fontId="23" fillId="0" borderId="0" xfId="4" applyFont="1"/>
    <xf numFmtId="0" fontId="24" fillId="0" borderId="0" xfId="4" applyFont="1"/>
    <xf numFmtId="0" fontId="23" fillId="0" borderId="0" xfId="4" applyFont="1" applyAlignment="1">
      <alignment horizontal="center"/>
    </xf>
    <xf numFmtId="0" fontId="0" fillId="0" borderId="0" xfId="0" applyFont="1" applyFill="1">
      <alignment vertical="center"/>
    </xf>
    <xf numFmtId="0" fontId="26" fillId="2" borderId="0" xfId="0" applyFont="1" applyFill="1" applyAlignment="1">
      <alignment horizontal="left" vertical="center"/>
    </xf>
    <xf numFmtId="0" fontId="27" fillId="2" borderId="0" xfId="0" applyFont="1" applyFill="1" applyAlignment="1" applyProtection="1">
      <alignment horizontal="left" vertical="center"/>
      <protection locked="0"/>
    </xf>
    <xf numFmtId="0" fontId="26" fillId="2" borderId="0" xfId="0" applyFont="1" applyFill="1">
      <alignment vertical="center"/>
    </xf>
    <xf numFmtId="0" fontId="26" fillId="14" borderId="0" xfId="0" applyFont="1" applyFill="1">
      <alignment vertical="center"/>
    </xf>
    <xf numFmtId="0" fontId="28" fillId="14" borderId="0" xfId="0" applyFont="1" applyFill="1" applyAlignment="1" applyProtection="1">
      <alignment horizontal="center" vertical="center"/>
      <protection locked="0"/>
    </xf>
    <xf numFmtId="0" fontId="29" fillId="14" borderId="0" xfId="0" applyFont="1" applyFill="1" applyAlignment="1" applyProtection="1">
      <alignment horizontal="center" vertical="center"/>
      <protection locked="0"/>
    </xf>
    <xf numFmtId="0" fontId="30" fillId="14" borderId="0" xfId="0" applyFont="1" applyFill="1" applyAlignment="1" applyProtection="1">
      <alignment horizontal="center" vertical="center"/>
      <protection locked="0"/>
    </xf>
    <xf numFmtId="0" fontId="0" fillId="14" borderId="6" xfId="0" applyFill="1" applyBorder="1">
      <alignment vertical="center"/>
    </xf>
    <xf numFmtId="0" fontId="0" fillId="14" borderId="0" xfId="0" applyFill="1" applyBorder="1">
      <alignment vertical="center"/>
    </xf>
    <xf numFmtId="0" fontId="0" fillId="14" borderId="7" xfId="0" applyFill="1" applyBorder="1">
      <alignment vertical="center"/>
    </xf>
    <xf numFmtId="0" fontId="0" fillId="14" borderId="0" xfId="0" applyFill="1">
      <alignment vertical="center"/>
    </xf>
    <xf numFmtId="0" fontId="0" fillId="14" borderId="0" xfId="0" applyFill="1" applyAlignment="1">
      <alignment horizontal="center" vertical="center"/>
    </xf>
    <xf numFmtId="0" fontId="0" fillId="2" borderId="0" xfId="0" applyFill="1" applyAlignment="1">
      <alignment horizontal="center" vertical="center"/>
    </xf>
    <xf numFmtId="3" fontId="0" fillId="0" borderId="0" xfId="0" applyNumberFormat="1">
      <alignment vertical="center"/>
    </xf>
    <xf numFmtId="0" fontId="32" fillId="9" borderId="0" xfId="0" applyFont="1" applyFill="1" applyAlignment="1">
      <alignment horizontal="center"/>
    </xf>
    <xf numFmtId="0" fontId="17" fillId="9" borderId="0" xfId="0" applyFont="1" applyFill="1" applyAlignment="1">
      <alignment horizontal="center"/>
    </xf>
    <xf numFmtId="0" fontId="17" fillId="9" borderId="0" xfId="0" applyFont="1" applyFill="1" applyAlignment="1">
      <alignment horizontal="center" wrapText="1"/>
    </xf>
    <xf numFmtId="176" fontId="17" fillId="9" borderId="0" xfId="1" applyFont="1" applyFill="1" applyAlignment="1">
      <alignment horizontal="center" wrapText="1"/>
    </xf>
    <xf numFmtId="182" fontId="0" fillId="0" borderId="0" xfId="0" applyNumberFormat="1" applyFont="1" applyFill="1">
      <alignment vertical="center"/>
    </xf>
    <xf numFmtId="176" fontId="23" fillId="0" borderId="0" xfId="1" applyFont="1" applyAlignment="1">
      <alignment horizontal="center"/>
    </xf>
    <xf numFmtId="9" fontId="23" fillId="0" borderId="0" xfId="2" applyNumberFormat="1" applyFont="1" applyAlignment="1">
      <alignment horizontal="right"/>
    </xf>
    <xf numFmtId="183" fontId="23" fillId="0" borderId="0" xfId="1" applyNumberFormat="1" applyFont="1" applyAlignment="1">
      <alignment horizontal="center"/>
    </xf>
    <xf numFmtId="9" fontId="36" fillId="0" borderId="9" xfId="2" applyNumberFormat="1" applyFont="1" applyBorder="1" applyAlignment="1">
      <alignment horizontal="center" vertical="center" wrapText="1"/>
    </xf>
    <xf numFmtId="176" fontId="36" fillId="0" borderId="9" xfId="1" applyFont="1" applyBorder="1" applyAlignment="1">
      <alignment horizontal="center" vertical="center" wrapText="1"/>
    </xf>
    <xf numFmtId="183" fontId="36" fillId="0" borderId="9" xfId="1" applyNumberFormat="1" applyFont="1" applyBorder="1" applyAlignment="1">
      <alignment horizontal="center" vertical="center" wrapText="1"/>
    </xf>
    <xf numFmtId="178" fontId="17" fillId="0" borderId="0" xfId="2" applyNumberFormat="1" applyFont="1" applyAlignment="1">
      <alignment horizontal="center" vertical="center"/>
    </xf>
    <xf numFmtId="0" fontId="38" fillId="0" borderId="0" xfId="0" applyFont="1">
      <alignment vertical="center"/>
    </xf>
    <xf numFmtId="176" fontId="4" fillId="20" borderId="13" xfId="1" applyFont="1" applyFill="1" applyBorder="1" applyAlignment="1">
      <alignment horizontal="center" vertical="center"/>
    </xf>
    <xf numFmtId="176" fontId="9" fillId="5" borderId="2" xfId="1" applyFont="1" applyFill="1" applyBorder="1" applyAlignment="1">
      <alignment horizontal="left" vertical="center"/>
    </xf>
    <xf numFmtId="0" fontId="3" fillId="0" borderId="0" xfId="0" applyFont="1" applyAlignment="1">
      <alignment horizontal="center" vertical="center"/>
    </xf>
    <xf numFmtId="179" fontId="34" fillId="0" borderId="9" xfId="4" applyNumberFormat="1" applyFont="1" applyBorder="1" applyAlignment="1">
      <alignment horizontal="center" vertical="center"/>
    </xf>
    <xf numFmtId="179" fontId="23" fillId="0" borderId="0" xfId="4" applyNumberFormat="1" applyFont="1" applyAlignment="1">
      <alignment horizontal="center"/>
    </xf>
    <xf numFmtId="176" fontId="0" fillId="0" borderId="0" xfId="1" applyFont="1" applyFill="1" applyAlignment="1">
      <alignment horizontal="right" vertical="center"/>
    </xf>
    <xf numFmtId="176" fontId="3" fillId="0" borderId="9" xfId="1" applyFont="1" applyFill="1" applyBorder="1" applyAlignment="1">
      <alignment horizontal="center" vertical="center"/>
    </xf>
    <xf numFmtId="17" fontId="0" fillId="0" borderId="0" xfId="0" applyNumberFormat="1">
      <alignment vertical="center"/>
    </xf>
    <xf numFmtId="44" fontId="0" fillId="0" borderId="0" xfId="0" applyNumberFormat="1">
      <alignment vertical="center"/>
    </xf>
    <xf numFmtId="176" fontId="4" fillId="20" borderId="30" xfId="1" applyFont="1" applyFill="1" applyBorder="1" applyAlignment="1">
      <alignment horizontal="center" vertical="center"/>
    </xf>
    <xf numFmtId="0" fontId="0" fillId="0" borderId="5" xfId="0" applyBorder="1">
      <alignment vertical="center"/>
    </xf>
    <xf numFmtId="0" fontId="0" fillId="0" borderId="29" xfId="0" applyBorder="1">
      <alignment vertical="center"/>
    </xf>
    <xf numFmtId="0" fontId="0" fillId="14" borderId="14" xfId="0" applyFill="1" applyBorder="1">
      <alignment vertical="center"/>
    </xf>
    <xf numFmtId="0" fontId="0" fillId="14" borderId="15" xfId="0" applyFill="1" applyBorder="1">
      <alignment vertical="center"/>
    </xf>
    <xf numFmtId="0" fontId="0" fillId="14" borderId="16" xfId="0" applyFill="1" applyBorder="1">
      <alignment vertical="center"/>
    </xf>
    <xf numFmtId="0" fontId="40" fillId="14" borderId="6" xfId="0" applyFont="1" applyFill="1" applyBorder="1">
      <alignment vertical="center"/>
    </xf>
    <xf numFmtId="0" fontId="40" fillId="14" borderId="0" xfId="0" applyFont="1" applyFill="1" applyBorder="1">
      <alignment vertical="center"/>
    </xf>
    <xf numFmtId="0" fontId="40" fillId="14" borderId="7" xfId="0" applyFont="1" applyFill="1" applyBorder="1">
      <alignment vertical="center"/>
    </xf>
    <xf numFmtId="0" fontId="40" fillId="14" borderId="14" xfId="0" applyFont="1" applyFill="1" applyBorder="1">
      <alignment vertical="center"/>
    </xf>
    <xf numFmtId="0" fontId="40" fillId="14" borderId="15" xfId="0" applyFont="1" applyFill="1" applyBorder="1">
      <alignment vertical="center"/>
    </xf>
    <xf numFmtId="0" fontId="40" fillId="14" borderId="16" xfId="0" applyFont="1" applyFill="1" applyBorder="1">
      <alignment vertical="center"/>
    </xf>
    <xf numFmtId="0" fontId="40" fillId="14" borderId="1" xfId="0" applyFont="1" applyFill="1" applyBorder="1">
      <alignment vertical="center"/>
    </xf>
    <xf numFmtId="0" fontId="40" fillId="14" borderId="2" xfId="0" applyFont="1" applyFill="1" applyBorder="1">
      <alignment vertical="center"/>
    </xf>
    <xf numFmtId="0" fontId="40" fillId="14" borderId="3" xfId="0" applyFont="1" applyFill="1" applyBorder="1">
      <alignment vertical="center"/>
    </xf>
    <xf numFmtId="9" fontId="40" fillId="14" borderId="0" xfId="2" applyFont="1" applyFill="1" applyBorder="1">
      <alignment vertical="center"/>
    </xf>
    <xf numFmtId="14" fontId="0" fillId="0" borderId="0" xfId="0" applyNumberFormat="1">
      <alignment vertical="center"/>
    </xf>
    <xf numFmtId="0" fontId="0" fillId="9" borderId="9" xfId="0" applyFill="1" applyBorder="1">
      <alignment vertical="center"/>
    </xf>
    <xf numFmtId="0" fontId="0" fillId="13" borderId="9" xfId="0" applyFill="1" applyBorder="1">
      <alignment vertical="center"/>
    </xf>
    <xf numFmtId="0" fontId="0" fillId="17" borderId="9" xfId="0" applyFill="1" applyBorder="1">
      <alignment vertical="center"/>
    </xf>
    <xf numFmtId="0" fontId="0" fillId="18" borderId="9" xfId="0" applyFill="1" applyBorder="1">
      <alignment vertical="center"/>
    </xf>
    <xf numFmtId="0" fontId="0" fillId="4" borderId="9" xfId="0" applyFill="1" applyBorder="1">
      <alignment vertical="center"/>
    </xf>
    <xf numFmtId="0" fontId="0" fillId="22" borderId="9" xfId="0" applyFill="1" applyBorder="1">
      <alignment vertical="center"/>
    </xf>
    <xf numFmtId="9" fontId="0" fillId="4" borderId="9" xfId="2" applyNumberFormat="1" applyFont="1" applyFill="1" applyBorder="1">
      <alignment vertical="center"/>
    </xf>
    <xf numFmtId="183" fontId="0" fillId="9" borderId="9" xfId="1" applyNumberFormat="1" applyFont="1" applyFill="1" applyBorder="1">
      <alignment vertical="center"/>
    </xf>
    <xf numFmtId="183" fontId="0" fillId="13" borderId="9" xfId="1" applyNumberFormat="1" applyFont="1" applyFill="1" applyBorder="1">
      <alignment vertical="center"/>
    </xf>
    <xf numFmtId="9" fontId="0" fillId="17" borderId="9" xfId="2" applyFont="1" applyFill="1" applyBorder="1">
      <alignment vertical="center"/>
    </xf>
    <xf numFmtId="176" fontId="0" fillId="18" borderId="9" xfId="1" applyFont="1" applyFill="1" applyBorder="1">
      <alignment vertical="center"/>
    </xf>
    <xf numFmtId="9" fontId="0" fillId="4" borderId="9" xfId="2" applyFont="1" applyFill="1" applyBorder="1">
      <alignment vertical="center"/>
    </xf>
    <xf numFmtId="10" fontId="0" fillId="9" borderId="9" xfId="2" applyNumberFormat="1" applyFont="1" applyFill="1" applyBorder="1">
      <alignment vertical="center"/>
    </xf>
    <xf numFmtId="176" fontId="0" fillId="13" borderId="9" xfId="1" applyFont="1" applyFill="1" applyBorder="1">
      <alignment vertical="center"/>
    </xf>
    <xf numFmtId="0" fontId="0" fillId="21" borderId="9" xfId="0" applyFill="1" applyBorder="1">
      <alignment vertical="center"/>
    </xf>
    <xf numFmtId="0" fontId="0" fillId="23" borderId="9" xfId="0" applyFill="1" applyBorder="1">
      <alignment vertical="center"/>
    </xf>
    <xf numFmtId="0" fontId="25" fillId="15" borderId="6" xfId="0" applyFont="1" applyFill="1" applyBorder="1" applyAlignment="1">
      <alignment vertical="center"/>
    </xf>
    <xf numFmtId="0" fontId="25" fillId="15" borderId="0" xfId="0" applyFont="1" applyFill="1" applyBorder="1" applyAlignment="1">
      <alignment vertical="center"/>
    </xf>
    <xf numFmtId="0" fontId="25" fillId="16" borderId="6" xfId="0" applyFont="1" applyFill="1" applyBorder="1" applyAlignment="1">
      <alignment vertical="center"/>
    </xf>
    <xf numFmtId="0" fontId="25" fillId="16" borderId="0" xfId="0" applyFont="1" applyFill="1" applyBorder="1" applyAlignment="1">
      <alignment vertical="center"/>
    </xf>
    <xf numFmtId="0" fontId="25" fillId="9" borderId="6" xfId="0" applyFont="1" applyFill="1" applyBorder="1" applyAlignment="1">
      <alignment vertical="center"/>
    </xf>
    <xf numFmtId="0" fontId="25" fillId="9" borderId="0" xfId="0" applyFont="1" applyFill="1" applyBorder="1" applyAlignment="1">
      <alignment vertical="center"/>
    </xf>
    <xf numFmtId="0" fontId="42" fillId="14" borderId="0" xfId="0" applyFont="1" applyFill="1" applyBorder="1" applyAlignment="1">
      <alignment horizontal="center" vertical="center"/>
    </xf>
    <xf numFmtId="0" fontId="41" fillId="14" borderId="0" xfId="0" applyFont="1" applyFill="1" applyBorder="1" applyAlignment="1">
      <alignment vertical="center"/>
    </xf>
    <xf numFmtId="176" fontId="41" fillId="14" borderId="0" xfId="1" applyFont="1" applyFill="1" applyBorder="1" applyAlignment="1">
      <alignment vertical="center"/>
    </xf>
    <xf numFmtId="183" fontId="41" fillId="14" borderId="7" xfId="1" applyNumberFormat="1" applyFont="1" applyFill="1" applyBorder="1" applyAlignment="1">
      <alignment vertical="center"/>
    </xf>
    <xf numFmtId="44" fontId="0" fillId="2" borderId="0" xfId="0" applyNumberFormat="1" applyFill="1" applyBorder="1">
      <alignment vertical="center"/>
    </xf>
    <xf numFmtId="0" fontId="0" fillId="2" borderId="14" xfId="0" applyFill="1" applyBorder="1">
      <alignment vertical="center"/>
    </xf>
    <xf numFmtId="0" fontId="0" fillId="2" borderId="15" xfId="0" applyFill="1" applyBorder="1">
      <alignment vertical="center"/>
    </xf>
    <xf numFmtId="0" fontId="0" fillId="2" borderId="16" xfId="0" applyFill="1" applyBorder="1">
      <alignment vertical="center"/>
    </xf>
    <xf numFmtId="0" fontId="3" fillId="10" borderId="23" xfId="3" applyFont="1" applyFill="1" applyBorder="1" applyAlignment="1">
      <alignment horizontal="center" vertical="center" wrapText="1"/>
    </xf>
    <xf numFmtId="0" fontId="3" fillId="10" borderId="24" xfId="3" applyFont="1" applyFill="1" applyBorder="1" applyAlignment="1">
      <alignment horizontal="center" vertical="center" wrapText="1"/>
    </xf>
    <xf numFmtId="0" fontId="15" fillId="12" borderId="22" xfId="0" applyFont="1" applyFill="1" applyBorder="1" applyAlignment="1">
      <alignment horizontal="center" vertical="center"/>
    </xf>
    <xf numFmtId="0" fontId="0" fillId="14" borderId="1" xfId="0" applyFill="1" applyBorder="1">
      <alignment vertical="center"/>
    </xf>
    <xf numFmtId="0" fontId="0" fillId="14" borderId="2" xfId="0" applyFill="1" applyBorder="1">
      <alignment vertical="center"/>
    </xf>
    <xf numFmtId="0" fontId="0" fillId="14" borderId="3" xfId="0" applyFill="1" applyBorder="1">
      <alignment vertical="center"/>
    </xf>
    <xf numFmtId="0" fontId="0" fillId="14" borderId="6" xfId="0" applyFill="1" applyBorder="1" applyAlignment="1">
      <alignment horizontal="center" vertical="center"/>
    </xf>
    <xf numFmtId="0" fontId="0" fillId="14" borderId="0" xfId="0" applyFill="1" applyBorder="1" applyAlignment="1">
      <alignment horizontal="center" vertical="center"/>
    </xf>
    <xf numFmtId="0" fontId="0" fillId="14" borderId="7" xfId="0" applyFill="1" applyBorder="1" applyAlignment="1">
      <alignment horizontal="center" vertical="center"/>
    </xf>
    <xf numFmtId="0" fontId="43" fillId="2" borderId="0" xfId="0" applyFont="1" applyFill="1" applyBorder="1" applyAlignment="1">
      <alignment vertical="center" wrapText="1"/>
    </xf>
    <xf numFmtId="0" fontId="5" fillId="2" borderId="0" xfId="3" applyFill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9" fontId="0" fillId="2" borderId="0" xfId="2" applyFont="1" applyFill="1">
      <alignment vertical="center"/>
    </xf>
    <xf numFmtId="0" fontId="11" fillId="2" borderId="23" xfId="3" applyFont="1" applyFill="1" applyBorder="1" applyAlignment="1">
      <alignment horizontal="center" vertical="center" wrapText="1"/>
    </xf>
    <xf numFmtId="0" fontId="13" fillId="2" borderId="23" xfId="3" applyFont="1" applyFill="1" applyBorder="1" applyAlignment="1">
      <alignment horizontal="center" vertical="center" wrapText="1"/>
    </xf>
    <xf numFmtId="0" fontId="12" fillId="2" borderId="25" xfId="3" applyFont="1" applyFill="1" applyBorder="1" applyAlignment="1">
      <alignment horizontal="center" vertical="center" wrapText="1"/>
    </xf>
    <xf numFmtId="0" fontId="13" fillId="2" borderId="25" xfId="0" applyFont="1" applyFill="1" applyBorder="1" applyAlignment="1">
      <alignment horizontal="center" vertical="center" wrapText="1"/>
    </xf>
    <xf numFmtId="0" fontId="11" fillId="2" borderId="25" xfId="0" applyFont="1" applyFill="1" applyBorder="1" applyAlignment="1">
      <alignment horizontal="center" vertical="center" wrapText="1"/>
    </xf>
    <xf numFmtId="0" fontId="11" fillId="2" borderId="24" xfId="3" applyFont="1" applyFill="1" applyBorder="1" applyAlignment="1">
      <alignment horizontal="center" vertical="center" wrapText="1"/>
    </xf>
    <xf numFmtId="0" fontId="14" fillId="2" borderId="24" xfId="3" applyFont="1" applyFill="1" applyBorder="1" applyAlignment="1">
      <alignment horizontal="center" vertical="center" wrapText="1"/>
    </xf>
    <xf numFmtId="10" fontId="0" fillId="2" borderId="0" xfId="0" applyNumberFormat="1" applyFill="1">
      <alignment vertical="center"/>
    </xf>
    <xf numFmtId="17" fontId="0" fillId="2" borderId="0" xfId="0" applyNumberFormat="1" applyFill="1">
      <alignment vertical="center"/>
    </xf>
    <xf numFmtId="0" fontId="44" fillId="14" borderId="0" xfId="0" applyFont="1" applyFill="1" applyBorder="1" applyAlignment="1">
      <alignment horizontal="center" vertical="center"/>
    </xf>
    <xf numFmtId="0" fontId="51" fillId="0" borderId="0" xfId="4" applyFont="1"/>
    <xf numFmtId="14" fontId="17" fillId="9" borderId="9" xfId="4" applyNumberFormat="1" applyFont="1" applyFill="1" applyBorder="1"/>
    <xf numFmtId="14" fontId="17" fillId="9" borderId="9" xfId="4" applyNumberFormat="1" applyFont="1" applyFill="1" applyBorder="1" applyAlignment="1">
      <alignment horizontal="center"/>
    </xf>
    <xf numFmtId="0" fontId="17" fillId="9" borderId="9" xfId="4" applyFont="1" applyFill="1" applyBorder="1"/>
    <xf numFmtId="0" fontId="17" fillId="9" borderId="9" xfId="4" applyFont="1" applyFill="1" applyBorder="1" applyAlignment="1">
      <alignment horizontal="center"/>
    </xf>
    <xf numFmtId="0" fontId="17" fillId="19" borderId="9" xfId="4" applyFont="1" applyFill="1" applyBorder="1"/>
    <xf numFmtId="184" fontId="51" fillId="0" borderId="0" xfId="4" applyNumberFormat="1" applyFont="1"/>
    <xf numFmtId="3" fontId="37" fillId="2" borderId="0" xfId="0" applyNumberFormat="1" applyFont="1" applyFill="1">
      <alignment vertical="center"/>
    </xf>
    <xf numFmtId="0" fontId="3" fillId="2" borderId="0" xfId="0" applyFont="1" applyFill="1" applyBorder="1">
      <alignment vertical="center"/>
    </xf>
    <xf numFmtId="183" fontId="3" fillId="2" borderId="0" xfId="1" applyNumberFormat="1" applyFont="1" applyFill="1" applyBorder="1">
      <alignment vertical="center"/>
    </xf>
    <xf numFmtId="14" fontId="3" fillId="0" borderId="0" xfId="0" applyNumberFormat="1" applyFont="1" applyAlignment="1">
      <alignment horizontal="center" vertical="center"/>
    </xf>
    <xf numFmtId="179" fontId="23" fillId="0" borderId="0" xfId="4" applyNumberFormat="1" applyFont="1" applyBorder="1" applyAlignment="1">
      <alignment horizontal="center"/>
    </xf>
    <xf numFmtId="176" fontId="0" fillId="0" borderId="0" xfId="1" applyFont="1" applyFill="1" applyAlignment="1">
      <alignment horizontal="center" vertical="center"/>
    </xf>
    <xf numFmtId="3" fontId="0" fillId="0" borderId="0" xfId="0" applyNumberFormat="1" applyFill="1" applyAlignment="1">
      <alignment horizontal="center" vertical="center"/>
    </xf>
    <xf numFmtId="183" fontId="0" fillId="0" borderId="0" xfId="1" applyNumberFormat="1" applyFont="1" applyFill="1" applyAlignment="1">
      <alignment horizontal="center" vertical="center"/>
    </xf>
    <xf numFmtId="3" fontId="0" fillId="0" borderId="0" xfId="0" applyNumberFormat="1" applyFont="1" applyFill="1">
      <alignment vertical="center"/>
    </xf>
    <xf numFmtId="10" fontId="0" fillId="0" borderId="0" xfId="0" applyNumberFormat="1" applyFont="1" applyFill="1">
      <alignment vertical="center"/>
    </xf>
    <xf numFmtId="176" fontId="0" fillId="0" borderId="0" xfId="1" applyFont="1" applyFill="1">
      <alignment vertical="center"/>
    </xf>
    <xf numFmtId="183" fontId="0" fillId="0" borderId="0" xfId="1" applyNumberFormat="1" applyFont="1" applyFill="1">
      <alignment vertical="center"/>
    </xf>
    <xf numFmtId="183" fontId="23" fillId="0" borderId="0" xfId="1" applyNumberFormat="1" applyFont="1" applyAlignment="1">
      <alignment horizontal="right"/>
    </xf>
    <xf numFmtId="9" fontId="36" fillId="0" borderId="9" xfId="2" applyFont="1" applyBorder="1" applyAlignment="1">
      <alignment vertical="center" wrapText="1"/>
    </xf>
    <xf numFmtId="9" fontId="0" fillId="0" borderId="0" xfId="2" applyFont="1" applyFill="1" applyAlignment="1">
      <alignment vertical="center"/>
    </xf>
    <xf numFmtId="9" fontId="23" fillId="0" borderId="0" xfId="2" applyFont="1" applyAlignment="1"/>
    <xf numFmtId="183" fontId="3" fillId="0" borderId="9" xfId="1" applyNumberFormat="1" applyFont="1" applyFill="1" applyBorder="1" applyAlignment="1">
      <alignment horizontal="center" vertical="center"/>
    </xf>
    <xf numFmtId="183" fontId="0" fillId="0" borderId="0" xfId="1" applyNumberFormat="1" applyFont="1" applyFill="1" applyAlignment="1">
      <alignment horizontal="right" vertical="center"/>
    </xf>
    <xf numFmtId="10" fontId="0" fillId="0" borderId="0" xfId="0" applyNumberFormat="1">
      <alignment vertical="center"/>
    </xf>
    <xf numFmtId="179" fontId="4" fillId="8" borderId="12" xfId="0" applyNumberFormat="1" applyFont="1" applyFill="1" applyBorder="1" applyAlignment="1">
      <alignment horizontal="center" vertical="center"/>
    </xf>
    <xf numFmtId="179" fontId="4" fillId="6" borderId="12" xfId="0" applyNumberFormat="1" applyFont="1" applyFill="1" applyBorder="1" applyAlignment="1">
      <alignment horizontal="center" vertical="center"/>
    </xf>
    <xf numFmtId="178" fontId="4" fillId="7" borderId="20" xfId="2" applyNumberFormat="1" applyFont="1" applyFill="1" applyBorder="1" applyAlignment="1">
      <alignment horizontal="center" vertical="center"/>
    </xf>
    <xf numFmtId="9" fontId="55" fillId="2" borderId="0" xfId="2" applyFont="1" applyFill="1" applyBorder="1">
      <alignment vertical="center"/>
    </xf>
    <xf numFmtId="0" fontId="3" fillId="0" borderId="33" xfId="0" applyFont="1" applyFill="1" applyBorder="1">
      <alignment vertical="center"/>
    </xf>
    <xf numFmtId="185" fontId="0" fillId="2" borderId="0" xfId="2" applyNumberFormat="1" applyFont="1" applyFill="1">
      <alignment vertical="center"/>
    </xf>
    <xf numFmtId="0" fontId="0" fillId="2" borderId="0" xfId="0" applyFont="1" applyFill="1">
      <alignment vertical="center"/>
    </xf>
    <xf numFmtId="0" fontId="3" fillId="2" borderId="34" xfId="0" applyFont="1" applyFill="1" applyBorder="1" applyAlignment="1">
      <alignment vertical="center"/>
    </xf>
    <xf numFmtId="0" fontId="0" fillId="2" borderId="1" xfId="0" applyFill="1" applyBorder="1">
      <alignment vertical="center"/>
    </xf>
    <xf numFmtId="0" fontId="43" fillId="2" borderId="0" xfId="0" applyFont="1" applyFill="1" applyBorder="1">
      <alignment vertical="center"/>
    </xf>
    <xf numFmtId="0" fontId="43" fillId="2" borderId="0" xfId="0" applyFont="1" applyFill="1" applyBorder="1" applyAlignment="1">
      <alignment vertical="center"/>
    </xf>
    <xf numFmtId="177" fontId="43" fillId="2" borderId="0" xfId="1" applyNumberFormat="1" applyFont="1" applyFill="1" applyBorder="1" applyAlignment="1">
      <alignment horizontal="center" vertical="center"/>
    </xf>
    <xf numFmtId="9" fontId="43" fillId="2" borderId="0" xfId="2" applyFont="1" applyFill="1" applyBorder="1" applyAlignment="1">
      <alignment horizontal="center" vertical="center"/>
    </xf>
    <xf numFmtId="178" fontId="43" fillId="2" borderId="0" xfId="2" applyNumberFormat="1" applyFont="1" applyFill="1" applyBorder="1" applyAlignment="1">
      <alignment vertical="center"/>
    </xf>
    <xf numFmtId="179" fontId="43" fillId="2" borderId="0" xfId="2" applyNumberFormat="1" applyFont="1" applyFill="1" applyBorder="1" applyAlignment="1">
      <alignment vertical="center"/>
    </xf>
    <xf numFmtId="179" fontId="43" fillId="2" borderId="0" xfId="2" applyNumberFormat="1" applyFont="1" applyFill="1" applyBorder="1" applyAlignment="1">
      <alignment horizontal="center" vertical="center"/>
    </xf>
    <xf numFmtId="0" fontId="56" fillId="2" borderId="0" xfId="0" applyFont="1" applyFill="1" applyBorder="1" applyAlignment="1">
      <alignment vertical="center"/>
    </xf>
    <xf numFmtId="0" fontId="4" fillId="0" borderId="0" xfId="0" applyFont="1" applyFill="1" applyBorder="1" applyAlignment="1">
      <alignment vertical="center"/>
    </xf>
    <xf numFmtId="0" fontId="4" fillId="24" borderId="0" xfId="0" applyFont="1" applyFill="1" applyBorder="1" applyAlignment="1">
      <alignment horizontal="center" vertical="center"/>
    </xf>
    <xf numFmtId="0" fontId="3" fillId="0" borderId="0" xfId="0" applyFont="1" applyFill="1" applyBorder="1">
      <alignment vertical="center"/>
    </xf>
    <xf numFmtId="0" fontId="3" fillId="0" borderId="0" xfId="0" applyFont="1" applyFill="1" applyBorder="1" applyAlignment="1">
      <alignment vertical="center"/>
    </xf>
    <xf numFmtId="0" fontId="39" fillId="2" borderId="2" xfId="0" applyFont="1" applyFill="1" applyBorder="1">
      <alignment vertical="center"/>
    </xf>
    <xf numFmtId="0" fontId="0" fillId="0" borderId="0" xfId="0" applyAlignment="1">
      <alignment horizontal="center" vertical="center"/>
    </xf>
    <xf numFmtId="0" fontId="9" fillId="0" borderId="0" xfId="4" applyFont="1" applyAlignment="1">
      <alignment horizontal="center"/>
    </xf>
    <xf numFmtId="0" fontId="0" fillId="4" borderId="0" xfId="0" applyFill="1" applyBorder="1">
      <alignment vertical="center"/>
    </xf>
    <xf numFmtId="0" fontId="5" fillId="0" borderId="0" xfId="3" applyAlignment="1"/>
    <xf numFmtId="9" fontId="3" fillId="2" borderId="0" xfId="2" applyFont="1" applyFill="1" applyAlignment="1">
      <alignment horizontal="center" vertical="center"/>
    </xf>
    <xf numFmtId="176" fontId="0" fillId="2" borderId="0" xfId="1" applyFont="1" applyFill="1">
      <alignment vertical="center"/>
    </xf>
    <xf numFmtId="9" fontId="0" fillId="0" borderId="0" xfId="2" applyFont="1">
      <alignment vertical="center"/>
    </xf>
    <xf numFmtId="9" fontId="0" fillId="2" borderId="0" xfId="2" applyFont="1" applyFill="1" applyAlignment="1">
      <alignment vertical="center" wrapText="1"/>
    </xf>
    <xf numFmtId="0" fontId="0" fillId="0" borderId="0" xfId="0" applyAlignment="1">
      <alignment vertical="center" wrapText="1"/>
    </xf>
    <xf numFmtId="9" fontId="0" fillId="0" borderId="0" xfId="2" applyFont="1" applyAlignment="1">
      <alignment vertical="center" wrapText="1"/>
    </xf>
    <xf numFmtId="178" fontId="9" fillId="5" borderId="2" xfId="1" applyNumberFormat="1" applyFont="1" applyFill="1" applyBorder="1" applyAlignment="1">
      <alignment vertical="center"/>
    </xf>
    <xf numFmtId="178" fontId="4" fillId="20" borderId="20" xfId="1" applyNumberFormat="1" applyFont="1" applyFill="1" applyBorder="1" applyAlignment="1">
      <alignment horizontal="center" vertical="center"/>
    </xf>
    <xf numFmtId="178" fontId="17" fillId="0" borderId="0" xfId="1" applyNumberFormat="1" applyFont="1">
      <alignment vertical="center"/>
    </xf>
    <xf numFmtId="9" fontId="0" fillId="0" borderId="0" xfId="2" applyNumberFormat="1" applyFont="1">
      <alignment vertical="center"/>
    </xf>
    <xf numFmtId="0" fontId="51" fillId="0" borderId="0" xfId="4" applyFont="1" applyAlignment="1">
      <alignment horizontal="center"/>
    </xf>
    <xf numFmtId="183" fontId="17" fillId="9" borderId="0" xfId="1" applyNumberFormat="1" applyFont="1" applyFill="1" applyAlignment="1">
      <alignment horizontal="center"/>
    </xf>
    <xf numFmtId="183" fontId="18" fillId="0" borderId="0" xfId="1" applyNumberFormat="1" applyFont="1" applyAlignment="1"/>
    <xf numFmtId="0" fontId="0" fillId="9" borderId="0" xfId="0" applyFill="1">
      <alignment vertical="center"/>
    </xf>
    <xf numFmtId="0" fontId="3" fillId="9" borderId="0" xfId="0" applyFont="1" applyFill="1" applyAlignment="1">
      <alignment horizontal="center" vertical="center"/>
    </xf>
    <xf numFmtId="0" fontId="17" fillId="0" borderId="0" xfId="4" applyFont="1" applyAlignment="1">
      <alignment horizontal="center"/>
    </xf>
    <xf numFmtId="0" fontId="9" fillId="9" borderId="0" xfId="4" applyFont="1" applyFill="1" applyAlignment="1">
      <alignment horizontal="center"/>
    </xf>
    <xf numFmtId="0" fontId="0" fillId="2" borderId="0" xfId="0" applyFill="1" applyBorder="1" applyAlignment="1">
      <alignment horizontal="center" vertical="center"/>
    </xf>
    <xf numFmtId="0" fontId="4" fillId="0" borderId="2" xfId="0" applyFont="1" applyFill="1" applyBorder="1" applyAlignment="1">
      <alignment horizontal="center" vertical="center"/>
    </xf>
    <xf numFmtId="0" fontId="44" fillId="14" borderId="2" xfId="0" applyFont="1" applyFill="1" applyBorder="1" applyAlignment="1">
      <alignment horizontal="center" vertical="center"/>
    </xf>
    <xf numFmtId="0" fontId="3" fillId="0" borderId="15" xfId="0" applyFont="1" applyFill="1" applyBorder="1" applyAlignment="1">
      <alignment horizontal="left" vertical="center"/>
    </xf>
    <xf numFmtId="0" fontId="57" fillId="2" borderId="1" xfId="0" applyFont="1" applyFill="1" applyBorder="1" applyAlignment="1">
      <alignment horizontal="center" vertical="center"/>
    </xf>
    <xf numFmtId="0" fontId="57" fillId="2" borderId="2" xfId="0" applyFont="1" applyFill="1" applyBorder="1" applyAlignment="1">
      <alignment horizontal="center" vertical="center"/>
    </xf>
    <xf numFmtId="0" fontId="57" fillId="2" borderId="3" xfId="0" applyFont="1" applyFill="1" applyBorder="1" applyAlignment="1">
      <alignment horizontal="center" vertical="center"/>
    </xf>
    <xf numFmtId="0" fontId="58" fillId="2" borderId="6" xfId="0" applyFont="1" applyFill="1" applyBorder="1">
      <alignment vertical="center"/>
    </xf>
    <xf numFmtId="0" fontId="58" fillId="2" borderId="0" xfId="0" applyFont="1" applyFill="1" applyBorder="1">
      <alignment vertical="center"/>
    </xf>
    <xf numFmtId="0" fontId="58" fillId="2" borderId="7" xfId="0" applyFont="1" applyFill="1" applyBorder="1">
      <alignment vertical="center"/>
    </xf>
    <xf numFmtId="0" fontId="58" fillId="2" borderId="14" xfId="0" applyFont="1" applyFill="1" applyBorder="1">
      <alignment vertical="center"/>
    </xf>
    <xf numFmtId="0" fontId="58" fillId="2" borderId="15" xfId="0" applyFont="1" applyFill="1" applyBorder="1">
      <alignment vertical="center"/>
    </xf>
    <xf numFmtId="0" fontId="58" fillId="2" borderId="16" xfId="0" applyFont="1" applyFill="1" applyBorder="1">
      <alignment vertical="center"/>
    </xf>
    <xf numFmtId="0" fontId="58" fillId="2" borderId="1" xfId="0" applyFont="1" applyFill="1" applyBorder="1">
      <alignment vertical="center"/>
    </xf>
    <xf numFmtId="0" fontId="58" fillId="2" borderId="2" xfId="0" applyFont="1" applyFill="1" applyBorder="1">
      <alignment vertical="center"/>
    </xf>
    <xf numFmtId="0" fontId="58" fillId="2" borderId="3" xfId="0" applyFont="1" applyFill="1" applyBorder="1">
      <alignment vertical="center"/>
    </xf>
    <xf numFmtId="0" fontId="58" fillId="2" borderId="6" xfId="0" applyFont="1" applyFill="1" applyBorder="1" applyAlignment="1">
      <alignment vertical="center"/>
    </xf>
    <xf numFmtId="0" fontId="58" fillId="2" borderId="0" xfId="0" applyFont="1" applyFill="1" applyBorder="1" applyAlignment="1">
      <alignment vertical="center"/>
    </xf>
    <xf numFmtId="0" fontId="58" fillId="2" borderId="7" xfId="0" applyFont="1" applyFill="1" applyBorder="1" applyAlignment="1">
      <alignment vertical="center"/>
    </xf>
    <xf numFmtId="9" fontId="58" fillId="2" borderId="6" xfId="2" applyFont="1" applyFill="1" applyBorder="1">
      <alignment vertical="center"/>
    </xf>
    <xf numFmtId="9" fontId="58" fillId="2" borderId="0" xfId="2" applyFont="1" applyFill="1" applyBorder="1">
      <alignment vertical="center"/>
    </xf>
    <xf numFmtId="9" fontId="58" fillId="2" borderId="7" xfId="2" applyFont="1" applyFill="1" applyBorder="1">
      <alignment vertical="center"/>
    </xf>
    <xf numFmtId="178" fontId="58" fillId="2" borderId="6" xfId="0" applyNumberFormat="1" applyFont="1" applyFill="1" applyBorder="1">
      <alignment vertical="center"/>
    </xf>
    <xf numFmtId="178" fontId="58" fillId="2" borderId="0" xfId="0" applyNumberFormat="1" applyFont="1" applyFill="1" applyBorder="1">
      <alignment vertical="center"/>
    </xf>
    <xf numFmtId="178" fontId="58" fillId="2" borderId="7" xfId="0" applyNumberFormat="1" applyFont="1" applyFill="1" applyBorder="1">
      <alignment vertical="center"/>
    </xf>
    <xf numFmtId="178" fontId="58" fillId="2" borderId="6" xfId="2" applyNumberFormat="1" applyFont="1" applyFill="1" applyBorder="1">
      <alignment vertical="center"/>
    </xf>
    <xf numFmtId="178" fontId="58" fillId="2" borderId="0" xfId="2" applyNumberFormat="1" applyFont="1" applyFill="1" applyBorder="1">
      <alignment vertical="center"/>
    </xf>
    <xf numFmtId="178" fontId="58" fillId="2" borderId="7" xfId="2" applyNumberFormat="1" applyFont="1" applyFill="1" applyBorder="1">
      <alignment vertical="center"/>
    </xf>
    <xf numFmtId="180" fontId="58" fillId="2" borderId="6" xfId="2" applyNumberFormat="1" applyFont="1" applyFill="1" applyBorder="1">
      <alignment vertical="center"/>
    </xf>
    <xf numFmtId="180" fontId="58" fillId="2" borderId="0" xfId="2" applyNumberFormat="1" applyFont="1" applyFill="1" applyBorder="1">
      <alignment vertical="center"/>
    </xf>
    <xf numFmtId="180" fontId="58" fillId="2" borderId="7" xfId="2" applyNumberFormat="1" applyFont="1" applyFill="1" applyBorder="1">
      <alignment vertical="center"/>
    </xf>
    <xf numFmtId="9" fontId="58" fillId="2" borderId="6" xfId="2" applyFont="1" applyFill="1" applyBorder="1" applyAlignment="1">
      <alignment vertical="center"/>
    </xf>
    <xf numFmtId="9" fontId="58" fillId="2" borderId="0" xfId="2" applyFont="1" applyFill="1" applyBorder="1" applyAlignment="1">
      <alignment vertical="center"/>
    </xf>
    <xf numFmtId="9" fontId="58" fillId="2" borderId="7" xfId="2" applyFont="1" applyFill="1" applyBorder="1" applyAlignment="1">
      <alignment vertical="center"/>
    </xf>
    <xf numFmtId="181" fontId="58" fillId="2" borderId="6" xfId="0" applyNumberFormat="1" applyFont="1" applyFill="1" applyBorder="1">
      <alignment vertical="center"/>
    </xf>
    <xf numFmtId="181" fontId="58" fillId="2" borderId="0" xfId="0" applyNumberFormat="1" applyFont="1" applyFill="1" applyBorder="1">
      <alignment vertical="center"/>
    </xf>
    <xf numFmtId="181" fontId="58" fillId="2" borderId="7" xfId="0" applyNumberFormat="1" applyFont="1" applyFill="1" applyBorder="1">
      <alignment vertical="center"/>
    </xf>
    <xf numFmtId="179" fontId="58" fillId="2" borderId="6" xfId="2" applyNumberFormat="1" applyFont="1" applyFill="1" applyBorder="1">
      <alignment vertical="center"/>
    </xf>
    <xf numFmtId="179" fontId="58" fillId="2" borderId="0" xfId="2" applyNumberFormat="1" applyFont="1" applyFill="1" applyBorder="1">
      <alignment vertical="center"/>
    </xf>
    <xf numFmtId="179" fontId="58" fillId="2" borderId="7" xfId="2" applyNumberFormat="1" applyFont="1" applyFill="1" applyBorder="1">
      <alignment vertical="center"/>
    </xf>
    <xf numFmtId="9" fontId="58" fillId="2" borderId="14" xfId="2" applyFont="1" applyFill="1" applyBorder="1">
      <alignment vertical="center"/>
    </xf>
    <xf numFmtId="9" fontId="58" fillId="2" borderId="15" xfId="2" applyFont="1" applyFill="1" applyBorder="1">
      <alignment vertical="center"/>
    </xf>
    <xf numFmtId="9" fontId="58" fillId="2" borderId="16" xfId="2" applyFont="1" applyFill="1" applyBorder="1">
      <alignment vertical="center"/>
    </xf>
    <xf numFmtId="0" fontId="9" fillId="5" borderId="5" xfId="0" applyFont="1" applyFill="1" applyBorder="1" applyAlignment="1">
      <alignment vertical="center"/>
    </xf>
    <xf numFmtId="0" fontId="9" fillId="5" borderId="2" xfId="0" applyFont="1" applyFill="1" applyBorder="1" applyAlignment="1">
      <alignment vertical="center"/>
    </xf>
    <xf numFmtId="0" fontId="9" fillId="5" borderId="4" xfId="0" applyFont="1" applyFill="1" applyBorder="1" applyAlignment="1">
      <alignment vertical="center"/>
    </xf>
    <xf numFmtId="0" fontId="9" fillId="5" borderId="29" xfId="0" applyFont="1" applyFill="1" applyBorder="1" applyAlignment="1">
      <alignment vertical="center"/>
    </xf>
    <xf numFmtId="179" fontId="4" fillId="7" borderId="20" xfId="0" applyNumberFormat="1" applyFont="1" applyFill="1" applyBorder="1" applyAlignment="1">
      <alignment horizontal="center" vertical="center"/>
    </xf>
    <xf numFmtId="0" fontId="9" fillId="5" borderId="35" xfId="0" applyFont="1" applyFill="1" applyBorder="1" applyAlignment="1">
      <alignment vertical="center"/>
    </xf>
    <xf numFmtId="0" fontId="4" fillId="25" borderId="35" xfId="0" applyFont="1" applyFill="1" applyBorder="1" applyAlignment="1">
      <alignment horizontal="center" vertical="center"/>
    </xf>
    <xf numFmtId="0" fontId="4" fillId="25" borderId="36" xfId="0" applyFont="1" applyFill="1" applyBorder="1" applyAlignment="1">
      <alignment horizontal="center" vertical="center"/>
    </xf>
    <xf numFmtId="0" fontId="17" fillId="13" borderId="0" xfId="0" applyFont="1" applyFill="1" applyAlignment="1">
      <alignment horizontal="center" wrapText="1"/>
    </xf>
    <xf numFmtId="0" fontId="17" fillId="21" borderId="0" xfId="0" applyFont="1" applyFill="1" applyAlignment="1">
      <alignment horizontal="center" wrapText="1"/>
    </xf>
    <xf numFmtId="0" fontId="17" fillId="26" borderId="0" xfId="0" applyFont="1" applyFill="1" applyAlignment="1">
      <alignment horizontal="center"/>
    </xf>
    <xf numFmtId="9" fontId="17" fillId="21" borderId="0" xfId="2" applyNumberFormat="1" applyFont="1" applyFill="1" applyAlignment="1">
      <alignment horizontal="center" wrapText="1"/>
    </xf>
    <xf numFmtId="9" fontId="17" fillId="23" borderId="0" xfId="2" applyFont="1" applyFill="1" applyAlignment="1">
      <alignment horizontal="center" wrapText="1"/>
    </xf>
    <xf numFmtId="0" fontId="17" fillId="23" borderId="0" xfId="0" applyFont="1" applyFill="1" applyAlignment="1">
      <alignment horizontal="center" wrapText="1"/>
    </xf>
    <xf numFmtId="0" fontId="17" fillId="0" borderId="0" xfId="0" applyFont="1" applyAlignment="1">
      <alignment horizontal="center"/>
    </xf>
    <xf numFmtId="0" fontId="4" fillId="18" borderId="0" xfId="0" applyFont="1" applyFill="1" applyAlignment="1">
      <alignment horizontal="center"/>
    </xf>
    <xf numFmtId="0" fontId="4" fillId="0" borderId="0" xfId="0" applyFont="1" applyAlignment="1">
      <alignment horizontal="center" vertical="center"/>
    </xf>
    <xf numFmtId="0" fontId="61" fillId="0" borderId="0" xfId="0" applyFont="1" applyAlignment="1">
      <alignment horizontal="center" vertical="center"/>
    </xf>
    <xf numFmtId="0" fontId="3" fillId="9" borderId="10" xfId="0" applyFont="1" applyFill="1" applyBorder="1" applyAlignment="1">
      <alignment horizontal="center" vertical="center"/>
    </xf>
    <xf numFmtId="176" fontId="3" fillId="9" borderId="8" xfId="1" applyFont="1" applyFill="1" applyBorder="1" applyAlignment="1">
      <alignment horizontal="center" vertical="center"/>
    </xf>
    <xf numFmtId="2" fontId="3" fillId="9" borderId="17" xfId="1" applyNumberFormat="1" applyFont="1" applyFill="1" applyBorder="1" applyAlignment="1">
      <alignment horizontal="center" vertical="center"/>
    </xf>
    <xf numFmtId="2" fontId="3" fillId="9" borderId="11" xfId="0" applyNumberFormat="1" applyFont="1" applyFill="1" applyBorder="1" applyAlignment="1">
      <alignment horizontal="center" vertical="center"/>
    </xf>
    <xf numFmtId="1" fontId="3" fillId="9" borderId="12" xfId="1" applyNumberFormat="1" applyFont="1" applyFill="1" applyBorder="1" applyAlignment="1">
      <alignment horizontal="center" vertical="center"/>
    </xf>
    <xf numFmtId="1" fontId="3" fillId="9" borderId="20" xfId="1" applyNumberFormat="1" applyFont="1" applyFill="1" applyBorder="1" applyAlignment="1">
      <alignment horizontal="center" vertical="center"/>
    </xf>
    <xf numFmtId="0" fontId="3" fillId="28" borderId="10" xfId="0" applyFont="1" applyFill="1" applyBorder="1">
      <alignment vertical="center"/>
    </xf>
    <xf numFmtId="183" fontId="3" fillId="28" borderId="8" xfId="1" applyNumberFormat="1" applyFont="1" applyFill="1" applyBorder="1">
      <alignment vertical="center"/>
    </xf>
    <xf numFmtId="3" fontId="3" fillId="28" borderId="17" xfId="0" applyNumberFormat="1" applyFont="1" applyFill="1" applyBorder="1" applyAlignment="1">
      <alignment horizontal="center" vertical="center"/>
    </xf>
    <xf numFmtId="0" fontId="3" fillId="28" borderId="31" xfId="0" applyFont="1" applyFill="1" applyBorder="1">
      <alignment vertical="center"/>
    </xf>
    <xf numFmtId="183" fontId="3" fillId="28" borderId="9" xfId="1" applyNumberFormat="1" applyFont="1" applyFill="1" applyBorder="1">
      <alignment vertical="center"/>
    </xf>
    <xf numFmtId="0" fontId="3" fillId="28" borderId="32" xfId="0" applyFont="1" applyFill="1" applyBorder="1">
      <alignment vertical="center"/>
    </xf>
    <xf numFmtId="9" fontId="3" fillId="28" borderId="9" xfId="2" applyFont="1" applyFill="1" applyBorder="1">
      <alignment vertical="center"/>
    </xf>
    <xf numFmtId="10" fontId="3" fillId="28" borderId="9" xfId="0" applyNumberFormat="1" applyFont="1" applyFill="1" applyBorder="1">
      <alignment vertical="center"/>
    </xf>
    <xf numFmtId="10" fontId="3" fillId="28" borderId="31" xfId="0" applyNumberFormat="1" applyFont="1" applyFill="1" applyBorder="1">
      <alignment vertical="center"/>
    </xf>
    <xf numFmtId="176" fontId="3" fillId="28" borderId="9" xfId="1" applyFont="1" applyFill="1" applyBorder="1">
      <alignment vertical="center"/>
    </xf>
    <xf numFmtId="0" fontId="3" fillId="28" borderId="32" xfId="0" applyFont="1" applyFill="1" applyBorder="1" applyAlignment="1">
      <alignment horizontal="left" vertical="center"/>
    </xf>
    <xf numFmtId="2" fontId="3" fillId="28" borderId="32" xfId="1" applyNumberFormat="1" applyFont="1" applyFill="1" applyBorder="1" applyAlignment="1">
      <alignment horizontal="left" vertical="center"/>
    </xf>
    <xf numFmtId="0" fontId="3" fillId="28" borderId="37" xfId="0" applyFont="1" applyFill="1" applyBorder="1">
      <alignment vertical="center"/>
    </xf>
    <xf numFmtId="9" fontId="3" fillId="28" borderId="38" xfId="2" applyFont="1" applyFill="1" applyBorder="1">
      <alignment vertical="center"/>
    </xf>
    <xf numFmtId="2" fontId="3" fillId="28" borderId="39" xfId="1" applyNumberFormat="1" applyFont="1" applyFill="1" applyBorder="1" applyAlignment="1">
      <alignment horizontal="left" vertical="center"/>
    </xf>
    <xf numFmtId="0" fontId="3" fillId="27" borderId="10" xfId="0" applyFont="1" applyFill="1" applyBorder="1">
      <alignment vertical="center"/>
    </xf>
    <xf numFmtId="176" fontId="3" fillId="27" borderId="8" xfId="1" applyNumberFormat="1" applyFont="1" applyFill="1" applyBorder="1">
      <alignment vertical="center"/>
    </xf>
    <xf numFmtId="0" fontId="3" fillId="27" borderId="17" xfId="0" applyFont="1" applyFill="1" applyBorder="1">
      <alignment vertical="center"/>
    </xf>
    <xf numFmtId="0" fontId="3" fillId="27" borderId="31" xfId="0" applyFont="1" applyFill="1" applyBorder="1">
      <alignment vertical="center"/>
    </xf>
    <xf numFmtId="183" fontId="3" fillId="27" borderId="9" xfId="1" applyNumberFormat="1" applyFont="1" applyFill="1" applyBorder="1">
      <alignment vertical="center"/>
    </xf>
    <xf numFmtId="0" fontId="3" fillId="27" borderId="32" xfId="0" applyFont="1" applyFill="1" applyBorder="1">
      <alignment vertical="center"/>
    </xf>
    <xf numFmtId="183" fontId="3" fillId="27" borderId="9" xfId="1" applyNumberFormat="1" applyFont="1" applyFill="1" applyBorder="1" applyAlignment="1">
      <alignment horizontal="right" vertical="center"/>
    </xf>
    <xf numFmtId="0" fontId="3" fillId="27" borderId="11" xfId="0" applyFont="1" applyFill="1" applyBorder="1">
      <alignment vertical="center"/>
    </xf>
    <xf numFmtId="0" fontId="35" fillId="27" borderId="12" xfId="0" applyFont="1" applyFill="1" applyBorder="1" applyAlignment="1">
      <alignment horizontal="right" vertical="center"/>
    </xf>
    <xf numFmtId="0" fontId="0" fillId="27" borderId="20" xfId="0" applyFill="1" applyBorder="1">
      <alignment vertical="center"/>
    </xf>
    <xf numFmtId="0" fontId="17" fillId="0" borderId="0" xfId="0" applyFont="1" applyFill="1" applyAlignment="1">
      <alignment horizontal="center" vertical="center" wrapText="1"/>
    </xf>
    <xf numFmtId="0" fontId="3" fillId="0" borderId="0" xfId="0" applyFont="1" applyFill="1" applyAlignment="1">
      <alignment horizontal="center" vertical="center"/>
    </xf>
    <xf numFmtId="0" fontId="0" fillId="0" borderId="0" xfId="0" applyFill="1">
      <alignment vertical="center"/>
    </xf>
    <xf numFmtId="176" fontId="17" fillId="18" borderId="0" xfId="1" applyFont="1" applyFill="1" applyAlignment="1">
      <alignment horizontal="center"/>
    </xf>
    <xf numFmtId="176" fontId="0" fillId="0" borderId="0" xfId="1" applyFont="1">
      <alignment vertical="center"/>
    </xf>
    <xf numFmtId="0" fontId="5" fillId="0" borderId="0" xfId="3">
      <alignment vertical="center"/>
    </xf>
    <xf numFmtId="4" fontId="0" fillId="0" borderId="0" xfId="0" applyNumberFormat="1">
      <alignment vertical="center"/>
    </xf>
    <xf numFmtId="0" fontId="5" fillId="29" borderId="0" xfId="3" applyFill="1" applyAlignment="1">
      <alignment vertical="center" wrapText="1"/>
    </xf>
    <xf numFmtId="0" fontId="5" fillId="30" borderId="0" xfId="3" applyFill="1" applyAlignment="1">
      <alignment vertical="center" wrapText="1"/>
    </xf>
    <xf numFmtId="0" fontId="5" fillId="7" borderId="0" xfId="3" applyFill="1" applyAlignment="1">
      <alignment vertical="center" wrapText="1"/>
    </xf>
    <xf numFmtId="0" fontId="4" fillId="7" borderId="0" xfId="0" applyFont="1" applyFill="1">
      <alignment vertical="center"/>
    </xf>
    <xf numFmtId="0" fontId="17" fillId="7" borderId="0" xfId="0" applyFont="1" applyFill="1">
      <alignment vertical="center"/>
    </xf>
    <xf numFmtId="0" fontId="17" fillId="7" borderId="0" xfId="0" applyFont="1" applyFill="1" applyAlignment="1">
      <alignment horizontal="center" vertical="center"/>
    </xf>
    <xf numFmtId="178" fontId="17" fillId="7" borderId="0" xfId="2" applyNumberFormat="1" applyFont="1" applyFill="1" applyAlignment="1">
      <alignment horizontal="center" vertical="center"/>
    </xf>
    <xf numFmtId="176" fontId="17" fillId="7" borderId="0" xfId="1" applyFont="1" applyFill="1">
      <alignment vertical="center"/>
    </xf>
    <xf numFmtId="178" fontId="17" fillId="7" borderId="0" xfId="1" applyNumberFormat="1" applyFont="1" applyFill="1">
      <alignment vertical="center"/>
    </xf>
    <xf numFmtId="0" fontId="0" fillId="7" borderId="0" xfId="0" applyFont="1" applyFill="1">
      <alignment vertical="center"/>
    </xf>
    <xf numFmtId="0" fontId="0" fillId="7" borderId="0" xfId="0" applyFill="1">
      <alignment vertical="center"/>
    </xf>
    <xf numFmtId="0" fontId="4" fillId="0" borderId="1" xfId="0" applyFont="1" applyFill="1" applyBorder="1" applyAlignment="1">
      <alignment horizontal="center" vertical="center"/>
    </xf>
    <xf numFmtId="0" fontId="4" fillId="0" borderId="3" xfId="0" applyFont="1" applyFill="1" applyBorder="1" applyAlignment="1">
      <alignment horizontal="center" vertical="center"/>
    </xf>
    <xf numFmtId="0" fontId="4" fillId="0" borderId="1" xfId="0" applyFont="1" applyFill="1" applyBorder="1" applyAlignment="1">
      <alignment vertical="center"/>
    </xf>
    <xf numFmtId="0" fontId="4" fillId="0" borderId="2" xfId="0" applyFont="1" applyFill="1" applyBorder="1" applyAlignment="1">
      <alignment vertical="center"/>
    </xf>
    <xf numFmtId="0" fontId="4" fillId="0" borderId="3" xfId="0" applyFont="1" applyFill="1" applyBorder="1" applyAlignment="1">
      <alignment vertical="center"/>
    </xf>
    <xf numFmtId="0" fontId="42" fillId="14" borderId="2" xfId="0" applyFont="1" applyFill="1" applyBorder="1" applyAlignment="1">
      <alignment horizontal="center" vertical="center"/>
    </xf>
    <xf numFmtId="0" fontId="42" fillId="14" borderId="0" xfId="0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left" vertical="center"/>
    </xf>
    <xf numFmtId="181" fontId="43" fillId="2" borderId="0" xfId="0" applyNumberFormat="1" applyFont="1" applyFill="1" applyBorder="1" applyAlignment="1">
      <alignment horizontal="center" vertical="center"/>
    </xf>
    <xf numFmtId="0" fontId="0" fillId="2" borderId="6" xfId="0" applyFill="1" applyBorder="1" applyAlignment="1">
      <alignment horizontal="center" vertical="center"/>
    </xf>
    <xf numFmtId="0" fontId="0" fillId="2" borderId="0" xfId="0" applyFill="1" applyBorder="1" applyAlignment="1">
      <alignment horizontal="center" vertical="center"/>
    </xf>
    <xf numFmtId="0" fontId="0" fillId="2" borderId="7" xfId="0" applyFill="1" applyBorder="1" applyAlignment="1">
      <alignment horizontal="center" vertical="center"/>
    </xf>
    <xf numFmtId="0" fontId="56" fillId="2" borderId="0" xfId="0" applyFont="1" applyFill="1" applyBorder="1" applyAlignment="1">
      <alignment horizontal="center" vertical="center"/>
    </xf>
    <xf numFmtId="9" fontId="43" fillId="2" borderId="0" xfId="2" applyFont="1" applyFill="1" applyBorder="1" applyAlignment="1">
      <alignment horizontal="center" vertical="center"/>
    </xf>
    <xf numFmtId="0" fontId="0" fillId="4" borderId="0" xfId="0" applyFill="1" applyBorder="1" applyAlignment="1">
      <alignment horizontal="center" vertical="center"/>
    </xf>
    <xf numFmtId="0" fontId="3" fillId="10" borderId="23" xfId="0" applyFont="1" applyFill="1" applyBorder="1" applyAlignment="1">
      <alignment horizontal="center" vertical="center" wrapText="1"/>
    </xf>
    <xf numFmtId="0" fontId="3" fillId="10" borderId="24" xfId="0" applyFont="1" applyFill="1" applyBorder="1" applyAlignment="1">
      <alignment horizontal="center" vertical="center" wrapText="1"/>
    </xf>
    <xf numFmtId="3" fontId="3" fillId="10" borderId="23" xfId="3" applyNumberFormat="1" applyFont="1" applyFill="1" applyBorder="1" applyAlignment="1">
      <alignment horizontal="center" vertical="center" wrapText="1"/>
    </xf>
    <xf numFmtId="3" fontId="3" fillId="10" borderId="24" xfId="3" applyNumberFormat="1" applyFont="1" applyFill="1" applyBorder="1" applyAlignment="1">
      <alignment horizontal="center" vertical="center" wrapText="1"/>
    </xf>
    <xf numFmtId="10" fontId="3" fillId="10" borderId="23" xfId="3" applyNumberFormat="1" applyFont="1" applyFill="1" applyBorder="1" applyAlignment="1">
      <alignment horizontal="center" vertical="center" wrapText="1"/>
    </xf>
    <xf numFmtId="10" fontId="3" fillId="10" borderId="24" xfId="3" applyNumberFormat="1" applyFont="1" applyFill="1" applyBorder="1" applyAlignment="1">
      <alignment horizontal="center" vertical="center" wrapText="1"/>
    </xf>
    <xf numFmtId="0" fontId="16" fillId="12" borderId="26" xfId="3" applyFont="1" applyFill="1" applyBorder="1" applyAlignment="1">
      <alignment vertical="center" wrapText="1"/>
    </xf>
    <xf numFmtId="0" fontId="16" fillId="12" borderId="27" xfId="3" applyFont="1" applyFill="1" applyBorder="1" applyAlignment="1">
      <alignment vertical="center" wrapText="1"/>
    </xf>
    <xf numFmtId="0" fontId="16" fillId="12" borderId="28" xfId="3" applyFont="1" applyFill="1" applyBorder="1" applyAlignment="1">
      <alignment vertical="center" wrapText="1"/>
    </xf>
    <xf numFmtId="20" fontId="0" fillId="11" borderId="23" xfId="3" applyNumberFormat="1" applyFont="1" applyFill="1" applyBorder="1" applyAlignment="1">
      <alignment horizontal="center" vertical="center"/>
    </xf>
    <xf numFmtId="20" fontId="0" fillId="11" borderId="25" xfId="3" applyNumberFormat="1" applyFont="1" applyFill="1" applyBorder="1" applyAlignment="1">
      <alignment horizontal="center" vertical="center"/>
    </xf>
    <xf numFmtId="20" fontId="0" fillId="11" borderId="24" xfId="3" applyNumberFormat="1" applyFont="1" applyFill="1" applyBorder="1" applyAlignment="1">
      <alignment horizontal="center" vertical="center"/>
    </xf>
    <xf numFmtId="3" fontId="3" fillId="11" borderId="23" xfId="3" applyNumberFormat="1" applyFont="1" applyFill="1" applyBorder="1" applyAlignment="1">
      <alignment horizontal="center" vertical="center"/>
    </xf>
    <xf numFmtId="3" fontId="3" fillId="11" borderId="25" xfId="3" applyNumberFormat="1" applyFont="1" applyFill="1" applyBorder="1" applyAlignment="1">
      <alignment horizontal="center" vertical="center"/>
    </xf>
    <xf numFmtId="3" fontId="3" fillId="11" borderId="24" xfId="3" applyNumberFormat="1" applyFont="1" applyFill="1" applyBorder="1" applyAlignment="1">
      <alignment horizontal="center" vertical="center"/>
    </xf>
    <xf numFmtId="10" fontId="0" fillId="11" borderId="23" xfId="3" applyNumberFormat="1" applyFont="1" applyFill="1" applyBorder="1" applyAlignment="1">
      <alignment horizontal="center" vertical="center"/>
    </xf>
    <xf numFmtId="10" fontId="0" fillId="11" borderId="25" xfId="3" applyNumberFormat="1" applyFont="1" applyFill="1" applyBorder="1" applyAlignment="1">
      <alignment horizontal="center" vertical="center"/>
    </xf>
    <xf numFmtId="10" fontId="0" fillId="11" borderId="24" xfId="3" applyNumberFormat="1" applyFont="1" applyFill="1" applyBorder="1" applyAlignment="1">
      <alignment horizontal="center" vertical="center"/>
    </xf>
    <xf numFmtId="0" fontId="0" fillId="11" borderId="23" xfId="3" applyFont="1" applyFill="1" applyBorder="1" applyAlignment="1">
      <alignment horizontal="center" vertical="center"/>
    </xf>
    <xf numFmtId="0" fontId="0" fillId="11" borderId="25" xfId="3" applyFont="1" applyFill="1" applyBorder="1" applyAlignment="1">
      <alignment horizontal="center" vertical="center"/>
    </xf>
    <xf numFmtId="0" fontId="0" fillId="11" borderId="24" xfId="3" applyFont="1" applyFill="1" applyBorder="1" applyAlignment="1">
      <alignment horizontal="center" vertical="center"/>
    </xf>
    <xf numFmtId="0" fontId="16" fillId="11" borderId="23" xfId="0" applyFont="1" applyFill="1" applyBorder="1" applyAlignment="1">
      <alignment horizontal="center" vertical="center"/>
    </xf>
    <xf numFmtId="0" fontId="16" fillId="11" borderId="25" xfId="0" applyFont="1" applyFill="1" applyBorder="1" applyAlignment="1">
      <alignment horizontal="center" vertical="center"/>
    </xf>
    <xf numFmtId="0" fontId="16" fillId="11" borderId="24" xfId="0" applyFont="1" applyFill="1" applyBorder="1" applyAlignment="1">
      <alignment horizontal="center" vertical="center"/>
    </xf>
    <xf numFmtId="3" fontId="0" fillId="11" borderId="23" xfId="0" applyNumberFormat="1" applyFill="1" applyBorder="1" applyAlignment="1">
      <alignment horizontal="center" vertical="center"/>
    </xf>
    <xf numFmtId="3" fontId="0" fillId="11" borderId="25" xfId="0" applyNumberFormat="1" applyFill="1" applyBorder="1" applyAlignment="1">
      <alignment horizontal="center" vertical="center"/>
    </xf>
    <xf numFmtId="3" fontId="0" fillId="11" borderId="24" xfId="0" applyNumberFormat="1" applyFill="1" applyBorder="1" applyAlignment="1">
      <alignment horizontal="center" vertical="center"/>
    </xf>
    <xf numFmtId="0" fontId="0" fillId="11" borderId="23" xfId="0" applyFill="1" applyBorder="1" applyAlignment="1">
      <alignment horizontal="center" vertical="center"/>
    </xf>
    <xf numFmtId="0" fontId="0" fillId="11" borderId="25" xfId="0" applyFill="1" applyBorder="1" applyAlignment="1">
      <alignment horizontal="center" vertical="center"/>
    </xf>
    <xf numFmtId="0" fontId="0" fillId="11" borderId="24" xfId="0" applyFill="1" applyBorder="1" applyAlignment="1">
      <alignment horizontal="center" vertical="center"/>
    </xf>
    <xf numFmtId="3" fontId="3" fillId="10" borderId="23" xfId="0" applyNumberFormat="1" applyFont="1" applyFill="1" applyBorder="1" applyAlignment="1">
      <alignment horizontal="center" vertical="center" wrapText="1"/>
    </xf>
    <xf numFmtId="3" fontId="3" fillId="10" borderId="24" xfId="0" applyNumberFormat="1" applyFont="1" applyFill="1" applyBorder="1" applyAlignment="1">
      <alignment horizontal="center" vertical="center" wrapText="1"/>
    </xf>
    <xf numFmtId="14" fontId="37" fillId="5" borderId="4" xfId="0" applyNumberFormat="1" applyFont="1" applyFill="1" applyBorder="1" applyAlignment="1">
      <alignment horizontal="center" vertical="center"/>
    </xf>
    <xf numFmtId="14" fontId="37" fillId="5" borderId="29" xfId="0" applyNumberFormat="1" applyFont="1" applyFill="1" applyBorder="1" applyAlignment="1">
      <alignment horizontal="center" vertical="center"/>
    </xf>
    <xf numFmtId="0" fontId="37" fillId="6" borderId="18" xfId="0" applyFont="1" applyFill="1" applyBorder="1" applyAlignment="1">
      <alignment horizontal="left" vertical="center"/>
    </xf>
    <xf numFmtId="0" fontId="37" fillId="6" borderId="19" xfId="0" applyFont="1" applyFill="1" applyBorder="1" applyAlignment="1">
      <alignment horizontal="left" vertical="center"/>
    </xf>
    <xf numFmtId="179" fontId="37" fillId="7" borderId="10" xfId="0" applyNumberFormat="1" applyFont="1" applyFill="1" applyBorder="1" applyAlignment="1">
      <alignment horizontal="left" vertical="center"/>
    </xf>
    <xf numFmtId="179" fontId="37" fillId="7" borderId="8" xfId="0" applyNumberFormat="1" applyFont="1" applyFill="1" applyBorder="1" applyAlignment="1">
      <alignment horizontal="left" vertical="center"/>
    </xf>
    <xf numFmtId="179" fontId="37" fillId="7" borderId="17" xfId="0" applyNumberFormat="1" applyFont="1" applyFill="1" applyBorder="1" applyAlignment="1">
      <alignment horizontal="left" vertical="center"/>
    </xf>
    <xf numFmtId="0" fontId="37" fillId="20" borderId="21" xfId="0" applyFont="1" applyFill="1" applyBorder="1" applyAlignment="1">
      <alignment horizontal="center" vertical="center"/>
    </xf>
    <xf numFmtId="0" fontId="37" fillId="20" borderId="19" xfId="0" applyFont="1" applyFill="1" applyBorder="1" applyAlignment="1">
      <alignment horizontal="center" vertical="center"/>
    </xf>
    <xf numFmtId="179" fontId="37" fillId="8" borderId="1" xfId="0" applyNumberFormat="1" applyFont="1" applyFill="1" applyBorder="1" applyAlignment="1">
      <alignment horizontal="left" vertical="center"/>
    </xf>
    <xf numFmtId="179" fontId="37" fillId="8" borderId="2" xfId="0" applyNumberFormat="1" applyFont="1" applyFill="1" applyBorder="1" applyAlignment="1">
      <alignment horizontal="left" vertical="center"/>
    </xf>
    <xf numFmtId="179" fontId="37" fillId="8" borderId="3" xfId="0" applyNumberFormat="1" applyFont="1" applyFill="1" applyBorder="1" applyAlignment="1">
      <alignment horizontal="left" vertical="center"/>
    </xf>
    <xf numFmtId="0" fontId="9" fillId="5" borderId="4" xfId="0" applyFont="1" applyFill="1" applyBorder="1" applyAlignment="1">
      <alignment horizontal="center" vertical="center"/>
    </xf>
    <xf numFmtId="0" fontId="9" fillId="5" borderId="5" xfId="0" applyFont="1" applyFill="1" applyBorder="1" applyAlignment="1">
      <alignment horizontal="center" vertical="center"/>
    </xf>
    <xf numFmtId="0" fontId="9" fillId="5" borderId="29" xfId="0" applyFont="1" applyFill="1" applyBorder="1" applyAlignment="1">
      <alignment horizontal="center" vertical="center"/>
    </xf>
    <xf numFmtId="0" fontId="31" fillId="14" borderId="0" xfId="0" applyFont="1" applyFill="1" applyAlignment="1">
      <alignment horizontal="center" vertical="center"/>
    </xf>
    <xf numFmtId="0" fontId="3" fillId="2" borderId="4" xfId="0" applyFont="1" applyFill="1" applyBorder="1" applyAlignment="1">
      <alignment horizontal="center" vertical="center"/>
    </xf>
    <xf numFmtId="0" fontId="3" fillId="2" borderId="5" xfId="0" applyFont="1" applyFill="1" applyBorder="1" applyAlignment="1">
      <alignment horizontal="center" vertical="center"/>
    </xf>
    <xf numFmtId="0" fontId="3" fillId="2" borderId="29" xfId="0" applyFont="1" applyFill="1" applyBorder="1" applyAlignment="1">
      <alignment horizontal="center" vertical="center"/>
    </xf>
    <xf numFmtId="0" fontId="40" fillId="14" borderId="0" xfId="0" applyFont="1" applyFill="1" applyBorder="1" applyAlignment="1">
      <alignment horizontal="center" vertical="center"/>
    </xf>
    <xf numFmtId="0" fontId="40" fillId="14" borderId="7" xfId="0" applyFont="1" applyFill="1" applyBorder="1" applyAlignment="1">
      <alignment horizontal="center" vertical="center"/>
    </xf>
    <xf numFmtId="0" fontId="42" fillId="14" borderId="6" xfId="0" applyFont="1" applyFill="1" applyBorder="1" applyAlignment="1">
      <alignment horizontal="center" vertical="center"/>
    </xf>
    <xf numFmtId="0" fontId="59" fillId="0" borderId="1" xfId="0" applyNumberFormat="1" applyFont="1" applyFill="1" applyBorder="1" applyAlignment="1">
      <alignment horizontal="right" vertical="center"/>
    </xf>
    <xf numFmtId="0" fontId="26" fillId="0" borderId="2" xfId="0" applyFont="1" applyFill="1" applyBorder="1" applyAlignment="1">
      <alignment horizontal="center" vertical="center"/>
    </xf>
    <xf numFmtId="1" fontId="3" fillId="0" borderId="2" xfId="0" applyNumberFormat="1" applyFont="1" applyFill="1" applyBorder="1" applyAlignment="1">
      <alignment horizontal="center" vertical="center"/>
    </xf>
  </cellXfs>
  <cellStyles count="6">
    <cellStyle name="一般" xfId="0" builtinId="0"/>
    <cellStyle name="一般 2" xfId="4"/>
    <cellStyle name="千分位" xfId="1" builtinId="3"/>
    <cellStyle name="百分比" xfId="2" builtinId="5"/>
    <cellStyle name="超連結" xfId="3" builtinId="8"/>
    <cellStyle name="超連結 2" xfId="5"/>
  </cellStyles>
  <dxfs count="0"/>
  <tableStyles count="0" defaultTableStyle="TableStyleMedium2" defaultPivotStyle="PivotStyleLight16"/>
  <colors>
    <mruColors>
      <color rgb="FFFFFF00"/>
      <color rgb="FFFFFF99"/>
      <color rgb="FF66FF33"/>
      <color rgb="FF0066FF"/>
      <color rgb="FF0000FF"/>
      <color rgb="FFFF5050"/>
      <color rgb="FFFF33CC"/>
      <color rgb="FFFF9900"/>
      <color rgb="FF660066"/>
      <color rgb="FFCC33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onnections" Target="connection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Relationship Id="rId27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_rels/activeX75.xml.rels><?xml version="1.0" encoding="UTF-8" standalone="yes"?>
<Relationships xmlns="http://schemas.openxmlformats.org/package/2006/relationships"><Relationship Id="rId1" Type="http://schemas.microsoft.com/office/2006/relationships/activeXControlBinary" Target="activeX75.bin"/></Relationships>
</file>

<file path=xl/activeX/_rels/activeX76.xml.rels><?xml version="1.0" encoding="UTF-8" standalone="yes"?>
<Relationships xmlns="http://schemas.openxmlformats.org/package/2006/relationships"><Relationship Id="rId1" Type="http://schemas.microsoft.com/office/2006/relationships/activeXControlBinary" Target="activeX76.bin"/></Relationships>
</file>

<file path=xl/activeX/_rels/activeX77.xml.rels><?xml version="1.0" encoding="UTF-8" standalone="yes"?>
<Relationships xmlns="http://schemas.openxmlformats.org/package/2006/relationships"><Relationship Id="rId1" Type="http://schemas.microsoft.com/office/2006/relationships/activeXControlBinary" Target="activeX77.bin"/></Relationships>
</file>

<file path=xl/activeX/_rels/activeX78.xml.rels><?xml version="1.0" encoding="UTF-8" standalone="yes"?>
<Relationships xmlns="http://schemas.openxmlformats.org/package/2006/relationships"><Relationship Id="rId1" Type="http://schemas.microsoft.com/office/2006/relationships/activeXControlBinary" Target="activeX78.bin"/></Relationships>
</file>

<file path=xl/activeX/_rels/activeX79.xml.rels><?xml version="1.0" encoding="UTF-8" standalone="yes"?>
<Relationships xmlns="http://schemas.openxmlformats.org/package/2006/relationships"><Relationship Id="rId1" Type="http://schemas.microsoft.com/office/2006/relationships/activeXControlBinary" Target="activeX79.bin"/></Relationships>
</file>

<file path=xl/activeX/_rels/activeX80.xml.rels><?xml version="1.0" encoding="UTF-8" standalone="yes"?>
<Relationships xmlns="http://schemas.openxmlformats.org/package/2006/relationships"><Relationship Id="rId1" Type="http://schemas.microsoft.com/office/2006/relationships/activeXControlBinary" Target="activeX80.bin"/></Relationships>
</file>

<file path=xl/activeX/_rels/activeX81.xml.rels><?xml version="1.0" encoding="UTF-8" standalone="yes"?>
<Relationships xmlns="http://schemas.openxmlformats.org/package/2006/relationships"><Relationship Id="rId1" Type="http://schemas.microsoft.com/office/2006/relationships/activeXControlBinary" Target="activeX81.bin"/></Relationships>
</file>

<file path=xl/activeX/_rels/activeX82.xml.rels><?xml version="1.0" encoding="UTF-8" standalone="yes"?>
<Relationships xmlns="http://schemas.openxmlformats.org/package/2006/relationships"><Relationship Id="rId1" Type="http://schemas.microsoft.com/office/2006/relationships/activeXControlBinary" Target="activeX82.bin"/></Relationships>
</file>

<file path=xl/activeX/_rels/activeX83.xml.rels><?xml version="1.0" encoding="UTF-8" standalone="yes"?>
<Relationships xmlns="http://schemas.openxmlformats.org/package/2006/relationships"><Relationship Id="rId1" Type="http://schemas.microsoft.com/office/2006/relationships/activeXControlBinary" Target="activeX83.bin"/></Relationships>
</file>

<file path=xl/activeX/_rels/activeX84.xml.rels><?xml version="1.0" encoding="UTF-8" standalone="yes"?>
<Relationships xmlns="http://schemas.openxmlformats.org/package/2006/relationships"><Relationship Id="rId1" Type="http://schemas.microsoft.com/office/2006/relationships/activeXControlBinary" Target="activeX84.bin"/></Relationships>
</file>

<file path=xl/activeX/_rels/activeX85.xml.rels><?xml version="1.0" encoding="UTF-8" standalone="yes"?>
<Relationships xmlns="http://schemas.openxmlformats.org/package/2006/relationships"><Relationship Id="rId1" Type="http://schemas.microsoft.com/office/2006/relationships/activeXControlBinary" Target="activeX85.bin"/></Relationships>
</file>

<file path=xl/activeX/_rels/activeX86.xml.rels><?xml version="1.0" encoding="UTF-8" standalone="yes"?>
<Relationships xmlns="http://schemas.openxmlformats.org/package/2006/relationships"><Relationship Id="rId1" Type="http://schemas.microsoft.com/office/2006/relationships/activeXControlBinary" Target="activeX86.bin"/></Relationships>
</file>

<file path=xl/activeX/_rels/activeX87.xml.rels><?xml version="1.0" encoding="UTF-8" standalone="yes"?>
<Relationships xmlns="http://schemas.openxmlformats.org/package/2006/relationships"><Relationship Id="rId1" Type="http://schemas.microsoft.com/office/2006/relationships/activeXControlBinary" Target="activeX87.bin"/></Relationships>
</file>

<file path=xl/activeX/_rels/activeX88.xml.rels><?xml version="1.0" encoding="UTF-8" standalone="yes"?>
<Relationships xmlns="http://schemas.openxmlformats.org/package/2006/relationships"><Relationship Id="rId1" Type="http://schemas.microsoft.com/office/2006/relationships/activeXControlBinary" Target="activeX88.bin"/></Relationships>
</file>

<file path=xl/activeX/_rels/activeX89.xml.rels><?xml version="1.0" encoding="UTF-8" standalone="yes"?>
<Relationships xmlns="http://schemas.openxmlformats.org/package/2006/relationships"><Relationship Id="rId1" Type="http://schemas.microsoft.com/office/2006/relationships/activeXControlBinary" Target="activeX89.bin"/></Relationships>
</file>

<file path=xl/activeX/_rels/activeX90.xml.rels><?xml version="1.0" encoding="UTF-8" standalone="yes"?>
<Relationships xmlns="http://schemas.openxmlformats.org/package/2006/relationships"><Relationship Id="rId1" Type="http://schemas.microsoft.com/office/2006/relationships/activeXControlBinary" Target="activeX90.bin"/></Relationships>
</file>

<file path=xl/activeX/_rels/activeX91.xml.rels><?xml version="1.0" encoding="UTF-8" standalone="yes"?>
<Relationships xmlns="http://schemas.openxmlformats.org/package/2006/relationships"><Relationship Id="rId1" Type="http://schemas.microsoft.com/office/2006/relationships/activeXControlBinary" Target="activeX91.bin"/></Relationships>
</file>

<file path=xl/activeX/_rels/activeX92.xml.rels><?xml version="1.0" encoding="UTF-8" standalone="yes"?>
<Relationships xmlns="http://schemas.openxmlformats.org/package/2006/relationships"><Relationship Id="rId1" Type="http://schemas.microsoft.com/office/2006/relationships/activeXControlBinary" Target="activeX92.bin"/></Relationships>
</file>

<file path=xl/activeX/_rels/activeX93.xml.rels><?xml version="1.0" encoding="UTF-8" standalone="yes"?>
<Relationships xmlns="http://schemas.openxmlformats.org/package/2006/relationships"><Relationship Id="rId1" Type="http://schemas.microsoft.com/office/2006/relationships/activeXControlBinary" Target="activeX93.bin"/></Relationships>
</file>

<file path=xl/activeX/_rels/activeX94.xml.rels><?xml version="1.0" encoding="UTF-8" standalone="yes"?>
<Relationships xmlns="http://schemas.openxmlformats.org/package/2006/relationships"><Relationship Id="rId1" Type="http://schemas.microsoft.com/office/2006/relationships/activeXControlBinary" Target="activeX94.bin"/></Relationships>
</file>

<file path=xl/activeX/_rels/activeX95.xml.rels><?xml version="1.0" encoding="UTF-8" standalone="yes"?>
<Relationships xmlns="http://schemas.openxmlformats.org/package/2006/relationships"><Relationship Id="rId1" Type="http://schemas.microsoft.com/office/2006/relationships/activeXControlBinary" Target="activeX95.bin"/></Relationships>
</file>

<file path=xl/activeX/_rels/activeX96.xml.rels><?xml version="1.0" encoding="UTF-8" standalone="yes"?>
<Relationships xmlns="http://schemas.openxmlformats.org/package/2006/relationships"><Relationship Id="rId1" Type="http://schemas.microsoft.com/office/2006/relationships/activeXControlBinary" Target="activeX96.bin"/></Relationships>
</file>

<file path=xl/activeX/_rels/activeX97.xml.rels><?xml version="1.0" encoding="UTF-8" standalone="yes"?>
<Relationships xmlns="http://schemas.openxmlformats.org/package/2006/relationships"><Relationship Id="rId1" Type="http://schemas.microsoft.com/office/2006/relationships/activeXControlBinary" Target="activeX97.bin"/></Relationships>
</file>

<file path=xl/activeX/_rels/activeX98.xml.rels><?xml version="1.0" encoding="UTF-8" standalone="yes"?>
<Relationships xmlns="http://schemas.openxmlformats.org/package/2006/relationships"><Relationship Id="rId1" Type="http://schemas.microsoft.com/office/2006/relationships/activeXControlBinary" Target="activeX98.bin"/></Relationships>
</file>

<file path=xl/activeX/_rels/activeX99.xml.rels><?xml version="1.0" encoding="UTF-8" standalone="yes"?>
<Relationships xmlns="http://schemas.openxmlformats.org/package/2006/relationships"><Relationship Id="rId1" Type="http://schemas.microsoft.com/office/2006/relationships/activeXControlBinary" Target="activeX99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roundedCorners val="1"/>
  <c:chart>
    <c:plotArea>
      <c:layout>
        <c:manualLayout>
          <c:layoutTarget val="inner"/>
          <c:xMode val="edge"/>
          <c:yMode val="edge"/>
          <c:x val="0.1281044247625289"/>
          <c:y val="4.5933650863406811E-2"/>
          <c:w val="0.73818488939135851"/>
          <c:h val="0.88956875746568831"/>
        </c:manualLayout>
      </c:layout>
      <c:barChart>
        <c:barDir val="col"/>
        <c:grouping val="clustered"/>
        <c:ser>
          <c:idx val="0"/>
          <c:order val="0"/>
          <c:tx>
            <c:v>營收</c:v>
          </c:tx>
          <c:spPr>
            <a:solidFill>
              <a:srgbClr val="0070C0"/>
            </a:solidFill>
            <a:scene3d>
              <a:camera prst="orthographicFront"/>
              <a:lightRig rig="threePt" dir="t"/>
            </a:scene3d>
            <a:sp3d>
              <a:bevelT/>
              <a:bevelB prst="angle"/>
            </a:sp3d>
          </c:spPr>
          <c:cat>
            <c:strRef>
              <c:f>紅綠燈!$O$2:$V$2</c:f>
              <c:strCache>
                <c:ptCount val="8"/>
                <c:pt idx="0">
                  <c:v>Q-7</c:v>
                </c:pt>
                <c:pt idx="1">
                  <c:v>Q-6</c:v>
                </c:pt>
                <c:pt idx="2">
                  <c:v>Q-5</c:v>
                </c:pt>
                <c:pt idx="3">
                  <c:v>Q-4</c:v>
                </c:pt>
                <c:pt idx="4">
                  <c:v>Q-3</c:v>
                </c:pt>
                <c:pt idx="5">
                  <c:v>Q-2</c:v>
                </c:pt>
                <c:pt idx="6">
                  <c:v>Q-1</c:v>
                </c:pt>
                <c:pt idx="7">
                  <c:v>Q</c:v>
                </c:pt>
              </c:strCache>
            </c:strRef>
          </c:cat>
          <c:val>
            <c:numRef>
              <c:f>紅綠燈!$O$3:$V$3</c:f>
              <c:numCache>
                <c:formatCode>General</c:formatCode>
                <c:ptCount val="8"/>
                <c:pt idx="0">
                  <c:v>1513</c:v>
                </c:pt>
                <c:pt idx="1">
                  <c:v>1386</c:v>
                </c:pt>
                <c:pt idx="2">
                  <c:v>1629</c:v>
                </c:pt>
                <c:pt idx="3">
                  <c:v>1510</c:v>
                </c:pt>
                <c:pt idx="4">
                  <c:v>1758</c:v>
                </c:pt>
                <c:pt idx="5">
                  <c:v>1651</c:v>
                </c:pt>
                <c:pt idx="6">
                  <c:v>1858</c:v>
                </c:pt>
                <c:pt idx="7">
                  <c:v>1728</c:v>
                </c:pt>
              </c:numCache>
            </c:numRef>
          </c:val>
        </c:ser>
        <c:gapWidth val="125"/>
        <c:axId val="151278336"/>
        <c:axId val="151279872"/>
      </c:barChart>
      <c:lineChart>
        <c:grouping val="standard"/>
        <c:ser>
          <c:idx val="1"/>
          <c:order val="1"/>
          <c:tx>
            <c:strRef>
              <c:f>紅綠燈!$N$22</c:f>
              <c:strCache>
                <c:ptCount val="1"/>
                <c:pt idx="0">
                  <c:v>毛利率</c:v>
                </c:pt>
              </c:strCache>
            </c:strRef>
          </c:tx>
          <c:spPr>
            <a:ln w="44450">
              <a:solidFill>
                <a:srgbClr val="FF0000"/>
              </a:solidFill>
            </a:ln>
          </c:spPr>
          <c:marker>
            <c:symbol val="none"/>
          </c:marker>
          <c:val>
            <c:numRef>
              <c:f>紅綠燈!$O$22:$V$22</c:f>
              <c:numCache>
                <c:formatCode>0%</c:formatCode>
                <c:ptCount val="8"/>
                <c:pt idx="0">
                  <c:v>0.88631857237276934</c:v>
                </c:pt>
                <c:pt idx="1">
                  <c:v>0.88744588744588748</c:v>
                </c:pt>
                <c:pt idx="2">
                  <c:v>0.87415592387968077</c:v>
                </c:pt>
                <c:pt idx="3">
                  <c:v>0.88344370860927157</c:v>
                </c:pt>
                <c:pt idx="4">
                  <c:v>0.89476678043230939</c:v>
                </c:pt>
                <c:pt idx="5">
                  <c:v>0.88370684433676561</c:v>
                </c:pt>
                <c:pt idx="6">
                  <c:v>0.87944025834230355</c:v>
                </c:pt>
                <c:pt idx="7">
                  <c:v>0.87557870370370372</c:v>
                </c:pt>
              </c:numCache>
            </c:numRef>
          </c:val>
          <c:smooth val="1"/>
        </c:ser>
        <c:ser>
          <c:idx val="2"/>
          <c:order val="2"/>
          <c:tx>
            <c:strRef>
              <c:f>紅綠燈!$N$23</c:f>
              <c:strCache>
                <c:ptCount val="1"/>
                <c:pt idx="0">
                  <c:v>淨利率</c:v>
                </c:pt>
              </c:strCache>
            </c:strRef>
          </c:tx>
          <c:spPr>
            <a:ln w="44450">
              <a:solidFill>
                <a:srgbClr val="FFFF00"/>
              </a:solidFill>
            </a:ln>
          </c:spPr>
          <c:marker>
            <c:symbol val="none"/>
          </c:marker>
          <c:val>
            <c:numRef>
              <c:f>紅綠燈!$O$23:$V$23</c:f>
              <c:numCache>
                <c:formatCode>0%</c:formatCode>
                <c:ptCount val="8"/>
                <c:pt idx="0">
                  <c:v>0.16920026437541308</c:v>
                </c:pt>
                <c:pt idx="1">
                  <c:v>0.1406926406926407</c:v>
                </c:pt>
                <c:pt idx="2">
                  <c:v>0.12952731737262124</c:v>
                </c:pt>
                <c:pt idx="3">
                  <c:v>0.16291390728476821</c:v>
                </c:pt>
                <c:pt idx="4">
                  <c:v>0.16552901023890784</c:v>
                </c:pt>
                <c:pt idx="5">
                  <c:v>0.14415505754088431</c:v>
                </c:pt>
                <c:pt idx="6">
                  <c:v>0.13132400430570507</c:v>
                </c:pt>
                <c:pt idx="7">
                  <c:v>0.15162037037037038</c:v>
                </c:pt>
              </c:numCache>
            </c:numRef>
          </c:val>
          <c:smooth val="1"/>
        </c:ser>
        <c:marker val="1"/>
        <c:axId val="151295488"/>
        <c:axId val="151293952"/>
      </c:lineChart>
      <c:catAx>
        <c:axId val="151278336"/>
        <c:scaling>
          <c:orientation val="minMax"/>
        </c:scaling>
        <c:delete val="1"/>
        <c:axPos val="b"/>
        <c:numFmt formatCode="General" sourceLinked="0"/>
        <c:majorTickMark val="none"/>
        <c:tickLblPos val="none"/>
        <c:crossAx val="151279872"/>
        <c:crosses val="autoZero"/>
        <c:auto val="1"/>
        <c:lblAlgn val="ctr"/>
        <c:lblOffset val="100"/>
      </c:catAx>
      <c:valAx>
        <c:axId val="151279872"/>
        <c:scaling>
          <c:orientation val="minMax"/>
        </c:scaling>
        <c:axPos val="l"/>
        <c:numFmt formatCode="General" sourceLinked="1"/>
        <c:majorTickMark val="none"/>
        <c:tickLblPos val="nextTo"/>
        <c:txPr>
          <a:bodyPr/>
          <a:lstStyle/>
          <a:p>
            <a:pPr>
              <a:defRPr sz="1200" b="1"/>
            </a:pPr>
            <a:endParaRPr lang="zh-TW"/>
          </a:p>
        </c:txPr>
        <c:crossAx val="151278336"/>
        <c:crosses val="autoZero"/>
        <c:crossBetween val="between"/>
      </c:valAx>
      <c:valAx>
        <c:axId val="151293952"/>
        <c:scaling>
          <c:orientation val="minMax"/>
        </c:scaling>
        <c:axPos val="r"/>
        <c:numFmt formatCode="0%" sourceLinked="1"/>
        <c:majorTickMark val="none"/>
        <c:tickLblPos val="nextTo"/>
        <c:txPr>
          <a:bodyPr/>
          <a:lstStyle/>
          <a:p>
            <a:pPr>
              <a:defRPr sz="1100" b="0"/>
            </a:pPr>
            <a:endParaRPr lang="zh-TW"/>
          </a:p>
        </c:txPr>
        <c:crossAx val="151295488"/>
        <c:crosses val="max"/>
        <c:crossBetween val="between"/>
      </c:valAx>
      <c:catAx>
        <c:axId val="151295488"/>
        <c:scaling>
          <c:orientation val="minMax"/>
        </c:scaling>
        <c:delete val="1"/>
        <c:axPos val="b"/>
        <c:tickLblPos val="none"/>
        <c:crossAx val="151293952"/>
        <c:crosses val="autoZero"/>
        <c:auto val="1"/>
        <c:lblAlgn val="ctr"/>
        <c:lblOffset val="100"/>
      </c:catAx>
      <c:spPr>
        <a:noFill/>
        <a:ln w="15875">
          <a:solidFill>
            <a:schemeClr val="tx1"/>
          </a:solidFill>
        </a:ln>
      </c:spPr>
    </c:plotArea>
    <c:plotVisOnly val="1"/>
    <c:dispBlanksAs val="gap"/>
  </c:chart>
  <c:spPr>
    <a:noFill/>
    <a:ln w="22225">
      <a:solidFill>
        <a:schemeClr val="tx1"/>
      </a:solidFill>
    </a:ln>
  </c:spPr>
  <c:printSettings>
    <c:headerFooter/>
    <c:pageMargins b="0.750000000000003" l="0.70000000000000062" r="0.70000000000000062" t="0.750000000000003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roundedCorners val="1"/>
  <c:chart>
    <c:plotArea>
      <c:layout>
        <c:manualLayout>
          <c:layoutTarget val="inner"/>
          <c:xMode val="edge"/>
          <c:yMode val="edge"/>
          <c:x val="0.12870726473273641"/>
          <c:y val="6.1852578105156222E-2"/>
          <c:w val="0.73786606461091042"/>
          <c:h val="0.88229882850009766"/>
        </c:manualLayout>
      </c:layout>
      <c:lineChart>
        <c:grouping val="standard"/>
        <c:ser>
          <c:idx val="0"/>
          <c:order val="0"/>
          <c:tx>
            <c:strRef>
              <c:f>紅綠燈!$N$26</c:f>
              <c:strCache>
                <c:ptCount val="1"/>
                <c:pt idx="0">
                  <c:v>收款天數</c:v>
                </c:pt>
              </c:strCache>
            </c:strRef>
          </c:tx>
          <c:spPr>
            <a:ln w="44450">
              <a:solidFill>
                <a:srgbClr val="0000FF"/>
              </a:solidFill>
            </a:ln>
          </c:spPr>
          <c:marker>
            <c:symbol val="none"/>
          </c:marker>
          <c:dLbls>
            <c:dLbl>
              <c:idx val="7"/>
              <c:layout/>
              <c:dLblPos val="t"/>
              <c:showVal val="1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elete val="1"/>
            <c:numFmt formatCode="#,##0_);[Red]\(#,##0\)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600"/>
                </a:pPr>
                <a:endParaRPr lang="zh-TW"/>
              </a:p>
            </c:txPr>
            <c:dLblPos val="t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紅綠燈!$O$2:$V$2</c:f>
              <c:strCache>
                <c:ptCount val="8"/>
                <c:pt idx="0">
                  <c:v>Q-7</c:v>
                </c:pt>
                <c:pt idx="1">
                  <c:v>Q-6</c:v>
                </c:pt>
                <c:pt idx="2">
                  <c:v>Q-5</c:v>
                </c:pt>
                <c:pt idx="3">
                  <c:v>Q-4</c:v>
                </c:pt>
                <c:pt idx="4">
                  <c:v>Q-3</c:v>
                </c:pt>
                <c:pt idx="5">
                  <c:v>Q-2</c:v>
                </c:pt>
                <c:pt idx="6">
                  <c:v>Q-1</c:v>
                </c:pt>
                <c:pt idx="7">
                  <c:v>Q</c:v>
                </c:pt>
              </c:strCache>
            </c:strRef>
          </c:cat>
          <c:val>
            <c:numRef>
              <c:f>紅綠燈!$O$26:$V$26</c:f>
              <c:numCache>
                <c:formatCode>0_);[Red]\(0\)</c:formatCode>
                <c:ptCount val="8"/>
                <c:pt idx="0">
                  <c:v>5.8924062049062043</c:v>
                </c:pt>
                <c:pt idx="1">
                  <c:v>5.8924062049062043</c:v>
                </c:pt>
                <c:pt idx="2">
                  <c:v>5.125460405156538</c:v>
                </c:pt>
                <c:pt idx="3">
                  <c:v>5.4085264900662251</c:v>
                </c:pt>
                <c:pt idx="4">
                  <c:v>4.8531712172923784</c:v>
                </c:pt>
                <c:pt idx="5">
                  <c:v>5.4993185947910357</c:v>
                </c:pt>
                <c:pt idx="6">
                  <c:v>4.8866388589881593</c:v>
                </c:pt>
                <c:pt idx="7">
                  <c:v>5.6503182870370381</c:v>
                </c:pt>
              </c:numCache>
            </c:numRef>
          </c:val>
          <c:smooth val="1"/>
        </c:ser>
        <c:ser>
          <c:idx val="1"/>
          <c:order val="1"/>
          <c:tx>
            <c:strRef>
              <c:f>紅綠燈!$N$27</c:f>
              <c:strCache>
                <c:ptCount val="1"/>
                <c:pt idx="0">
                  <c:v>出貨天數</c:v>
                </c:pt>
              </c:strCache>
            </c:strRef>
          </c:tx>
          <c:spPr>
            <a:ln w="44450">
              <a:solidFill>
                <a:srgbClr val="FF0000"/>
              </a:solidFill>
            </a:ln>
          </c:spPr>
          <c:marker>
            <c:symbol val="none"/>
          </c:marker>
          <c:dLbls>
            <c:dLbl>
              <c:idx val="0"/>
              <c:layout/>
              <c:dLblPos val="b"/>
              <c:showVal val="1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elete val="1"/>
            <c:numFmt formatCode="#,##0_);[Red]\(#,##0\)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600"/>
                </a:pPr>
                <a:endParaRPr lang="zh-TW"/>
              </a:p>
            </c:txPr>
            <c:dLblPos val="b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val>
            <c:numRef>
              <c:f>紅綠燈!$O$27:$V$27</c:f>
              <c:numCache>
                <c:formatCode>0_);[Red]\(0\)</c:formatCode>
                <c:ptCount val="8"/>
                <c:pt idx="0">
                  <c:v>139.21474358974359</c:v>
                </c:pt>
                <c:pt idx="1">
                  <c:v>139.21474358974359</c:v>
                </c:pt>
                <c:pt idx="2">
                  <c:v>103.49085365853658</c:v>
                </c:pt>
                <c:pt idx="3">
                  <c:v>121.58025568181817</c:v>
                </c:pt>
                <c:pt idx="4">
                  <c:v>126.5168918918919</c:v>
                </c:pt>
                <c:pt idx="5">
                  <c:v>131.40950520833334</c:v>
                </c:pt>
                <c:pt idx="6">
                  <c:v>124.24665178571429</c:v>
                </c:pt>
                <c:pt idx="7">
                  <c:v>146.42441860465115</c:v>
                </c:pt>
              </c:numCache>
            </c:numRef>
          </c:val>
          <c:smooth val="1"/>
        </c:ser>
        <c:ser>
          <c:idx val="2"/>
          <c:order val="2"/>
          <c:tx>
            <c:strRef>
              <c:f>紅綠燈!$N$25</c:f>
              <c:strCache>
                <c:ptCount val="1"/>
                <c:pt idx="0">
                  <c:v>付款天數</c:v>
                </c:pt>
              </c:strCache>
            </c:strRef>
          </c:tx>
          <c:spPr>
            <a:ln w="31750">
              <a:solidFill>
                <a:schemeClr val="accent6">
                  <a:lumMod val="75000"/>
                </a:schemeClr>
              </a:solidFill>
              <a:prstDash val="sysDash"/>
            </a:ln>
          </c:spPr>
          <c:marker>
            <c:symbol val="none"/>
          </c:marker>
          <c:val>
            <c:numRef>
              <c:f>紅綠燈!$O$25:$V$25</c:f>
              <c:numCache>
                <c:formatCode>0_);[Red]\(0\)</c:formatCode>
                <c:ptCount val="8"/>
                <c:pt idx="0">
                  <c:v>53.52163461538462</c:v>
                </c:pt>
                <c:pt idx="1">
                  <c:v>53.52163461538462</c:v>
                </c:pt>
                <c:pt idx="2">
                  <c:v>43.621951219512198</c:v>
                </c:pt>
                <c:pt idx="3">
                  <c:v>56.512784090909086</c:v>
                </c:pt>
                <c:pt idx="4">
                  <c:v>60.422297297297298</c:v>
                </c:pt>
                <c:pt idx="5">
                  <c:v>64.635416666666657</c:v>
                </c:pt>
                <c:pt idx="6">
                  <c:v>67.01171875</c:v>
                </c:pt>
                <c:pt idx="7">
                  <c:v>71.938953488372093</c:v>
                </c:pt>
              </c:numCache>
            </c:numRef>
          </c:val>
          <c:smooth val="1"/>
        </c:ser>
        <c:marker val="1"/>
        <c:axId val="153166976"/>
        <c:axId val="153168512"/>
      </c:lineChart>
      <c:lineChart>
        <c:grouping val="standard"/>
        <c:ser>
          <c:idx val="3"/>
          <c:order val="3"/>
          <c:spPr>
            <a:ln w="444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7"/>
              <c:layout>
                <c:manualLayout>
                  <c:x val="-4.0318302387267885E-2"/>
                  <c:y val="-0.11629689107034592"/>
                </c:manualLayout>
              </c:layout>
              <c:showVal val="1"/>
              <c:extLst>
                <c:ext xmlns:c15="http://schemas.microsoft.com/office/drawing/2012/chart" uri="{CE6537A1-D6FC-4f65-9D91-7224C49458BB}"/>
              </c:extLst>
            </c:dLbl>
            <c:delete val="1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400" b="1"/>
                </a:pPr>
                <a:endParaRPr lang="zh-TW"/>
              </a:p>
            </c:txPr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紅綠燈!$O$45:$V$45</c:f>
              <c:numCache>
                <c:formatCode>0%</c:formatCode>
                <c:ptCount val="8"/>
              </c:numCache>
            </c:numRef>
          </c:val>
          <c:smooth val="1"/>
        </c:ser>
        <c:marker val="1"/>
        <c:axId val="153184128"/>
        <c:axId val="153182592"/>
      </c:lineChart>
      <c:catAx>
        <c:axId val="153166976"/>
        <c:scaling>
          <c:orientation val="minMax"/>
        </c:scaling>
        <c:delete val="1"/>
        <c:axPos val="b"/>
        <c:numFmt formatCode="General" sourceLinked="0"/>
        <c:majorTickMark val="none"/>
        <c:tickLblPos val="none"/>
        <c:crossAx val="153168512"/>
        <c:crosses val="autoZero"/>
        <c:auto val="1"/>
        <c:lblAlgn val="ctr"/>
        <c:lblOffset val="100"/>
      </c:catAx>
      <c:valAx>
        <c:axId val="153168512"/>
        <c:scaling>
          <c:orientation val="minMax"/>
          <c:max val="176.70930232558138"/>
          <c:min val="2.8825369738339028"/>
        </c:scaling>
        <c:axPos val="l"/>
        <c:numFmt formatCode="#,##0_);[Red]\(#,##0\)" sourceLinked="0"/>
        <c:majorTickMark val="none"/>
        <c:tickLblPos val="nextTo"/>
        <c:txPr>
          <a:bodyPr/>
          <a:lstStyle/>
          <a:p>
            <a:pPr>
              <a:defRPr sz="1200" b="1"/>
            </a:pPr>
            <a:endParaRPr lang="zh-TW"/>
          </a:p>
        </c:txPr>
        <c:crossAx val="153166976"/>
        <c:crosses val="autoZero"/>
        <c:crossBetween val="between"/>
      </c:valAx>
      <c:valAx>
        <c:axId val="153182592"/>
        <c:scaling>
          <c:orientation val="minMax"/>
        </c:scaling>
        <c:axPos val="r"/>
        <c:numFmt formatCode="0%" sourceLinked="1"/>
        <c:tickLblPos val="nextTo"/>
        <c:txPr>
          <a:bodyPr/>
          <a:lstStyle/>
          <a:p>
            <a:pPr>
              <a:defRPr sz="1100" b="0"/>
            </a:pPr>
            <a:endParaRPr lang="zh-TW"/>
          </a:p>
        </c:txPr>
        <c:crossAx val="153184128"/>
        <c:crosses val="max"/>
        <c:crossBetween val="between"/>
      </c:valAx>
      <c:catAx>
        <c:axId val="153184128"/>
        <c:scaling>
          <c:orientation val="minMax"/>
        </c:scaling>
        <c:delete val="1"/>
        <c:axPos val="b"/>
        <c:tickLblPos val="none"/>
        <c:crossAx val="153182592"/>
        <c:crosses val="autoZero"/>
        <c:auto val="1"/>
        <c:lblAlgn val="ctr"/>
        <c:lblOffset val="100"/>
      </c:catAx>
      <c:spPr>
        <a:noFill/>
        <a:ln w="15875">
          <a:solidFill>
            <a:schemeClr val="tx1"/>
          </a:solidFill>
        </a:ln>
      </c:spPr>
    </c:plotArea>
    <c:plotVisOnly val="1"/>
    <c:dispBlanksAs val="gap"/>
  </c:chart>
  <c:spPr>
    <a:noFill/>
    <a:ln w="22225">
      <a:solidFill>
        <a:schemeClr val="tx1"/>
      </a:solidFill>
    </a:ln>
  </c:spPr>
  <c:printSettings>
    <c:headerFooter/>
    <c:pageMargins b="0.750000000000003" l="0.70000000000000062" r="0.70000000000000062" t="0.750000000000003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roundedCorners val="1"/>
  <c:style val="26"/>
  <c:chart>
    <c:plotArea>
      <c:layout>
        <c:manualLayout>
          <c:layoutTarget val="inner"/>
          <c:xMode val="edge"/>
          <c:yMode val="edge"/>
          <c:x val="0.12622972256664963"/>
          <c:y val="3.6509876024920583E-2"/>
          <c:w val="0.73874256145235251"/>
          <c:h val="0.88576780752945183"/>
        </c:manualLayout>
      </c:layout>
      <c:barChart>
        <c:barDir val="col"/>
        <c:grouping val="clustered"/>
        <c:ser>
          <c:idx val="0"/>
          <c:order val="0"/>
          <c:tx>
            <c:v>營業現金流</c:v>
          </c:tx>
          <c:spPr>
            <a:solidFill>
              <a:srgbClr val="CC3300"/>
            </a:solidFill>
          </c:spPr>
          <c:cat>
            <c:strRef>
              <c:f>紅綠燈!$O$2:$V$2</c:f>
              <c:strCache>
                <c:ptCount val="8"/>
                <c:pt idx="0">
                  <c:v>Q-7</c:v>
                </c:pt>
                <c:pt idx="1">
                  <c:v>Q-6</c:v>
                </c:pt>
                <c:pt idx="2">
                  <c:v>Q-5</c:v>
                </c:pt>
                <c:pt idx="3">
                  <c:v>Q-4</c:v>
                </c:pt>
                <c:pt idx="4">
                  <c:v>Q-3</c:v>
                </c:pt>
                <c:pt idx="5">
                  <c:v>Q-2</c:v>
                </c:pt>
                <c:pt idx="6">
                  <c:v>Q-1</c:v>
                </c:pt>
                <c:pt idx="7">
                  <c:v>Q</c:v>
                </c:pt>
              </c:strCache>
            </c:strRef>
          </c:cat>
          <c:val>
            <c:numRef>
              <c:f>紅綠燈!$O$15:$V$15</c:f>
              <c:numCache>
                <c:formatCode>General</c:formatCode>
                <c:ptCount val="8"/>
                <c:pt idx="0">
                  <c:v>690</c:v>
                </c:pt>
                <c:pt idx="1">
                  <c:v>154</c:v>
                </c:pt>
                <c:pt idx="2">
                  <c:v>79</c:v>
                </c:pt>
                <c:pt idx="3">
                  <c:v>836</c:v>
                </c:pt>
                <c:pt idx="4">
                  <c:v>631</c:v>
                </c:pt>
                <c:pt idx="5">
                  <c:v>285</c:v>
                </c:pt>
                <c:pt idx="6">
                  <c:v>593</c:v>
                </c:pt>
                <c:pt idx="7">
                  <c:v>-533</c:v>
                </c:pt>
              </c:numCache>
            </c:numRef>
          </c:val>
        </c:ser>
        <c:ser>
          <c:idx val="2"/>
          <c:order val="2"/>
          <c:tx>
            <c:v>自由</c:v>
          </c:tx>
          <c:spPr>
            <a:solidFill>
              <a:srgbClr val="0066FF"/>
            </a:solidFill>
          </c:spPr>
          <c:val>
            <c:numRef>
              <c:f>紅綠燈!$O$37:$V$37</c:f>
              <c:numCache>
                <c:formatCode>General</c:formatCode>
                <c:ptCount val="8"/>
                <c:pt idx="0">
                  <c:v>935</c:v>
                </c:pt>
                <c:pt idx="1">
                  <c:v>107</c:v>
                </c:pt>
                <c:pt idx="2">
                  <c:v>41</c:v>
                </c:pt>
                <c:pt idx="3">
                  <c:v>798</c:v>
                </c:pt>
                <c:pt idx="4">
                  <c:v>567</c:v>
                </c:pt>
                <c:pt idx="5">
                  <c:v>176</c:v>
                </c:pt>
                <c:pt idx="6">
                  <c:v>-1681</c:v>
                </c:pt>
                <c:pt idx="7">
                  <c:v>-646</c:v>
                </c:pt>
              </c:numCache>
            </c:numRef>
          </c:val>
        </c:ser>
        <c:gapWidth val="100"/>
        <c:axId val="153235840"/>
        <c:axId val="153237376"/>
      </c:barChart>
      <c:lineChart>
        <c:grouping val="standard"/>
        <c:ser>
          <c:idx val="1"/>
          <c:order val="1"/>
          <c:tx>
            <c:strRef>
              <c:f>紅綠燈!$N$24</c:f>
              <c:strCache>
                <c:ptCount val="1"/>
                <c:pt idx="0">
                  <c:v>負債比 </c:v>
                </c:pt>
              </c:strCache>
            </c:strRef>
          </c:tx>
          <c:spPr>
            <a:ln w="44450">
              <a:solidFill>
                <a:srgbClr val="FF0000"/>
              </a:solidFill>
            </a:ln>
          </c:spPr>
          <c:marker>
            <c:symbol val="none"/>
          </c:marker>
          <c:val>
            <c:numRef>
              <c:f>紅綠燈!$O$24:$V$24</c:f>
              <c:numCache>
                <c:formatCode>0%</c:formatCode>
                <c:ptCount val="8"/>
                <c:pt idx="0">
                  <c:v>0.30416936703391662</c:v>
                </c:pt>
                <c:pt idx="1">
                  <c:v>0.2782233189389266</c:v>
                </c:pt>
                <c:pt idx="2">
                  <c:v>0.4239258967284194</c:v>
                </c:pt>
                <c:pt idx="3">
                  <c:v>0.28636660143509457</c:v>
                </c:pt>
                <c:pt idx="4">
                  <c:v>0.30769230769230771</c:v>
                </c:pt>
                <c:pt idx="5">
                  <c:v>0.47136162457693309</c:v>
                </c:pt>
                <c:pt idx="6">
                  <c:v>0.56263157894736837</c:v>
                </c:pt>
                <c:pt idx="7">
                  <c:v>0.52149651236525052</c:v>
                </c:pt>
              </c:numCache>
            </c:numRef>
          </c:val>
          <c:smooth val="1"/>
        </c:ser>
        <c:ser>
          <c:idx val="3"/>
          <c:order val="3"/>
          <c:tx>
            <c:strRef>
              <c:f>紅綠燈!$N$42</c:f>
              <c:strCache>
                <c:ptCount val="1"/>
              </c:strCache>
            </c:strRef>
          </c:tx>
          <c:spPr>
            <a:ln w="44450">
              <a:solidFill>
                <a:schemeClr val="tx1"/>
              </a:solidFill>
              <a:prstDash val="solid"/>
            </a:ln>
          </c:spPr>
          <c:marker>
            <c:symbol val="none"/>
          </c:marker>
          <c:val>
            <c:numRef>
              <c:f>紅綠燈!$O$42:$V$42</c:f>
              <c:numCache>
                <c:formatCode>0%</c:formatCode>
                <c:ptCount val="8"/>
              </c:numCache>
            </c:numRef>
          </c:val>
          <c:smooth val="1"/>
        </c:ser>
        <c:marker val="1"/>
        <c:axId val="153240704"/>
        <c:axId val="153238912"/>
      </c:lineChart>
      <c:catAx>
        <c:axId val="153235840"/>
        <c:scaling>
          <c:orientation val="minMax"/>
        </c:scaling>
        <c:delete val="1"/>
        <c:axPos val="b"/>
        <c:numFmt formatCode="General" sourceLinked="0"/>
        <c:majorTickMark val="none"/>
        <c:tickLblPos val="none"/>
        <c:crossAx val="153237376"/>
        <c:crosses val="autoZero"/>
        <c:auto val="1"/>
        <c:lblAlgn val="ctr"/>
        <c:lblOffset val="100"/>
      </c:catAx>
      <c:valAx>
        <c:axId val="153237376"/>
        <c:scaling>
          <c:orientation val="minMax"/>
        </c:scaling>
        <c:axPos val="l"/>
        <c:numFmt formatCode="General" sourceLinked="1"/>
        <c:majorTickMark val="none"/>
        <c:tickLblPos val="nextTo"/>
        <c:txPr>
          <a:bodyPr/>
          <a:lstStyle/>
          <a:p>
            <a:pPr>
              <a:defRPr sz="1200" b="1"/>
            </a:pPr>
            <a:endParaRPr lang="zh-TW"/>
          </a:p>
        </c:txPr>
        <c:crossAx val="153235840"/>
        <c:crosses val="autoZero"/>
        <c:crossBetween val="between"/>
      </c:valAx>
      <c:valAx>
        <c:axId val="153238912"/>
        <c:scaling>
          <c:orientation val="minMax"/>
          <c:min val="-3.0000000000000016E-2"/>
        </c:scaling>
        <c:axPos val="r"/>
        <c:numFmt formatCode="0%" sourceLinked="1"/>
        <c:tickLblPos val="nextTo"/>
        <c:txPr>
          <a:bodyPr/>
          <a:lstStyle/>
          <a:p>
            <a:pPr>
              <a:defRPr sz="1100" b="0"/>
            </a:pPr>
            <a:endParaRPr lang="zh-TW"/>
          </a:p>
        </c:txPr>
        <c:crossAx val="153240704"/>
        <c:crosses val="max"/>
        <c:crossBetween val="between"/>
      </c:valAx>
      <c:catAx>
        <c:axId val="153240704"/>
        <c:scaling>
          <c:orientation val="minMax"/>
        </c:scaling>
        <c:delete val="1"/>
        <c:axPos val="b"/>
        <c:tickLblPos val="none"/>
        <c:crossAx val="153238912"/>
        <c:crosses val="autoZero"/>
        <c:auto val="1"/>
        <c:lblAlgn val="ctr"/>
        <c:lblOffset val="100"/>
      </c:catAx>
      <c:spPr>
        <a:noFill/>
        <a:ln w="15875">
          <a:solidFill>
            <a:schemeClr val="tx1"/>
          </a:solidFill>
        </a:ln>
      </c:spPr>
    </c:plotArea>
    <c:plotVisOnly val="1"/>
    <c:dispBlanksAs val="gap"/>
  </c:chart>
  <c:spPr>
    <a:noFill/>
    <a:ln w="22225">
      <a:solidFill>
        <a:schemeClr val="tx1"/>
      </a:solidFill>
    </a:ln>
  </c:spPr>
  <c:printSettings>
    <c:headerFooter/>
    <c:pageMargins b="0.750000000000003" l="0.70000000000000062" r="0.70000000000000062" t="0.750000000000003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roundedCorners val="1"/>
  <c:chart>
    <c:plotArea>
      <c:layout>
        <c:manualLayout>
          <c:layoutTarget val="inner"/>
          <c:xMode val="edge"/>
          <c:yMode val="edge"/>
          <c:x val="0.12681226459506467"/>
          <c:y val="6.3932132322468985E-2"/>
          <c:w val="0.74659195050210458"/>
          <c:h val="0.87328441529948353"/>
        </c:manualLayout>
      </c:layout>
      <c:areaChart>
        <c:grouping val="standard"/>
        <c:ser>
          <c:idx val="1"/>
          <c:order val="2"/>
          <c:tx>
            <c:strRef>
              <c:f>紅綠燈!$N$48</c:f>
              <c:strCache>
                <c:ptCount val="1"/>
              </c:strCache>
            </c:strRef>
          </c:tx>
          <c:spPr>
            <a:solidFill>
              <a:schemeClr val="tx1"/>
            </a:solidFill>
            <a:scene3d>
              <a:camera prst="orthographicFront"/>
              <a:lightRig rig="threePt" dir="t"/>
            </a:scene3d>
            <a:sp3d>
              <a:bevelT/>
              <a:bevelB/>
            </a:sp3d>
          </c:spPr>
          <c:val>
            <c:numRef>
              <c:f>紅綠燈!$O$48:$V$48</c:f>
              <c:numCache>
                <c:formatCode>0%</c:formatCode>
                <c:ptCount val="8"/>
              </c:numCache>
            </c:numRef>
          </c:val>
        </c:ser>
        <c:axId val="153305472"/>
        <c:axId val="153303680"/>
      </c:areaChart>
      <c:barChart>
        <c:barDir val="col"/>
        <c:grouping val="clustered"/>
        <c:ser>
          <c:idx val="0"/>
          <c:order val="0"/>
          <c:tx>
            <c:v>營業現金比</c:v>
          </c:tx>
          <c:spPr>
            <a:solidFill>
              <a:srgbClr val="FF33CC"/>
            </a:solidFill>
            <a:scene3d>
              <a:camera prst="orthographicFront"/>
              <a:lightRig rig="threePt" dir="t"/>
            </a:scene3d>
            <a:sp3d>
              <a:bevelT/>
              <a:bevelB/>
            </a:sp3d>
          </c:spPr>
          <c:cat>
            <c:strRef>
              <c:f>紅綠燈!$O$2:$V$2</c:f>
              <c:strCache>
                <c:ptCount val="8"/>
                <c:pt idx="0">
                  <c:v>Q-7</c:v>
                </c:pt>
                <c:pt idx="1">
                  <c:v>Q-6</c:v>
                </c:pt>
                <c:pt idx="2">
                  <c:v>Q-5</c:v>
                </c:pt>
                <c:pt idx="3">
                  <c:v>Q-4</c:v>
                </c:pt>
                <c:pt idx="4">
                  <c:v>Q-3</c:v>
                </c:pt>
                <c:pt idx="5">
                  <c:v>Q-2</c:v>
                </c:pt>
                <c:pt idx="6">
                  <c:v>Q-1</c:v>
                </c:pt>
                <c:pt idx="7">
                  <c:v>Q</c:v>
                </c:pt>
              </c:strCache>
            </c:strRef>
          </c:cat>
          <c:val>
            <c:numRef>
              <c:f>紅綠燈!$O$32:$V$32</c:f>
              <c:numCache>
                <c:formatCode>0.00_ </c:formatCode>
                <c:ptCount val="8"/>
                <c:pt idx="0">
                  <c:v>2.6953125</c:v>
                </c:pt>
                <c:pt idx="1">
                  <c:v>0</c:v>
                </c:pt>
                <c:pt idx="2">
                  <c:v>0</c:v>
                </c:pt>
                <c:pt idx="3">
                  <c:v>3.3983739837398375</c:v>
                </c:pt>
                <c:pt idx="4">
                  <c:v>2.1683848797250858</c:v>
                </c:pt>
                <c:pt idx="5">
                  <c:v>1.1974789915966386</c:v>
                </c:pt>
                <c:pt idx="6">
                  <c:v>2.430327868852459</c:v>
                </c:pt>
                <c:pt idx="7">
                  <c:v>0</c:v>
                </c:pt>
              </c:numCache>
            </c:numRef>
          </c:val>
        </c:ser>
        <c:gapWidth val="125"/>
        <c:axId val="153292160"/>
        <c:axId val="153302144"/>
      </c:barChart>
      <c:lineChart>
        <c:grouping val="standard"/>
        <c:ser>
          <c:idx val="2"/>
          <c:order val="1"/>
          <c:tx>
            <c:v>ROE</c:v>
          </c:tx>
          <c:spPr>
            <a:ln w="44450">
              <a:solidFill>
                <a:srgbClr val="FF0000"/>
              </a:solidFill>
            </a:ln>
          </c:spPr>
          <c:marker>
            <c:symbol val="none"/>
          </c:marker>
          <c:dLbls>
            <c:dLbl>
              <c:idx val="7"/>
              <c:layout/>
              <c:dLblPos val="t"/>
              <c:showVal val="1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elete val="1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400"/>
                </a:pPr>
                <a:endParaRPr lang="zh-TW"/>
              </a:p>
            </c:txPr>
            <c:dLblPos val="t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val>
            <c:numRef>
              <c:f>紅綠燈!$O$36:$V$36</c:f>
              <c:numCache>
                <c:formatCode>0%</c:formatCode>
                <c:ptCount val="8"/>
                <c:pt idx="1">
                  <c:v>0.13216145833333334</c:v>
                </c:pt>
                <c:pt idx="2">
                  <c:v>0.13216145833333334</c:v>
                </c:pt>
                <c:pt idx="3">
                  <c:v>0.13368189040955458</c:v>
                </c:pt>
                <c:pt idx="4">
                  <c:v>0.13591813202652062</c:v>
                </c:pt>
                <c:pt idx="5">
                  <c:v>0.13023378681812178</c:v>
                </c:pt>
                <c:pt idx="6">
                  <c:v>0.16311829678245557</c:v>
                </c:pt>
                <c:pt idx="7">
                  <c:v>0.14668367346938777</c:v>
                </c:pt>
              </c:numCache>
            </c:numRef>
          </c:val>
          <c:smooth val="1"/>
        </c:ser>
        <c:marker val="1"/>
        <c:axId val="153305472"/>
        <c:axId val="153303680"/>
      </c:lineChart>
      <c:catAx>
        <c:axId val="153292160"/>
        <c:scaling>
          <c:orientation val="minMax"/>
        </c:scaling>
        <c:delete val="1"/>
        <c:axPos val="b"/>
        <c:numFmt formatCode="General" sourceLinked="0"/>
        <c:majorTickMark val="none"/>
        <c:tickLblPos val="none"/>
        <c:crossAx val="153302144"/>
        <c:crosses val="autoZero"/>
        <c:auto val="1"/>
        <c:lblAlgn val="ctr"/>
        <c:lblOffset val="100"/>
      </c:catAx>
      <c:valAx>
        <c:axId val="153302144"/>
        <c:scaling>
          <c:orientation val="minMax"/>
        </c:scaling>
        <c:axPos val="l"/>
        <c:numFmt formatCode="0.00_ " sourceLinked="1"/>
        <c:majorTickMark val="none"/>
        <c:tickLblPos val="nextTo"/>
        <c:txPr>
          <a:bodyPr/>
          <a:lstStyle/>
          <a:p>
            <a:pPr>
              <a:defRPr sz="1200" b="1"/>
            </a:pPr>
            <a:endParaRPr lang="zh-TW"/>
          </a:p>
        </c:txPr>
        <c:crossAx val="153292160"/>
        <c:crosses val="autoZero"/>
        <c:crossBetween val="between"/>
      </c:valAx>
      <c:valAx>
        <c:axId val="153303680"/>
        <c:scaling>
          <c:orientation val="minMax"/>
        </c:scaling>
        <c:axPos val="r"/>
        <c:numFmt formatCode="0%" sourceLinked="1"/>
        <c:tickLblPos val="nextTo"/>
        <c:txPr>
          <a:bodyPr/>
          <a:lstStyle/>
          <a:p>
            <a:pPr>
              <a:defRPr sz="1100" b="0"/>
            </a:pPr>
            <a:endParaRPr lang="zh-TW"/>
          </a:p>
        </c:txPr>
        <c:crossAx val="153305472"/>
        <c:crosses val="max"/>
        <c:crossBetween val="between"/>
      </c:valAx>
      <c:catAx>
        <c:axId val="153305472"/>
        <c:scaling>
          <c:orientation val="minMax"/>
        </c:scaling>
        <c:delete val="1"/>
        <c:axPos val="b"/>
        <c:tickLblPos val="none"/>
        <c:crossAx val="153303680"/>
        <c:crosses val="autoZero"/>
        <c:auto val="1"/>
        <c:lblAlgn val="ctr"/>
        <c:lblOffset val="100"/>
      </c:catAx>
      <c:spPr>
        <a:noFill/>
        <a:ln w="15875">
          <a:solidFill>
            <a:schemeClr val="tx1"/>
          </a:solidFill>
        </a:ln>
      </c:spPr>
    </c:plotArea>
    <c:plotVisOnly val="1"/>
    <c:dispBlanksAs val="gap"/>
  </c:chart>
  <c:spPr>
    <a:noFill/>
    <a:ln w="22225">
      <a:solidFill>
        <a:schemeClr val="tx1"/>
      </a:solidFill>
    </a:ln>
  </c:spPr>
  <c:printSettings>
    <c:headerFooter/>
    <c:pageMargins b="0.750000000000003" l="0.70000000000000062" r="0.70000000000000062" t="0.750000000000003" header="0.30000000000000032" footer="0.30000000000000032"/>
    <c:pageSetup orientation="portrait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roundedCorners val="1"/>
  <c:chart>
    <c:plotArea>
      <c:layout>
        <c:manualLayout>
          <c:layoutTarget val="inner"/>
          <c:xMode val="edge"/>
          <c:yMode val="edge"/>
          <c:x val="0.11265110398395427"/>
          <c:y val="3.1301940054012781E-2"/>
          <c:w val="0.75824839488840445"/>
          <c:h val="0.89449395045131552"/>
        </c:manualLayout>
      </c:layout>
      <c:areaChart>
        <c:grouping val="standard"/>
        <c:ser>
          <c:idx val="0"/>
          <c:order val="0"/>
          <c:tx>
            <c:v>資本支出</c:v>
          </c:tx>
          <c:spPr>
            <a:solidFill>
              <a:srgbClr val="3399FF"/>
            </a:solidFill>
            <a:scene3d>
              <a:camera prst="orthographicFront"/>
              <a:lightRig rig="threePt" dir="t"/>
            </a:scene3d>
            <a:sp3d>
              <a:bevelT/>
              <a:bevelB/>
            </a:sp3d>
          </c:spPr>
          <c:cat>
            <c:strRef>
              <c:f>紅綠燈!$O$2:$V$2</c:f>
              <c:strCache>
                <c:ptCount val="8"/>
                <c:pt idx="0">
                  <c:v>Q-7</c:v>
                </c:pt>
                <c:pt idx="1">
                  <c:v>Q-6</c:v>
                </c:pt>
                <c:pt idx="2">
                  <c:v>Q-5</c:v>
                </c:pt>
                <c:pt idx="3">
                  <c:v>Q-4</c:v>
                </c:pt>
                <c:pt idx="4">
                  <c:v>Q-3</c:v>
                </c:pt>
                <c:pt idx="5">
                  <c:v>Q-2</c:v>
                </c:pt>
                <c:pt idx="6">
                  <c:v>Q-1</c:v>
                </c:pt>
                <c:pt idx="7">
                  <c:v>Q</c:v>
                </c:pt>
              </c:strCache>
            </c:strRef>
          </c:cat>
          <c:val>
            <c:numRef>
              <c:f>紅綠燈!$O$16:$V$16</c:f>
              <c:numCache>
                <c:formatCode>General</c:formatCode>
                <c:ptCount val="8"/>
                <c:pt idx="0">
                  <c:v>-245</c:v>
                </c:pt>
                <c:pt idx="1">
                  <c:v>47</c:v>
                </c:pt>
                <c:pt idx="2">
                  <c:v>38</c:v>
                </c:pt>
                <c:pt idx="3">
                  <c:v>38</c:v>
                </c:pt>
                <c:pt idx="4">
                  <c:v>64</c:v>
                </c:pt>
                <c:pt idx="5">
                  <c:v>109</c:v>
                </c:pt>
                <c:pt idx="6">
                  <c:v>2274</c:v>
                </c:pt>
                <c:pt idx="7">
                  <c:v>113</c:v>
                </c:pt>
              </c:numCache>
            </c:numRef>
          </c:val>
        </c:ser>
        <c:axId val="153350144"/>
        <c:axId val="153351680"/>
      </c:areaChart>
      <c:barChart>
        <c:barDir val="col"/>
        <c:grouping val="clustered"/>
        <c:ser>
          <c:idx val="3"/>
          <c:order val="3"/>
          <c:tx>
            <c:strRef>
              <c:f>紅綠燈!$N$43</c:f>
              <c:strCache>
                <c:ptCount val="1"/>
              </c:strCache>
            </c:strRef>
          </c:tx>
          <c:spPr>
            <a:scene3d>
              <a:camera prst="orthographicFront"/>
              <a:lightRig rig="threePt" dir="t"/>
            </a:scene3d>
            <a:sp3d>
              <a:bevelT/>
              <a:bevelB/>
            </a:sp3d>
          </c:spPr>
          <c:val>
            <c:numRef>
              <c:f>紅綠燈!$O$43:$V$43</c:f>
              <c:numCache>
                <c:formatCode>#,##0_ </c:formatCode>
                <c:ptCount val="8"/>
              </c:numCache>
            </c:numRef>
          </c:val>
        </c:ser>
        <c:ser>
          <c:idx val="4"/>
          <c:order val="4"/>
          <c:tx>
            <c:strRef>
              <c:f>紅綠燈!$N$44</c:f>
              <c:strCache>
                <c:ptCount val="1"/>
              </c:strCache>
            </c:strRef>
          </c:tx>
          <c:spPr>
            <a:scene3d>
              <a:camera prst="orthographicFront"/>
              <a:lightRig rig="threePt" dir="t"/>
            </a:scene3d>
            <a:sp3d>
              <a:bevelT/>
              <a:bevelB/>
            </a:sp3d>
          </c:spPr>
          <c:val>
            <c:numRef>
              <c:f>紅綠燈!$O$44:$V$44</c:f>
              <c:numCache>
                <c:formatCode>General</c:formatCode>
                <c:ptCount val="8"/>
              </c:numCache>
            </c:numRef>
          </c:val>
        </c:ser>
        <c:gapWidth val="125"/>
        <c:axId val="153350144"/>
        <c:axId val="153351680"/>
      </c:barChart>
      <c:lineChart>
        <c:grouping val="standard"/>
        <c:ser>
          <c:idx val="1"/>
          <c:order val="1"/>
          <c:tx>
            <c:v>折舊率</c:v>
          </c:tx>
          <c:spPr>
            <a:ln>
              <a:solidFill>
                <a:srgbClr val="FF3300"/>
              </a:solidFill>
              <a:prstDash val="sysDash"/>
            </a:ln>
          </c:spPr>
          <c:marker>
            <c:symbol val="none"/>
          </c:marker>
          <c:val>
            <c:numRef>
              <c:f>紅綠燈!$O$31:$V$31</c:f>
              <c:numCache>
                <c:formatCode>0%</c:formatCode>
                <c:ptCount val="8"/>
                <c:pt idx="0">
                  <c:v>0.18604651162790697</c:v>
                </c:pt>
                <c:pt idx="1">
                  <c:v>0.21153846153846154</c:v>
                </c:pt>
                <c:pt idx="2">
                  <c:v>0.16097560975609757</c:v>
                </c:pt>
                <c:pt idx="3">
                  <c:v>0.19318181818181818</c:v>
                </c:pt>
                <c:pt idx="4">
                  <c:v>0.15675675675675677</c:v>
                </c:pt>
                <c:pt idx="5">
                  <c:v>0.18229166666666666</c:v>
                </c:pt>
                <c:pt idx="6">
                  <c:v>0.16964285714285715</c:v>
                </c:pt>
                <c:pt idx="7">
                  <c:v>0.18139534883720931</c:v>
                </c:pt>
              </c:numCache>
            </c:numRef>
          </c:val>
          <c:smooth val="1"/>
        </c:ser>
        <c:ser>
          <c:idx val="2"/>
          <c:order val="2"/>
          <c:tx>
            <c:strRef>
              <c:f>紅綠燈!$N$30</c:f>
              <c:strCache>
                <c:ptCount val="1"/>
                <c:pt idx="0">
                  <c:v>折舊與攤提率</c:v>
                </c:pt>
              </c:strCache>
            </c:strRef>
          </c:tx>
          <c:spPr>
            <a:ln w="44450">
              <a:solidFill>
                <a:srgbClr val="FF3300"/>
              </a:solidFill>
            </a:ln>
          </c:spPr>
          <c:marker>
            <c:symbol val="none"/>
          </c:marker>
          <c:val>
            <c:numRef>
              <c:f>紅綠燈!$O$30:$V$30</c:f>
              <c:numCache>
                <c:formatCode>0%</c:formatCode>
                <c:ptCount val="8"/>
                <c:pt idx="0">
                  <c:v>0.26400000000000001</c:v>
                </c:pt>
                <c:pt idx="1">
                  <c:v>0.26400000000000001</c:v>
                </c:pt>
                <c:pt idx="2">
                  <c:v>2.0741671904462602E-2</c:v>
                </c:pt>
                <c:pt idx="3">
                  <c:v>0.20359281437125748</c:v>
                </c:pt>
                <c:pt idx="4">
                  <c:v>1.7119244391971666E-2</c:v>
                </c:pt>
                <c:pt idx="5">
                  <c:v>0.46052631578947367</c:v>
                </c:pt>
                <c:pt idx="6">
                  <c:v>-9.1346153846153841E-2</c:v>
                </c:pt>
                <c:pt idx="7">
                  <c:v>0.35135135135135137</c:v>
                </c:pt>
              </c:numCache>
            </c:numRef>
          </c:val>
          <c:smooth val="1"/>
        </c:ser>
        <c:marker val="1"/>
        <c:axId val="153625344"/>
        <c:axId val="153353216"/>
      </c:lineChart>
      <c:catAx>
        <c:axId val="153350144"/>
        <c:scaling>
          <c:orientation val="minMax"/>
        </c:scaling>
        <c:delete val="1"/>
        <c:axPos val="b"/>
        <c:numFmt formatCode="General" sourceLinked="0"/>
        <c:majorTickMark val="none"/>
        <c:tickLblPos val="none"/>
        <c:crossAx val="153351680"/>
        <c:crosses val="autoZero"/>
        <c:auto val="1"/>
        <c:lblAlgn val="ctr"/>
        <c:lblOffset val="100"/>
      </c:catAx>
      <c:valAx>
        <c:axId val="153351680"/>
        <c:scaling>
          <c:orientation val="minMax"/>
        </c:scaling>
        <c:axPos val="l"/>
        <c:numFmt formatCode="General" sourceLinked="1"/>
        <c:majorTickMark val="none"/>
        <c:tickLblPos val="nextTo"/>
        <c:txPr>
          <a:bodyPr/>
          <a:lstStyle/>
          <a:p>
            <a:pPr>
              <a:defRPr sz="1200" b="1"/>
            </a:pPr>
            <a:endParaRPr lang="zh-TW"/>
          </a:p>
        </c:txPr>
        <c:crossAx val="153350144"/>
        <c:crosses val="autoZero"/>
        <c:crossBetween val="between"/>
      </c:valAx>
      <c:valAx>
        <c:axId val="153353216"/>
        <c:scaling>
          <c:orientation val="minMax"/>
        </c:scaling>
        <c:axPos val="r"/>
        <c:numFmt formatCode="0%" sourceLinked="1"/>
        <c:tickLblPos val="nextTo"/>
        <c:txPr>
          <a:bodyPr/>
          <a:lstStyle/>
          <a:p>
            <a:pPr>
              <a:defRPr sz="1100"/>
            </a:pPr>
            <a:endParaRPr lang="zh-TW"/>
          </a:p>
        </c:txPr>
        <c:crossAx val="153625344"/>
        <c:crosses val="max"/>
        <c:crossBetween val="between"/>
      </c:valAx>
      <c:catAx>
        <c:axId val="153625344"/>
        <c:scaling>
          <c:orientation val="minMax"/>
        </c:scaling>
        <c:delete val="1"/>
        <c:axPos val="b"/>
        <c:tickLblPos val="none"/>
        <c:crossAx val="153353216"/>
        <c:crosses val="autoZero"/>
        <c:auto val="1"/>
        <c:lblAlgn val="ctr"/>
        <c:lblOffset val="100"/>
      </c:catAx>
      <c:spPr>
        <a:noFill/>
        <a:ln w="15875">
          <a:solidFill>
            <a:schemeClr val="tx1"/>
          </a:solidFill>
        </a:ln>
      </c:spPr>
    </c:plotArea>
    <c:plotVisOnly val="1"/>
    <c:dispBlanksAs val="gap"/>
  </c:chart>
  <c:spPr>
    <a:noFill/>
    <a:ln w="22225">
      <a:solidFill>
        <a:schemeClr val="tx1"/>
      </a:solidFill>
    </a:ln>
  </c:spPr>
  <c:printSettings>
    <c:headerFooter/>
    <c:pageMargins b="0.750000000000003" l="0.70000000000000062" r="0.70000000000000062" t="0.750000000000003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roundedCorners val="1"/>
  <c:chart>
    <c:plotArea>
      <c:layout>
        <c:manualLayout>
          <c:layoutTarget val="inner"/>
          <c:xMode val="edge"/>
          <c:yMode val="edge"/>
          <c:x val="0.12361330296431107"/>
          <c:y val="5.7874579665511273E-2"/>
          <c:w val="0.74877230585669552"/>
          <c:h val="0.88918578552103156"/>
        </c:manualLayout>
      </c:layout>
      <c:barChart>
        <c:barDir val="col"/>
        <c:grouping val="clustered"/>
        <c:ser>
          <c:idx val="0"/>
          <c:order val="0"/>
          <c:tx>
            <c:strRef>
              <c:f>紅綠燈!$N$9</c:f>
              <c:strCache>
                <c:ptCount val="1"/>
                <c:pt idx="0">
                  <c:v>每股盈餘 (元)</c:v>
                </c:pt>
              </c:strCache>
            </c:strRef>
          </c:tx>
          <c:spPr>
            <a:solidFill>
              <a:srgbClr val="66FF33"/>
            </a:solidFill>
            <a:scene3d>
              <a:camera prst="orthographicFront"/>
              <a:lightRig rig="threePt" dir="t"/>
            </a:scene3d>
            <a:sp3d>
              <a:bevelT/>
              <a:bevelB/>
            </a:sp3d>
          </c:spPr>
          <c:dLbls>
            <c:dLbl>
              <c:idx val="3"/>
              <c:layout/>
              <c:showVal val="1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6"/>
              <c:layout/>
              <c:showVal val="1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7"/>
              <c:layout/>
              <c:showVal val="1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elete val="1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400" b="1"/>
                </a:pPr>
                <a:endParaRPr lang="zh-TW"/>
              </a:p>
            </c:txPr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紅綠燈!$O$2:$V$2</c:f>
              <c:strCache>
                <c:ptCount val="8"/>
                <c:pt idx="0">
                  <c:v>Q-7</c:v>
                </c:pt>
                <c:pt idx="1">
                  <c:v>Q-6</c:v>
                </c:pt>
                <c:pt idx="2">
                  <c:v>Q-5</c:v>
                </c:pt>
                <c:pt idx="3">
                  <c:v>Q-4</c:v>
                </c:pt>
                <c:pt idx="4">
                  <c:v>Q-3</c:v>
                </c:pt>
                <c:pt idx="5">
                  <c:v>Q-2</c:v>
                </c:pt>
                <c:pt idx="6">
                  <c:v>Q-1</c:v>
                </c:pt>
                <c:pt idx="7">
                  <c:v>Q</c:v>
                </c:pt>
              </c:strCache>
            </c:strRef>
          </c:cat>
          <c:val>
            <c:numRef>
              <c:f>紅綠燈!$O$9:$V$9</c:f>
              <c:numCache>
                <c:formatCode>General</c:formatCode>
                <c:ptCount val="8"/>
                <c:pt idx="0">
                  <c:v>1.96</c:v>
                </c:pt>
                <c:pt idx="1">
                  <c:v>1.49</c:v>
                </c:pt>
                <c:pt idx="2">
                  <c:v>1.62</c:v>
                </c:pt>
                <c:pt idx="3">
                  <c:v>1.89</c:v>
                </c:pt>
                <c:pt idx="4">
                  <c:v>2.2400000000000002</c:v>
                </c:pt>
                <c:pt idx="5">
                  <c:v>1.83</c:v>
                </c:pt>
                <c:pt idx="6">
                  <c:v>1.88</c:v>
                </c:pt>
                <c:pt idx="7">
                  <c:v>2.0099999999999998</c:v>
                </c:pt>
              </c:numCache>
            </c:numRef>
          </c:val>
        </c:ser>
        <c:ser>
          <c:idx val="2"/>
          <c:order val="2"/>
          <c:tx>
            <c:strRef>
              <c:f>紅綠燈!$N$47</c:f>
              <c:strCache>
                <c:ptCount val="1"/>
              </c:strCache>
            </c:strRef>
          </c:tx>
          <c:spPr>
            <a:solidFill>
              <a:schemeClr val="tx1"/>
            </a:solidFill>
            <a:ln>
              <a:solidFill>
                <a:schemeClr val="tx1">
                  <a:lumMod val="50000"/>
                  <a:lumOff val="50000"/>
                </a:schemeClr>
              </a:solidFill>
            </a:ln>
            <a:effectLst>
              <a:softEdge rad="635000"/>
            </a:effectLst>
            <a:scene3d>
              <a:camera prst="orthographicFront"/>
              <a:lightRig rig="threePt" dir="t"/>
            </a:scene3d>
            <a:sp3d>
              <a:bevelT w="127000" h="127000"/>
              <a:bevelB w="127000" h="127000"/>
            </a:sp3d>
          </c:spPr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200" b="1"/>
                </a:pPr>
                <a:endParaRPr lang="zh-TW"/>
              </a:p>
            </c:txPr>
            <c:showVal val="1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val>
            <c:numRef>
              <c:f>紅綠燈!$O$47:$V$47</c:f>
              <c:numCache>
                <c:formatCode>_-* #,##0.00_-;\-* #,##0.00_-;_-* "-"??_-;_-@_-</c:formatCode>
                <c:ptCount val="8"/>
              </c:numCache>
            </c:numRef>
          </c:val>
        </c:ser>
        <c:gapWidth val="170"/>
        <c:overlap val="100"/>
        <c:axId val="153664512"/>
        <c:axId val="153944832"/>
      </c:barChart>
      <c:lineChart>
        <c:grouping val="standard"/>
        <c:ser>
          <c:idx val="1"/>
          <c:order val="1"/>
          <c:tx>
            <c:strRef>
              <c:f>紅綠燈!$N$35</c:f>
              <c:strCache>
                <c:ptCount val="1"/>
                <c:pt idx="0">
                  <c:v>本業比率</c:v>
                </c:pt>
              </c:strCache>
            </c:strRef>
          </c:tx>
          <c:spPr>
            <a:ln w="44450">
              <a:solidFill>
                <a:srgbClr val="FF0000"/>
              </a:solidFill>
            </a:ln>
          </c:spPr>
          <c:marker>
            <c:symbol val="none"/>
          </c:marker>
          <c:val>
            <c:numRef>
              <c:f>紅綠燈!$O$35:$V$35</c:f>
              <c:numCache>
                <c:formatCode>0%</c:formatCode>
                <c:ptCount val="8"/>
                <c:pt idx="0">
                  <c:v>0.9419642857142857</c:v>
                </c:pt>
                <c:pt idx="1">
                  <c:v>0.96296296296296291</c:v>
                </c:pt>
                <c:pt idx="2">
                  <c:v>0.97674418604651159</c:v>
                </c:pt>
                <c:pt idx="3">
                  <c:v>0.93488372093023253</c:v>
                </c:pt>
                <c:pt idx="4">
                  <c:v>0.92514395393474091</c:v>
                </c:pt>
                <c:pt idx="5">
                  <c:v>0.95226730310262531</c:v>
                </c:pt>
                <c:pt idx="6">
                  <c:v>0.9553571428571429</c:v>
                </c:pt>
                <c:pt idx="7">
                  <c:v>0.96822033898305082</c:v>
                </c:pt>
              </c:numCache>
            </c:numRef>
          </c:val>
          <c:smooth val="1"/>
        </c:ser>
        <c:marker val="1"/>
        <c:axId val="153956352"/>
        <c:axId val="153946368"/>
      </c:lineChart>
      <c:catAx>
        <c:axId val="153664512"/>
        <c:scaling>
          <c:orientation val="minMax"/>
        </c:scaling>
        <c:delete val="1"/>
        <c:axPos val="b"/>
        <c:numFmt formatCode="General" sourceLinked="0"/>
        <c:majorTickMark val="none"/>
        <c:tickLblPos val="none"/>
        <c:crossAx val="153944832"/>
        <c:crosses val="autoZero"/>
        <c:auto val="1"/>
        <c:lblAlgn val="ctr"/>
        <c:lblOffset val="100"/>
      </c:catAx>
      <c:valAx>
        <c:axId val="153944832"/>
        <c:scaling>
          <c:orientation val="minMax"/>
        </c:scaling>
        <c:axPos val="l"/>
        <c:numFmt formatCode="General" sourceLinked="1"/>
        <c:majorTickMark val="none"/>
        <c:tickLblPos val="nextTo"/>
        <c:txPr>
          <a:bodyPr/>
          <a:lstStyle/>
          <a:p>
            <a:pPr>
              <a:defRPr sz="1200" b="1"/>
            </a:pPr>
            <a:endParaRPr lang="zh-TW"/>
          </a:p>
        </c:txPr>
        <c:crossAx val="153664512"/>
        <c:crosses val="autoZero"/>
        <c:crossBetween val="between"/>
      </c:valAx>
      <c:valAx>
        <c:axId val="153946368"/>
        <c:scaling>
          <c:orientation val="minMax"/>
        </c:scaling>
        <c:axPos val="r"/>
        <c:numFmt formatCode="0%" sourceLinked="1"/>
        <c:majorTickMark val="none"/>
        <c:tickLblPos val="nextTo"/>
        <c:txPr>
          <a:bodyPr/>
          <a:lstStyle/>
          <a:p>
            <a:pPr>
              <a:defRPr sz="1100" b="0"/>
            </a:pPr>
            <a:endParaRPr lang="zh-TW"/>
          </a:p>
        </c:txPr>
        <c:crossAx val="153956352"/>
        <c:crosses val="max"/>
        <c:crossBetween val="between"/>
      </c:valAx>
      <c:catAx>
        <c:axId val="153956352"/>
        <c:scaling>
          <c:orientation val="minMax"/>
        </c:scaling>
        <c:delete val="1"/>
        <c:axPos val="b"/>
        <c:tickLblPos val="none"/>
        <c:crossAx val="153946368"/>
        <c:crosses val="autoZero"/>
        <c:auto val="1"/>
        <c:lblAlgn val="ctr"/>
        <c:lblOffset val="100"/>
      </c:catAx>
      <c:spPr>
        <a:noFill/>
        <a:ln w="15875">
          <a:solidFill>
            <a:schemeClr val="tx1"/>
          </a:solidFill>
        </a:ln>
      </c:spPr>
    </c:plotArea>
    <c:plotVisOnly val="1"/>
    <c:dispBlanksAs val="gap"/>
  </c:chart>
  <c:spPr>
    <a:noFill/>
    <a:ln w="22225">
      <a:solidFill>
        <a:schemeClr val="tx1"/>
      </a:solidFill>
    </a:ln>
  </c:spPr>
  <c:printSettings>
    <c:headerFooter/>
    <c:pageMargins b="0.750000000000003" l="0.70000000000000062" r="0.70000000000000062" t="0.750000000000003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roundedCorners val="1"/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Adobe 繁黑體 Std B" panose="020B0700000000000000" pitchFamily="34" charset="-120"/>
                <a:ea typeface="Adobe 繁黑體 Std B" panose="020B0700000000000000" pitchFamily="34" charset="-120"/>
                <a:cs typeface="+mn-cs"/>
              </a:defRPr>
            </a:pPr>
            <a:r>
              <a:rPr lang="zh-TW" altLang="en-US">
                <a:latin typeface="Adobe 繁黑體 Std B" panose="020B0700000000000000" pitchFamily="34" charset="-120"/>
                <a:ea typeface="Adobe 繁黑體 Std B" panose="020B0700000000000000" pitchFamily="34" charset="-120"/>
              </a:rPr>
              <a:t>營業收入淨額</a:t>
            </a:r>
          </a:p>
        </c:rich>
      </c:tx>
      <c:layout/>
      <c:spPr>
        <a:noFill/>
        <a:ln>
          <a:noFill/>
        </a:ln>
        <a:effectLst/>
      </c:spPr>
    </c:title>
    <c:plotArea>
      <c:layout>
        <c:manualLayout>
          <c:layoutTarget val="inner"/>
          <c:xMode val="edge"/>
          <c:yMode val="edge"/>
          <c:x val="4.7264904214774597E-2"/>
          <c:y val="0.13540719660572151"/>
          <c:w val="0.88395908009621549"/>
          <c:h val="0.75954052669684724"/>
        </c:manualLayout>
      </c:layout>
      <c:barChart>
        <c:barDir val="col"/>
        <c:grouping val="clustered"/>
        <c:ser>
          <c:idx val="0"/>
          <c:order val="0"/>
          <c:tx>
            <c:v>營業外收入合計</c:v>
          </c:tx>
          <c:spPr>
            <a:solidFill>
              <a:schemeClr val="accent1"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val>
            <c:numRef>
              <c:f>紅綠燈!$O$3:$R$3</c:f>
              <c:numCache>
                <c:formatCode>General</c:formatCode>
                <c:ptCount val="4"/>
                <c:pt idx="0">
                  <c:v>1513</c:v>
                </c:pt>
                <c:pt idx="1">
                  <c:v>1386</c:v>
                </c:pt>
                <c:pt idx="2">
                  <c:v>1629</c:v>
                </c:pt>
                <c:pt idx="3">
                  <c:v>1510</c:v>
                </c:pt>
              </c:numCache>
            </c:numRef>
          </c:val>
        </c:ser>
        <c:ser>
          <c:idx val="1"/>
          <c:order val="1"/>
          <c:tx>
            <c:v> 應付帳款及票據</c:v>
          </c:tx>
          <c:spPr>
            <a:solidFill>
              <a:srgbClr val="FF5050"/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  <a:scene3d>
              <a:camera prst="orthographicFront"/>
              <a:lightRig rig="threePt" dir="t"/>
            </a:scene3d>
            <a:sp3d>
              <a:bevelT/>
              <a:bevelB/>
            </a:sp3d>
          </c:spPr>
          <c:val>
            <c:numRef>
              <c:f>紅綠燈!$S$3:$V$3</c:f>
              <c:numCache>
                <c:formatCode>General</c:formatCode>
                <c:ptCount val="4"/>
                <c:pt idx="0">
                  <c:v>1758</c:v>
                </c:pt>
                <c:pt idx="1">
                  <c:v>1651</c:v>
                </c:pt>
                <c:pt idx="2">
                  <c:v>1858</c:v>
                </c:pt>
                <c:pt idx="3">
                  <c:v>1728</c:v>
                </c:pt>
              </c:numCache>
            </c:numRef>
          </c:val>
        </c:ser>
        <c:gapWidth val="65"/>
        <c:axId val="153976192"/>
        <c:axId val="153986176"/>
      </c:barChart>
      <c:catAx>
        <c:axId val="153976192"/>
        <c:scaling>
          <c:orientation val="minMax"/>
        </c:scaling>
        <c:axPos val="b"/>
        <c:maj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53986176"/>
        <c:crosses val="autoZero"/>
        <c:auto val="1"/>
        <c:lblAlgn val="ctr"/>
        <c:lblOffset val="100"/>
      </c:catAx>
      <c:valAx>
        <c:axId val="153986176"/>
        <c:scaling>
          <c:orientation val="minMax"/>
        </c:scaling>
        <c:delete val="1"/>
        <c:axPos val="l"/>
        <c:numFmt formatCode="General" sourceLinked="1"/>
        <c:majorTickMark val="none"/>
        <c:tickLblPos val="none"/>
        <c:crossAx val="1539761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</c:chart>
  <c:spPr>
    <a:gradFill flip="none" rotWithShape="1">
      <a:gsLst>
        <a:gs pos="0">
          <a:schemeClr val="bg2">
            <a:lumMod val="90000"/>
          </a:schemeClr>
        </a:gs>
        <a:gs pos="0">
          <a:schemeClr val="accent3">
            <a:lumMod val="0"/>
            <a:lumOff val="100000"/>
          </a:schemeClr>
        </a:gs>
        <a:gs pos="100000">
          <a:schemeClr val="bg2">
            <a:lumMod val="50000"/>
          </a:schemeClr>
        </a:gs>
      </a:gsLst>
      <a:path path="circle">
        <a:fillToRect l="50000" t="50000" r="50000" b="5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roundedCorners val="1"/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Adobe 繁黑體 Std B" panose="020B0700000000000000" pitchFamily="34" charset="-120"/>
                <a:ea typeface="Adobe 繁黑體 Std B" panose="020B0700000000000000" pitchFamily="34" charset="-120"/>
                <a:cs typeface="+mn-cs"/>
              </a:defRPr>
            </a:pPr>
            <a:r>
              <a:rPr lang="zh-TW" altLang="en-US">
                <a:latin typeface="Adobe 繁黑體 Std B" panose="020B0700000000000000" pitchFamily="34" charset="-120"/>
                <a:ea typeface="Adobe 繁黑體 Std B" panose="020B0700000000000000" pitchFamily="34" charset="-120"/>
              </a:rPr>
              <a:t>營運天數</a:t>
            </a:r>
          </a:p>
        </c:rich>
      </c:tx>
      <c:layout/>
      <c:spPr>
        <a:noFill/>
        <a:ln>
          <a:noFill/>
        </a:ln>
        <a:effectLst/>
      </c:spPr>
    </c:title>
    <c:plotArea>
      <c:layout>
        <c:manualLayout>
          <c:layoutTarget val="inner"/>
          <c:xMode val="edge"/>
          <c:yMode val="edge"/>
          <c:x val="5.095454408527815E-2"/>
          <c:y val="0.15308626374846174"/>
          <c:w val="0.90049010022061926"/>
          <c:h val="0.70987395863660663"/>
        </c:manualLayout>
      </c:layout>
      <c:lineChart>
        <c:grouping val="standard"/>
        <c:ser>
          <c:idx val="0"/>
          <c:order val="0"/>
          <c:tx>
            <c:strRef>
              <c:f>紅綠燈!$N$3</c:f>
              <c:strCache>
                <c:ptCount val="1"/>
                <c:pt idx="0">
                  <c:v>營業收入淨額</c:v>
                </c:pt>
              </c:strCache>
            </c:strRef>
          </c:tx>
          <c:spPr>
            <a:ln w="44450" cap="rnd">
              <a:solidFill>
                <a:schemeClr val="tx2">
                  <a:lumMod val="75000"/>
                </a:schemeClr>
              </a:solidFill>
              <a:prstDash val="dash"/>
              <a:round/>
            </a:ln>
            <a:effectLst/>
          </c:spPr>
          <c:marker>
            <c:symbol val="circle"/>
            <c:size val="17"/>
            <c:spPr>
              <a:solidFill>
                <a:schemeClr val="accent1"/>
              </a:solidFill>
              <a:ln>
                <a:noFill/>
              </a:ln>
              <a:effectLst/>
            </c:spPr>
          </c:marker>
          <c:dLbls>
            <c:numFmt formatCode="#,##0_);[Red]\(#,##0\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zh-TW"/>
              </a:p>
            </c:txPr>
            <c:dLblPos val="ctr"/>
            <c:showVal val="1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val>
            <c:numRef>
              <c:f>紅綠燈!$O$28:$R$28</c:f>
              <c:numCache>
                <c:formatCode>#,##0;[Red]\-#,##0</c:formatCode>
                <c:ptCount val="4"/>
                <c:pt idx="0">
                  <c:v>145.10714979464979</c:v>
                </c:pt>
                <c:pt idx="1">
                  <c:v>145.10714979464979</c:v>
                </c:pt>
                <c:pt idx="2">
                  <c:v>108.61631406369312</c:v>
                </c:pt>
                <c:pt idx="3">
                  <c:v>126.9887821718844</c:v>
                </c:pt>
              </c:numCache>
            </c:numRef>
          </c:val>
          <c:smooth val="1"/>
        </c:ser>
        <c:ser>
          <c:idx val="1"/>
          <c:order val="1"/>
          <c:spPr>
            <a:ln w="539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24"/>
            <c:spPr>
              <a:solidFill>
                <a:srgbClr val="FF5050"/>
              </a:solidFill>
              <a:ln>
                <a:noFill/>
              </a:ln>
              <a:effectLst/>
            </c:spPr>
          </c:marker>
          <c:dLbls>
            <c:numFmt formatCode="#,##0_);[Red]\(#,##0\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zh-TW"/>
              </a:p>
            </c:txPr>
            <c:dLblPos val="ctr"/>
            <c:showVal val="1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val>
            <c:numRef>
              <c:f>紅綠燈!$S$28:$V$28</c:f>
              <c:numCache>
                <c:formatCode>#,##0;[Red]\-#,##0</c:formatCode>
                <c:ptCount val="4"/>
                <c:pt idx="0">
                  <c:v>131.37006310918429</c:v>
                </c:pt>
                <c:pt idx="1">
                  <c:v>136.90882380312439</c:v>
                </c:pt>
                <c:pt idx="2">
                  <c:v>129.13329064470244</c:v>
                </c:pt>
                <c:pt idx="3">
                  <c:v>152.07473689168819</c:v>
                </c:pt>
              </c:numCache>
            </c:numRef>
          </c:val>
          <c:smooth val="1"/>
        </c:ser>
        <c:dLbls>
          <c:showVal val="1"/>
        </c:dLbls>
        <c:marker val="1"/>
        <c:axId val="154008192"/>
        <c:axId val="154235264"/>
      </c:lineChart>
      <c:catAx>
        <c:axId val="154008192"/>
        <c:scaling>
          <c:orientation val="minMax"/>
        </c:scaling>
        <c:delete val="1"/>
        <c:axPos val="b"/>
        <c:majorTickMark val="none"/>
        <c:tickLblPos val="none"/>
        <c:crossAx val="154235264"/>
        <c:crosses val="autoZero"/>
        <c:auto val="1"/>
        <c:lblAlgn val="ctr"/>
        <c:lblOffset val="100"/>
      </c:catAx>
      <c:valAx>
        <c:axId val="154235264"/>
        <c:scaling>
          <c:orientation val="minMax"/>
          <c:max val="183.48968427002583"/>
          <c:min val="85.8930512509545"/>
        </c:scaling>
        <c:delete val="1"/>
        <c:axPos val="l"/>
        <c:numFmt formatCode="#,##0;[Red]\-#,##0" sourceLinked="1"/>
        <c:majorTickMark val="none"/>
        <c:tickLblPos val="none"/>
        <c:crossAx val="154008192"/>
        <c:crosses val="autoZero"/>
        <c:crossBetween val="between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</c:chart>
  <c:spPr>
    <a:gradFill flip="none" rotWithShape="1">
      <a:gsLst>
        <a:gs pos="0">
          <a:schemeClr val="bg2">
            <a:lumMod val="90000"/>
          </a:schemeClr>
        </a:gs>
        <a:gs pos="0">
          <a:schemeClr val="accent3">
            <a:lumMod val="0"/>
            <a:lumOff val="100000"/>
          </a:schemeClr>
        </a:gs>
        <a:gs pos="100000">
          <a:schemeClr val="bg2">
            <a:lumMod val="50000"/>
          </a:schemeClr>
        </a:gs>
      </a:gsLst>
      <a:path path="circle">
        <a:fillToRect l="50000" t="50000" r="50000" b="5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roundedCorners val="1"/>
  <c:chart>
    <c:plotArea>
      <c:layout>
        <c:manualLayout>
          <c:layoutTarget val="inner"/>
          <c:xMode val="edge"/>
          <c:yMode val="edge"/>
          <c:x val="8.6394534016581259E-2"/>
          <c:y val="5.4652457235949581E-2"/>
          <c:w val="0.83187613799423621"/>
          <c:h val="0.82214272784867404"/>
        </c:manualLayout>
      </c:layout>
      <c:barChart>
        <c:barDir val="col"/>
        <c:grouping val="clustered"/>
        <c:ser>
          <c:idx val="0"/>
          <c:order val="0"/>
          <c:tx>
            <c:strRef>
              <c:f>PK!$A$26:$B$26</c:f>
              <c:strCache>
                <c:ptCount val="1"/>
                <c:pt idx="0">
                  <c:v>2455 來自營運之現金流量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hade val="51000"/>
                    <a:satMod val="130000"/>
                  </a:schemeClr>
                </a:gs>
                <a:gs pos="80000">
                  <a:schemeClr val="accent1">
                    <a:shade val="93000"/>
                    <a:satMod val="130000"/>
                  </a:schemeClr>
                </a:gs>
                <a:gs pos="100000">
                  <a:schemeClr val="accent1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cat>
            <c:numRef>
              <c:f>PK!$C$1:$J$1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cat>
          <c:val>
            <c:numRef>
              <c:f>PK!$C$71:$J$71</c:f>
              <c:numCache>
                <c:formatCode>General</c:formatCode>
                <c:ptCount val="8"/>
                <c:pt idx="0">
                  <c:v>0.93</c:v>
                </c:pt>
                <c:pt idx="1">
                  <c:v>0.38</c:v>
                </c:pt>
                <c:pt idx="2">
                  <c:v>0.43</c:v>
                </c:pt>
                <c:pt idx="3">
                  <c:v>0.62</c:v>
                </c:pt>
                <c:pt idx="4">
                  <c:v>0.99</c:v>
                </c:pt>
                <c:pt idx="5">
                  <c:v>0.56000000000000005</c:v>
                </c:pt>
                <c:pt idx="6">
                  <c:v>0.61</c:v>
                </c:pt>
                <c:pt idx="7">
                  <c:v>1.27</c:v>
                </c:pt>
              </c:numCache>
            </c:numRef>
          </c:val>
        </c:ser>
        <c:ser>
          <c:idx val="1"/>
          <c:order val="1"/>
          <c:tx>
            <c:strRef>
              <c:f>PK!$A$27:$B$27</c:f>
              <c:strCache>
                <c:ptCount val="1"/>
                <c:pt idx="0">
                  <c:v>8086 來自營運之現金流量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hade val="51000"/>
                    <a:satMod val="130000"/>
                  </a:schemeClr>
                </a:gs>
                <a:gs pos="80000">
                  <a:schemeClr val="accent2">
                    <a:shade val="93000"/>
                    <a:satMod val="130000"/>
                  </a:schemeClr>
                </a:gs>
                <a:gs pos="100000">
                  <a:schemeClr val="accent2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cat>
            <c:numRef>
              <c:f>PK!$C$1:$J$1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cat>
          <c:val>
            <c:numRef>
              <c:f>PK!$C$72:$J$72</c:f>
              <c:numCache>
                <c:formatCode>General</c:formatCode>
                <c:ptCount val="8"/>
                <c:pt idx="0">
                  <c:v>0.75</c:v>
                </c:pt>
                <c:pt idx="1">
                  <c:v>0.24</c:v>
                </c:pt>
                <c:pt idx="2">
                  <c:v>0.48</c:v>
                </c:pt>
                <c:pt idx="3">
                  <c:v>0.72</c:v>
                </c:pt>
                <c:pt idx="4">
                  <c:v>2.6</c:v>
                </c:pt>
                <c:pt idx="5">
                  <c:v>2.37</c:v>
                </c:pt>
                <c:pt idx="6">
                  <c:v>2.87</c:v>
                </c:pt>
                <c:pt idx="7">
                  <c:v>2.13</c:v>
                </c:pt>
              </c:numCache>
            </c:numRef>
          </c:val>
        </c:ser>
        <c:ser>
          <c:idx val="2"/>
          <c:order val="2"/>
          <c:tx>
            <c:strRef>
              <c:f>PK!$A$28:$B$28</c:f>
              <c:strCache>
                <c:ptCount val="1"/>
                <c:pt idx="0">
                  <c:v>3105 來自營運之現金流量</c:v>
                </c:pt>
              </c:strCache>
            </c:strRef>
          </c:tx>
          <c:spPr>
            <a:solidFill>
              <a:srgbClr val="FFCC00"/>
            </a:soli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cat>
            <c:numRef>
              <c:f>PK!$C$1:$J$1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cat>
          <c:val>
            <c:numRef>
              <c:f>PK!$C$73:$J$73</c:f>
              <c:numCache>
                <c:formatCode>General</c:formatCode>
                <c:ptCount val="8"/>
                <c:pt idx="0">
                  <c:v>1.5</c:v>
                </c:pt>
                <c:pt idx="1">
                  <c:v>0.71</c:v>
                </c:pt>
                <c:pt idx="2">
                  <c:v>0.75</c:v>
                </c:pt>
                <c:pt idx="3">
                  <c:v>1.4</c:v>
                </c:pt>
                <c:pt idx="4">
                  <c:v>2.2999999999999998</c:v>
                </c:pt>
                <c:pt idx="5">
                  <c:v>1.01</c:v>
                </c:pt>
                <c:pt idx="6">
                  <c:v>1.49</c:v>
                </c:pt>
                <c:pt idx="7">
                  <c:v>1.72</c:v>
                </c:pt>
              </c:numCache>
            </c:numRef>
          </c:val>
        </c:ser>
        <c:gapWidth val="138"/>
        <c:overlap val="38"/>
        <c:axId val="251613952"/>
        <c:axId val="251615488"/>
      </c:barChart>
      <c:lineChart>
        <c:grouping val="standard"/>
        <c:ser>
          <c:idx val="3"/>
          <c:order val="3"/>
          <c:tx>
            <c:strRef>
              <c:f>PK!$A$56:$B$56</c:f>
              <c:strCache>
                <c:ptCount val="1"/>
                <c:pt idx="0">
                  <c:v>2455  負債比 </c:v>
                </c:pt>
              </c:strCache>
            </c:strRef>
          </c:tx>
          <c:spPr>
            <a:ln>
              <a:solidFill>
                <a:srgbClr val="33CCFF"/>
              </a:solidFill>
            </a:ln>
          </c:spPr>
          <c:marker>
            <c:symbol val="none"/>
          </c:marker>
          <c:cat>
            <c:numRef>
              <c:f>PK!$C$1:$J$1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cat>
          <c:val>
            <c:numRef>
              <c:f>PK!$C$56:$J$56</c:f>
              <c:numCache>
                <c:formatCode>0%</c:formatCode>
                <c:ptCount val="8"/>
                <c:pt idx="0">
                  <c:v>9.5922031290074372E-2</c:v>
                </c:pt>
                <c:pt idx="1">
                  <c:v>9.219143576826197E-2</c:v>
                </c:pt>
                <c:pt idx="2">
                  <c:v>0.21764705882352942</c:v>
                </c:pt>
                <c:pt idx="3">
                  <c:v>0.10992813414958744</c:v>
                </c:pt>
                <c:pt idx="4">
                  <c:v>0.11173042817329618</c:v>
                </c:pt>
                <c:pt idx="5">
                  <c:v>0.11604758436513717</c:v>
                </c:pt>
                <c:pt idx="6">
                  <c:v>0.22271662763466041</c:v>
                </c:pt>
                <c:pt idx="7">
                  <c:v>0.11193838254172016</c:v>
                </c:pt>
              </c:numCache>
            </c:numRef>
          </c:val>
          <c:smooth val="1"/>
        </c:ser>
        <c:ser>
          <c:idx val="4"/>
          <c:order val="4"/>
          <c:tx>
            <c:strRef>
              <c:f>PK!$A$57:$B$57</c:f>
              <c:strCache>
                <c:ptCount val="1"/>
                <c:pt idx="0">
                  <c:v>8086  負債比 </c:v>
                </c:pt>
              </c:strCache>
            </c:strRef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cat>
            <c:numRef>
              <c:f>PK!$C$1:$J$1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cat>
          <c:val>
            <c:numRef>
              <c:f>PK!$C$57:$J$57</c:f>
              <c:numCache>
                <c:formatCode>0%</c:formatCode>
                <c:ptCount val="8"/>
                <c:pt idx="0">
                  <c:v>0.18223234624145787</c:v>
                </c:pt>
                <c:pt idx="1">
                  <c:v>0.18943533697632059</c:v>
                </c:pt>
                <c:pt idx="2">
                  <c:v>0.25143560295324036</c:v>
                </c:pt>
                <c:pt idx="3">
                  <c:v>0.24419504643962847</c:v>
                </c:pt>
                <c:pt idx="4">
                  <c:v>0.2329996548153262</c:v>
                </c:pt>
                <c:pt idx="5">
                  <c:v>0.21271159374001916</c:v>
                </c:pt>
                <c:pt idx="6">
                  <c:v>0.29049972542559033</c:v>
                </c:pt>
                <c:pt idx="7">
                  <c:v>0.20793693938570262</c:v>
                </c:pt>
              </c:numCache>
            </c:numRef>
          </c:val>
          <c:smooth val="1"/>
        </c:ser>
        <c:ser>
          <c:idx val="5"/>
          <c:order val="5"/>
          <c:tx>
            <c:strRef>
              <c:f>PK!$A$58:$B$58</c:f>
              <c:strCache>
                <c:ptCount val="1"/>
                <c:pt idx="0">
                  <c:v>3105  負債比 </c:v>
                </c:pt>
              </c:strCache>
            </c:strRef>
          </c:tx>
          <c:spPr>
            <a:ln>
              <a:solidFill>
                <a:srgbClr val="FFFF00"/>
              </a:solidFill>
            </a:ln>
          </c:spPr>
          <c:marker>
            <c:symbol val="none"/>
          </c:marker>
          <c:cat>
            <c:numRef>
              <c:f>PK!$C$1:$J$1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cat>
          <c:val>
            <c:numRef>
              <c:f>PK!$C$58:$J$58</c:f>
              <c:numCache>
                <c:formatCode>0%</c:formatCode>
                <c:ptCount val="8"/>
                <c:pt idx="0">
                  <c:v>0.29461917392951875</c:v>
                </c:pt>
                <c:pt idx="1">
                  <c:v>0.28363328790940273</c:v>
                </c:pt>
                <c:pt idx="2">
                  <c:v>0.34571723426212592</c:v>
                </c:pt>
                <c:pt idx="3">
                  <c:v>0.29344110854503463</c:v>
                </c:pt>
                <c:pt idx="4">
                  <c:v>0.26934360102676935</c:v>
                </c:pt>
                <c:pt idx="5">
                  <c:v>0.26559125567455594</c:v>
                </c:pt>
                <c:pt idx="6">
                  <c:v>0.27582821038251365</c:v>
                </c:pt>
                <c:pt idx="7">
                  <c:v>0.26723247563878039</c:v>
                </c:pt>
              </c:numCache>
            </c:numRef>
          </c:val>
          <c:smooth val="1"/>
        </c:ser>
        <c:marker val="1"/>
        <c:axId val="251631104"/>
        <c:axId val="251629568"/>
      </c:lineChart>
      <c:dateAx>
        <c:axId val="251613952"/>
        <c:scaling>
          <c:orientation val="minMax"/>
        </c:scaling>
        <c:delete val="1"/>
        <c:axPos val="b"/>
        <c:numFmt formatCode="General" sourceLinked="1"/>
        <c:majorTickMark val="none"/>
        <c:tickLblPos val="none"/>
        <c:crossAx val="251615488"/>
        <c:crosses val="autoZero"/>
        <c:lblOffset val="100"/>
        <c:baseTimeUnit val="days"/>
      </c:dateAx>
      <c:valAx>
        <c:axId val="251615488"/>
        <c:scaling>
          <c:orientation val="minMax"/>
        </c:scaling>
        <c:axPos val="l"/>
        <c:numFmt formatCode="#,##0_);[Red]\(#,##0\)" sourceLinked="0"/>
        <c:majorTickMark val="none"/>
        <c:tickLblPos val="nextTo"/>
        <c:spPr>
          <a:ln>
            <a:noFill/>
          </a:ln>
        </c:spPr>
        <c:txPr>
          <a:bodyPr/>
          <a:lstStyle/>
          <a:p>
            <a:pPr>
              <a:defRPr sz="1200" b="1">
                <a:solidFill>
                  <a:schemeClr val="bg1"/>
                </a:solidFill>
              </a:defRPr>
            </a:pPr>
            <a:endParaRPr lang="zh-TW"/>
          </a:p>
        </c:txPr>
        <c:crossAx val="251613952"/>
        <c:crosses val="autoZero"/>
        <c:crossBetween val="between"/>
      </c:valAx>
      <c:valAx>
        <c:axId val="251629568"/>
        <c:scaling>
          <c:orientation val="minMax"/>
        </c:scaling>
        <c:axPos val="r"/>
        <c:numFmt formatCode="0%" sourceLinked="0"/>
        <c:tickLblPos val="nextTo"/>
        <c:txPr>
          <a:bodyPr/>
          <a:lstStyle/>
          <a:p>
            <a:pPr>
              <a:defRPr sz="1200" b="1"/>
            </a:pPr>
            <a:endParaRPr lang="zh-TW"/>
          </a:p>
        </c:txPr>
        <c:crossAx val="251631104"/>
        <c:crosses val="max"/>
        <c:crossBetween val="between"/>
      </c:valAx>
      <c:dateAx>
        <c:axId val="251631104"/>
        <c:scaling>
          <c:orientation val="minMax"/>
        </c:scaling>
        <c:delete val="1"/>
        <c:axPos val="b"/>
        <c:numFmt formatCode="General" sourceLinked="1"/>
        <c:tickLblPos val="none"/>
        <c:crossAx val="251629568"/>
        <c:crosses val="autoZero"/>
        <c:lblOffset val="100"/>
        <c:baseTimeUnit val="days"/>
      </c:dateAx>
      <c:spPr>
        <a:noFill/>
      </c:spPr>
    </c:plotArea>
    <c:plotVisOnly val="1"/>
    <c:dispBlanksAs val="gap"/>
  </c:chart>
  <c:spPr>
    <a:noFill/>
    <a:ln w="19050"/>
  </c:spPr>
  <c:txPr>
    <a:bodyPr/>
    <a:lstStyle/>
    <a:p>
      <a:pPr>
        <a:defRPr>
          <a:solidFill>
            <a:schemeClr val="bg1"/>
          </a:solidFill>
        </a:defRPr>
      </a:pPr>
      <a:endParaRPr lang="zh-TW"/>
    </a:p>
  </c:txPr>
  <c:printSettings>
    <c:headerFooter/>
    <c:pageMargins b="0.75000000000001377" l="0.70000000000000062" r="0.70000000000000062" t="0.75000000000001377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roundedCorners val="1"/>
  <c:chart>
    <c:plotArea>
      <c:layout>
        <c:manualLayout>
          <c:layoutTarget val="inner"/>
          <c:xMode val="edge"/>
          <c:yMode val="edge"/>
          <c:x val="8.7736598370232663E-2"/>
          <c:y val="7.6339457567804025E-2"/>
          <c:w val="0.91226332455746328"/>
          <c:h val="0.76162697844589644"/>
        </c:manualLayout>
      </c:layout>
      <c:lineChart>
        <c:grouping val="standard"/>
        <c:ser>
          <c:idx val="0"/>
          <c:order val="0"/>
          <c:tx>
            <c:strRef>
              <c:f>PK!$A$50:$B$50</c:f>
              <c:strCache>
                <c:ptCount val="1"/>
                <c:pt idx="0">
                  <c:v>2455  應收週轉天數</c:v>
                </c:pt>
              </c:strCache>
            </c:strRef>
          </c:tx>
          <c:spPr>
            <a:ln>
              <a:solidFill>
                <a:srgbClr val="00B0F0"/>
              </a:solidFill>
            </a:ln>
          </c:spPr>
          <c:marker>
            <c:symbol val="none"/>
          </c:marker>
          <c:cat>
            <c:numRef>
              <c:f>PK!$C$1:$J$1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cat>
          <c:val>
            <c:numRef>
              <c:f>PK!$C$50:$J$50</c:f>
              <c:numCache>
                <c:formatCode>_(* #,##0_);_(* \(#,##0\);_(* "-"??_);_(@_)</c:formatCode>
                <c:ptCount val="8"/>
                <c:pt idx="0">
                  <c:v>63.826462765957444</c:v>
                </c:pt>
                <c:pt idx="1">
                  <c:v>63.826462765957444</c:v>
                </c:pt>
                <c:pt idx="2">
                  <c:v>53.416745730550282</c:v>
                </c:pt>
                <c:pt idx="3">
                  <c:v>56.03202479338843</c:v>
                </c:pt>
                <c:pt idx="4">
                  <c:v>62.179203539823014</c:v>
                </c:pt>
                <c:pt idx="5">
                  <c:v>64.135714285714286</c:v>
                </c:pt>
                <c:pt idx="6">
                  <c:v>57.347115384615385</c:v>
                </c:pt>
                <c:pt idx="7">
                  <c:v>64.570974576271183</c:v>
                </c:pt>
              </c:numCache>
            </c:numRef>
          </c:val>
          <c:smooth val="1"/>
        </c:ser>
        <c:ser>
          <c:idx val="1"/>
          <c:order val="1"/>
          <c:tx>
            <c:strRef>
              <c:f>PK!$A$51:$B$51</c:f>
              <c:strCache>
                <c:ptCount val="1"/>
                <c:pt idx="0">
                  <c:v>8086  應收週轉天數</c:v>
                </c:pt>
              </c:strCache>
            </c:strRef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cat>
            <c:numRef>
              <c:f>PK!$C$1:$J$1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cat>
          <c:val>
            <c:numRef>
              <c:f>PK!$C$51:$J$51</c:f>
              <c:numCache>
                <c:formatCode>_(* #,##0_);_(* \(#,##0\);_(* "-"??_);_(@_)</c:formatCode>
                <c:ptCount val="8"/>
                <c:pt idx="0">
                  <c:v>33.708022388059703</c:v>
                </c:pt>
                <c:pt idx="1">
                  <c:v>33.708022388059703</c:v>
                </c:pt>
                <c:pt idx="2">
                  <c:v>18.75597514340344</c:v>
                </c:pt>
                <c:pt idx="3">
                  <c:v>16.669632265717677</c:v>
                </c:pt>
                <c:pt idx="4">
                  <c:v>19.440217391304348</c:v>
                </c:pt>
                <c:pt idx="5">
                  <c:v>19.624138779527559</c:v>
                </c:pt>
                <c:pt idx="6">
                  <c:v>15.000569216757743</c:v>
                </c:pt>
                <c:pt idx="7">
                  <c:v>17.114139515455303</c:v>
                </c:pt>
              </c:numCache>
            </c:numRef>
          </c:val>
          <c:smooth val="1"/>
        </c:ser>
        <c:ser>
          <c:idx val="2"/>
          <c:order val="2"/>
          <c:tx>
            <c:strRef>
              <c:f>PK!$A$52:$B$52</c:f>
              <c:strCache>
                <c:ptCount val="1"/>
                <c:pt idx="0">
                  <c:v>3105  應收週轉天數</c:v>
                </c:pt>
              </c:strCache>
            </c:strRef>
          </c:tx>
          <c:spPr>
            <a:ln>
              <a:solidFill>
                <a:srgbClr val="FFFF00"/>
              </a:solidFill>
            </a:ln>
          </c:spPr>
          <c:marker>
            <c:symbol val="none"/>
          </c:marker>
          <c:cat>
            <c:numRef>
              <c:f>PK!$C$1:$J$1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cat>
          <c:val>
            <c:numRef>
              <c:f>PK!$C$52:$J$52</c:f>
              <c:numCache>
                <c:formatCode>_(* #,##0_);_(* \(#,##0\);_(* "-"??_);_(@_)</c:formatCode>
                <c:ptCount val="8"/>
                <c:pt idx="0">
                  <c:v>34.677189562087584</c:v>
                </c:pt>
                <c:pt idx="1">
                  <c:v>34.677189562087584</c:v>
                </c:pt>
                <c:pt idx="2">
                  <c:v>27.308258837870785</c:v>
                </c:pt>
                <c:pt idx="3">
                  <c:v>27.84477842945585</c:v>
                </c:pt>
                <c:pt idx="4">
                  <c:v>28.706920383339476</c:v>
                </c:pt>
                <c:pt idx="5">
                  <c:v>26.42901674385465</c:v>
                </c:pt>
                <c:pt idx="6">
                  <c:v>28.414407873507582</c:v>
                </c:pt>
                <c:pt idx="7">
                  <c:v>30.385341572262274</c:v>
                </c:pt>
              </c:numCache>
            </c:numRef>
          </c:val>
          <c:smooth val="1"/>
        </c:ser>
        <c:marker val="1"/>
        <c:axId val="251676544"/>
        <c:axId val="251678080"/>
      </c:lineChart>
      <c:catAx>
        <c:axId val="251676544"/>
        <c:scaling>
          <c:orientation val="minMax"/>
        </c:scaling>
        <c:delete val="1"/>
        <c:axPos val="b"/>
        <c:numFmt formatCode="General" sourceLinked="1"/>
        <c:majorTickMark val="none"/>
        <c:tickLblPos val="none"/>
        <c:crossAx val="251678080"/>
        <c:crosses val="autoZero"/>
        <c:auto val="1"/>
        <c:lblAlgn val="ctr"/>
        <c:lblOffset val="100"/>
      </c:catAx>
      <c:valAx>
        <c:axId val="251678080"/>
        <c:scaling>
          <c:orientation val="minMax"/>
          <c:max val="67.799523305084747"/>
          <c:min val="14.250540755919856"/>
        </c:scaling>
        <c:axPos val="l"/>
        <c:numFmt formatCode="#,##0_);[Red]\(#,##0\)" sourceLinked="0"/>
        <c:majorTickMark val="none"/>
        <c:tickLblPos val="nextTo"/>
        <c:spPr>
          <a:ln>
            <a:noFill/>
            <a:prstDash val="sysDash"/>
          </a:ln>
        </c:spPr>
        <c:txPr>
          <a:bodyPr/>
          <a:lstStyle/>
          <a:p>
            <a:pPr>
              <a:defRPr sz="1200" b="1">
                <a:solidFill>
                  <a:schemeClr val="bg1"/>
                </a:solidFill>
              </a:defRPr>
            </a:pPr>
            <a:endParaRPr lang="zh-TW"/>
          </a:p>
        </c:txPr>
        <c:crossAx val="251676544"/>
        <c:crosses val="autoZero"/>
        <c:crossBetween val="between"/>
      </c:valAx>
      <c:spPr>
        <a:noFill/>
        <a:ln>
          <a:noFill/>
        </a:ln>
      </c:spPr>
    </c:plotArea>
    <c:plotVisOnly val="1"/>
    <c:dispBlanksAs val="gap"/>
  </c:chart>
  <c:spPr>
    <a:noFill/>
    <a:ln w="19050"/>
  </c:spPr>
  <c:txPr>
    <a:bodyPr/>
    <a:lstStyle/>
    <a:p>
      <a:pPr>
        <a:defRPr>
          <a:solidFill>
            <a:schemeClr val="bg1"/>
          </a:solidFill>
        </a:defRPr>
      </a:pPr>
      <a:endParaRPr lang="zh-TW"/>
    </a:p>
  </c:txPr>
  <c:printSettings>
    <c:headerFooter/>
    <c:pageMargins b="0.75000000000001332" l="0.70000000000000062" r="0.70000000000000062" t="0.75000000000001332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roundedCorners val="1"/>
  <c:chart>
    <c:plotArea>
      <c:layout>
        <c:manualLayout>
          <c:layoutTarget val="inner"/>
          <c:xMode val="edge"/>
          <c:yMode val="edge"/>
          <c:x val="8.7736598370232732E-2"/>
          <c:y val="7.6339457567804025E-2"/>
          <c:w val="0.91226344792658953"/>
          <c:h val="0.76162697844589689"/>
        </c:manualLayout>
      </c:layout>
      <c:lineChart>
        <c:grouping val="standard"/>
        <c:ser>
          <c:idx val="0"/>
          <c:order val="0"/>
          <c:tx>
            <c:strRef>
              <c:f>PK!$A$53:$B$53</c:f>
              <c:strCache>
                <c:ptCount val="1"/>
                <c:pt idx="0">
                  <c:v>2455  存貨 週轉天數</c:v>
                </c:pt>
              </c:strCache>
            </c:strRef>
          </c:tx>
          <c:spPr>
            <a:ln>
              <a:solidFill>
                <a:srgbClr val="00B0F0"/>
              </a:solidFill>
            </a:ln>
          </c:spPr>
          <c:marker>
            <c:symbol val="none"/>
          </c:marker>
          <c:cat>
            <c:numRef>
              <c:f>PK!$C$1:$J$1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cat>
          <c:val>
            <c:numRef>
              <c:f>PK!$C$53:$J$53</c:f>
              <c:numCache>
                <c:formatCode>_(* #,##0_);_(* \(#,##0\);_(* "-"??_);_(@_)</c:formatCode>
                <c:ptCount val="8"/>
                <c:pt idx="0">
                  <c:v>104.26025390625</c:v>
                </c:pt>
                <c:pt idx="1">
                  <c:v>104.26025390625</c:v>
                </c:pt>
                <c:pt idx="2">
                  <c:v>81.314469914040117</c:v>
                </c:pt>
                <c:pt idx="3">
                  <c:v>77.5625</c:v>
                </c:pt>
                <c:pt idx="4">
                  <c:v>89.077380952380949</c:v>
                </c:pt>
                <c:pt idx="5">
                  <c:v>112.208984375</c:v>
                </c:pt>
                <c:pt idx="6">
                  <c:v>96.05263157894737</c:v>
                </c:pt>
                <c:pt idx="7">
                  <c:v>92.814973614775724</c:v>
                </c:pt>
              </c:numCache>
            </c:numRef>
          </c:val>
          <c:smooth val="1"/>
        </c:ser>
        <c:marker val="1"/>
        <c:axId val="251700352"/>
        <c:axId val="251701888"/>
      </c:lineChart>
      <c:lineChart>
        <c:grouping val="standard"/>
        <c:ser>
          <c:idx val="1"/>
          <c:order val="1"/>
          <c:tx>
            <c:strRef>
              <c:f>PK!$A$54:$B$54</c:f>
              <c:strCache>
                <c:ptCount val="1"/>
                <c:pt idx="0">
                  <c:v>8086  存貨 週轉天數</c:v>
                </c:pt>
              </c:strCache>
            </c:strRef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val>
            <c:numRef>
              <c:f>PK!$C$54:$J$54</c:f>
              <c:numCache>
                <c:formatCode>_(* #,##0_);_(* \(#,##0\);_(* "-"??_);_(@_)</c:formatCode>
                <c:ptCount val="8"/>
                <c:pt idx="0">
                  <c:v>52.737642585551328</c:v>
                </c:pt>
                <c:pt idx="1">
                  <c:v>52.737642585551328</c:v>
                </c:pt>
                <c:pt idx="2">
                  <c:v>52.325174825174827</c:v>
                </c:pt>
                <c:pt idx="3">
                  <c:v>51.388157894736842</c:v>
                </c:pt>
                <c:pt idx="4">
                  <c:v>50.100476839237054</c:v>
                </c:pt>
                <c:pt idx="5">
                  <c:v>49.986213235294116</c:v>
                </c:pt>
                <c:pt idx="6">
                  <c:v>50.497572815533978</c:v>
                </c:pt>
                <c:pt idx="7">
                  <c:v>44.997656249999999</c:v>
                </c:pt>
              </c:numCache>
            </c:numRef>
          </c:val>
          <c:smooth val="1"/>
        </c:ser>
        <c:ser>
          <c:idx val="2"/>
          <c:order val="2"/>
          <c:tx>
            <c:strRef>
              <c:f>PK!$A$55:$B$55</c:f>
              <c:strCache>
                <c:ptCount val="1"/>
                <c:pt idx="0">
                  <c:v>3105  存貨 週轉天數</c:v>
                </c:pt>
              </c:strCache>
            </c:strRef>
          </c:tx>
          <c:spPr>
            <a:ln>
              <a:solidFill>
                <a:srgbClr val="FFFF00"/>
              </a:solidFill>
            </a:ln>
          </c:spPr>
          <c:marker>
            <c:symbol val="none"/>
          </c:marker>
          <c:val>
            <c:numRef>
              <c:f>PK!$C$55:$J$55</c:f>
              <c:numCache>
                <c:formatCode>_(* #,##0_);_(* \(#,##0\);_(* "-"??_);_(@_)</c:formatCode>
                <c:ptCount val="8"/>
                <c:pt idx="0">
                  <c:v>84.994644387317919</c:v>
                </c:pt>
                <c:pt idx="1">
                  <c:v>84.994644387317919</c:v>
                </c:pt>
                <c:pt idx="2">
                  <c:v>74.472326454033762</c:v>
                </c:pt>
                <c:pt idx="3">
                  <c:v>75.687435300207042</c:v>
                </c:pt>
                <c:pt idx="4">
                  <c:v>84.226645123384259</c:v>
                </c:pt>
                <c:pt idx="5">
                  <c:v>89.340237958715605</c:v>
                </c:pt>
                <c:pt idx="6">
                  <c:v>96.15384615384616</c:v>
                </c:pt>
                <c:pt idx="7">
                  <c:v>111.7878242074928</c:v>
                </c:pt>
              </c:numCache>
            </c:numRef>
          </c:val>
          <c:smooth val="1"/>
        </c:ser>
        <c:marker val="1"/>
        <c:axId val="251717504"/>
        <c:axId val="251715968"/>
      </c:lineChart>
      <c:catAx>
        <c:axId val="251700352"/>
        <c:scaling>
          <c:orientation val="minMax"/>
        </c:scaling>
        <c:delete val="1"/>
        <c:axPos val="b"/>
        <c:numFmt formatCode="General" sourceLinked="1"/>
        <c:majorTickMark val="none"/>
        <c:tickLblPos val="none"/>
        <c:crossAx val="251701888"/>
        <c:crosses val="autoZero"/>
        <c:auto val="1"/>
        <c:lblAlgn val="ctr"/>
        <c:lblOffset val="100"/>
      </c:catAx>
      <c:valAx>
        <c:axId val="251701888"/>
        <c:scaling>
          <c:orientation val="minMax"/>
          <c:max val="117.81943359375001"/>
          <c:min val="0"/>
        </c:scaling>
        <c:axPos val="l"/>
        <c:numFmt formatCode="#,##0_);[Red]\(#,##0\)" sourceLinked="0"/>
        <c:majorTickMark val="none"/>
        <c:tickLblPos val="nextTo"/>
        <c:spPr>
          <a:ln>
            <a:noFill/>
            <a:prstDash val="sysDash"/>
          </a:ln>
        </c:spPr>
        <c:txPr>
          <a:bodyPr/>
          <a:lstStyle/>
          <a:p>
            <a:pPr>
              <a:defRPr sz="1200" b="1">
                <a:solidFill>
                  <a:schemeClr val="bg1"/>
                </a:solidFill>
              </a:defRPr>
            </a:pPr>
            <a:endParaRPr lang="zh-TW"/>
          </a:p>
        </c:txPr>
        <c:crossAx val="251700352"/>
        <c:crosses val="autoZero"/>
        <c:crossBetween val="between"/>
      </c:valAx>
      <c:valAx>
        <c:axId val="251715968"/>
        <c:scaling>
          <c:orientation val="minMax"/>
          <c:max val="207.28196625636673"/>
          <c:min val="42.642944634982861"/>
        </c:scaling>
        <c:delete val="1"/>
        <c:axPos val="r"/>
        <c:numFmt formatCode="_(* #,##0_);_(* \(#,##0\);_(* &quot;-&quot;??_);_(@_)" sourceLinked="1"/>
        <c:majorTickMark val="in"/>
        <c:tickLblPos val="none"/>
        <c:crossAx val="251717504"/>
        <c:crosses val="max"/>
        <c:crossBetween val="between"/>
      </c:valAx>
      <c:catAx>
        <c:axId val="251717504"/>
        <c:scaling>
          <c:orientation val="minMax"/>
        </c:scaling>
        <c:delete val="1"/>
        <c:axPos val="b"/>
        <c:tickLblPos val="none"/>
        <c:crossAx val="251715968"/>
        <c:crosses val="autoZero"/>
        <c:auto val="1"/>
        <c:lblAlgn val="ctr"/>
        <c:lblOffset val="100"/>
      </c:catAx>
      <c:spPr>
        <a:noFill/>
        <a:ln>
          <a:noFill/>
        </a:ln>
      </c:spPr>
    </c:plotArea>
    <c:plotVisOnly val="1"/>
    <c:dispBlanksAs val="gap"/>
  </c:chart>
  <c:spPr>
    <a:noFill/>
    <a:ln w="19050"/>
  </c:spPr>
  <c:printSettings>
    <c:headerFooter/>
    <c:pageMargins b="0.75000000000001354" l="0.70000000000000062" r="0.70000000000000062" t="0.75000000000001354" header="0.30000000000000032" footer="0.3000000000000003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roundedCorners val="1"/>
  <c:chart>
    <c:plotArea>
      <c:layout>
        <c:manualLayout>
          <c:layoutTarget val="inner"/>
          <c:xMode val="edge"/>
          <c:yMode val="edge"/>
          <c:x val="9.3672283870191789E-2"/>
          <c:y val="7.6339369684488997E-2"/>
          <c:w val="0.81557801037599265"/>
          <c:h val="0.76162697844589733"/>
        </c:manualLayout>
      </c:layout>
      <c:barChart>
        <c:barDir val="col"/>
        <c:grouping val="clustered"/>
        <c:ser>
          <c:idx val="0"/>
          <c:order val="0"/>
          <c:tx>
            <c:strRef>
              <c:f>PK!$A$11:$B$11</c:f>
              <c:strCache>
                <c:ptCount val="1"/>
                <c:pt idx="0">
                  <c:v>2455 每股盈餘 (元)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hade val="51000"/>
                    <a:satMod val="130000"/>
                  </a:schemeClr>
                </a:gs>
                <a:gs pos="80000">
                  <a:schemeClr val="accent1">
                    <a:shade val="93000"/>
                    <a:satMod val="130000"/>
                  </a:schemeClr>
                </a:gs>
                <a:gs pos="100000">
                  <a:schemeClr val="accent1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cat>
            <c:numRef>
              <c:f>PK!$C$1:$J$1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cat>
          <c:val>
            <c:numRef>
              <c:f>PK!$C$11:$J$11</c:f>
              <c:numCache>
                <c:formatCode>General</c:formatCode>
                <c:ptCount val="8"/>
                <c:pt idx="0">
                  <c:v>0.25</c:v>
                </c:pt>
                <c:pt idx="1">
                  <c:v>0.3</c:v>
                </c:pt>
                <c:pt idx="2">
                  <c:v>0.36</c:v>
                </c:pt>
                <c:pt idx="3">
                  <c:v>0.63</c:v>
                </c:pt>
                <c:pt idx="4">
                  <c:v>0.61</c:v>
                </c:pt>
                <c:pt idx="5">
                  <c:v>0.54</c:v>
                </c:pt>
                <c:pt idx="6">
                  <c:v>0.7</c:v>
                </c:pt>
                <c:pt idx="7">
                  <c:v>0.69</c:v>
                </c:pt>
              </c:numCache>
            </c:numRef>
          </c:val>
        </c:ser>
        <c:ser>
          <c:idx val="1"/>
          <c:order val="1"/>
          <c:tx>
            <c:strRef>
              <c:f>PK!$A$12:$B$12</c:f>
              <c:strCache>
                <c:ptCount val="1"/>
                <c:pt idx="0">
                  <c:v>8086 每股盈餘 (元)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hade val="51000"/>
                    <a:satMod val="130000"/>
                  </a:schemeClr>
                </a:gs>
                <a:gs pos="80000">
                  <a:schemeClr val="accent2">
                    <a:shade val="93000"/>
                    <a:satMod val="130000"/>
                  </a:schemeClr>
                </a:gs>
                <a:gs pos="100000">
                  <a:schemeClr val="accent2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cat>
            <c:numRef>
              <c:f>PK!$C$1:$J$1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cat>
          <c:val>
            <c:numRef>
              <c:f>PK!$C$12:$J$12</c:f>
              <c:numCache>
                <c:formatCode>General</c:formatCode>
                <c:ptCount val="8"/>
                <c:pt idx="0">
                  <c:v>-0.18</c:v>
                </c:pt>
                <c:pt idx="1">
                  <c:v>-0.13</c:v>
                </c:pt>
                <c:pt idx="2">
                  <c:v>0.3</c:v>
                </c:pt>
                <c:pt idx="3">
                  <c:v>0.88</c:v>
                </c:pt>
                <c:pt idx="4">
                  <c:v>1.71</c:v>
                </c:pt>
                <c:pt idx="5">
                  <c:v>1.73</c:v>
                </c:pt>
                <c:pt idx="6">
                  <c:v>1.93</c:v>
                </c:pt>
                <c:pt idx="7">
                  <c:v>2.25</c:v>
                </c:pt>
              </c:numCache>
            </c:numRef>
          </c:val>
        </c:ser>
        <c:ser>
          <c:idx val="2"/>
          <c:order val="2"/>
          <c:tx>
            <c:strRef>
              <c:f>PK!$A$13:$B$13</c:f>
              <c:strCache>
                <c:ptCount val="1"/>
                <c:pt idx="0">
                  <c:v>3105 每股盈餘 (元)</c:v>
                </c:pt>
              </c:strCache>
            </c:strRef>
          </c:tx>
          <c:spPr>
            <a:solidFill>
              <a:srgbClr val="FFCC00"/>
            </a:soli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cat>
            <c:numRef>
              <c:f>PK!$C$1:$J$1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cat>
          <c:val>
            <c:numRef>
              <c:f>PK!$C$13:$J$13</c:f>
              <c:numCache>
                <c:formatCode>General</c:formatCode>
                <c:ptCount val="8"/>
                <c:pt idx="0">
                  <c:v>0.17</c:v>
                </c:pt>
                <c:pt idx="1">
                  <c:v>0.28999999999999998</c:v>
                </c:pt>
                <c:pt idx="2">
                  <c:v>0.59</c:v>
                </c:pt>
                <c:pt idx="3">
                  <c:v>1.02</c:v>
                </c:pt>
                <c:pt idx="4">
                  <c:v>0.75</c:v>
                </c:pt>
                <c:pt idx="5">
                  <c:v>0.83</c:v>
                </c:pt>
                <c:pt idx="6">
                  <c:v>0.72</c:v>
                </c:pt>
                <c:pt idx="7">
                  <c:v>1.32</c:v>
                </c:pt>
              </c:numCache>
            </c:numRef>
          </c:val>
        </c:ser>
        <c:gapWidth val="138"/>
        <c:overlap val="38"/>
        <c:axId val="251779328"/>
        <c:axId val="251785216"/>
      </c:barChart>
      <c:catAx>
        <c:axId val="251779328"/>
        <c:scaling>
          <c:orientation val="minMax"/>
        </c:scaling>
        <c:delete val="1"/>
        <c:axPos val="b"/>
        <c:numFmt formatCode="General" sourceLinked="1"/>
        <c:majorTickMark val="none"/>
        <c:tickLblPos val="none"/>
        <c:crossAx val="251785216"/>
        <c:crosses val="autoZero"/>
        <c:auto val="1"/>
        <c:lblAlgn val="ctr"/>
        <c:lblOffset val="100"/>
      </c:catAx>
      <c:valAx>
        <c:axId val="251785216"/>
        <c:scaling>
          <c:orientation val="minMax"/>
        </c:scaling>
        <c:axPos val="l"/>
        <c:numFmt formatCode="#,##0_);\(#,##0\)" sourceLinked="0"/>
        <c:majorTickMark val="none"/>
        <c:tickLblPos val="nextTo"/>
        <c:spPr>
          <a:ln>
            <a:noFill/>
            <a:prstDash val="sysDash"/>
          </a:ln>
        </c:spPr>
        <c:txPr>
          <a:bodyPr/>
          <a:lstStyle/>
          <a:p>
            <a:pPr>
              <a:defRPr sz="1200" b="1">
                <a:solidFill>
                  <a:schemeClr val="bg1"/>
                </a:solidFill>
              </a:defRPr>
            </a:pPr>
            <a:endParaRPr lang="zh-TW"/>
          </a:p>
        </c:txPr>
        <c:crossAx val="251779328"/>
        <c:crosses val="autoZero"/>
        <c:crossBetween val="between"/>
      </c:valAx>
      <c:spPr>
        <a:noFill/>
        <a:ln>
          <a:noFill/>
        </a:ln>
      </c:spPr>
    </c:plotArea>
    <c:plotVisOnly val="1"/>
    <c:dispBlanksAs val="gap"/>
  </c:chart>
  <c:spPr>
    <a:noFill/>
    <a:ln w="19050"/>
  </c:spPr>
  <c:printSettings>
    <c:headerFooter/>
    <c:pageMargins b="0.75000000000001377" l="0.70000000000000062" r="0.70000000000000062" t="0.75000000000001377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roundedCorners val="1"/>
  <c:chart>
    <c:plotArea>
      <c:layout>
        <c:manualLayout>
          <c:layoutTarget val="inner"/>
          <c:xMode val="edge"/>
          <c:yMode val="edge"/>
          <c:x val="9.3070159951979245E-2"/>
          <c:y val="0.14928788222459846"/>
          <c:w val="0.80730084415123748"/>
          <c:h val="0.7753662992125987"/>
        </c:manualLayout>
      </c:layout>
      <c:barChart>
        <c:barDir val="col"/>
        <c:grouping val="clustered"/>
        <c:ser>
          <c:idx val="3"/>
          <c:order val="0"/>
          <c:tx>
            <c:strRef>
              <c:f>PK!$A$74:$B$74</c:f>
              <c:strCache>
                <c:ptCount val="1"/>
                <c:pt idx="0">
                  <c:v>2455 每股資本支出</c:v>
                </c:pt>
              </c:strCache>
            </c:strRef>
          </c:tx>
          <c:spPr>
            <a:solidFill>
              <a:schemeClr val="tx2">
                <a:lumMod val="60000"/>
                <a:lumOff val="40000"/>
              </a:schemeClr>
            </a:solidFill>
            <a:ln>
              <a:solidFill>
                <a:schemeClr val="accent1"/>
              </a:solidFill>
            </a:ln>
            <a:scene3d>
              <a:camera prst="orthographicFront"/>
              <a:lightRig rig="threePt" dir="t"/>
            </a:scene3d>
            <a:sp3d>
              <a:bevelT w="63500" h="25400"/>
            </a:sp3d>
          </c:spPr>
          <c:val>
            <c:numRef>
              <c:f>PK!$C$74:$J$74</c:f>
              <c:numCache>
                <c:formatCode>General</c:formatCode>
                <c:ptCount val="8"/>
                <c:pt idx="0">
                  <c:v>0.19</c:v>
                </c:pt>
                <c:pt idx="1">
                  <c:v>0.04</c:v>
                </c:pt>
                <c:pt idx="2">
                  <c:v>0</c:v>
                </c:pt>
                <c:pt idx="3">
                  <c:v>0.01</c:v>
                </c:pt>
                <c:pt idx="4">
                  <c:v>0.3</c:v>
                </c:pt>
                <c:pt idx="5">
                  <c:v>0</c:v>
                </c:pt>
                <c:pt idx="6">
                  <c:v>0</c:v>
                </c:pt>
                <c:pt idx="7">
                  <c:v>7.0000000000000007E-2</c:v>
                </c:pt>
              </c:numCache>
            </c:numRef>
          </c:val>
        </c:ser>
        <c:ser>
          <c:idx val="4"/>
          <c:order val="1"/>
          <c:tx>
            <c:strRef>
              <c:f>PK!$A$75:$B$75</c:f>
              <c:strCache>
                <c:ptCount val="1"/>
                <c:pt idx="0">
                  <c:v>8086 每股資本支出</c:v>
                </c:pt>
              </c:strCache>
            </c:strRef>
          </c:tx>
          <c:spPr>
            <a:solidFill>
              <a:srgbClr val="CC3300"/>
            </a:solidFill>
            <a:ln>
              <a:solidFill>
                <a:schemeClr val="accent2"/>
              </a:solidFill>
            </a:ln>
            <a:scene3d>
              <a:camera prst="orthographicFront"/>
              <a:lightRig rig="threePt" dir="t"/>
            </a:scene3d>
            <a:sp3d>
              <a:bevelT w="63500" h="25400"/>
            </a:sp3d>
          </c:spPr>
          <c:val>
            <c:numRef>
              <c:f>PK!$C$75:$J$75</c:f>
              <c:numCache>
                <c:formatCode>General</c:formatCode>
                <c:ptCount val="8"/>
                <c:pt idx="0">
                  <c:v>7.0000000000000007E-2</c:v>
                </c:pt>
                <c:pt idx="1">
                  <c:v>0.02</c:v>
                </c:pt>
                <c:pt idx="2">
                  <c:v>0.5</c:v>
                </c:pt>
                <c:pt idx="3">
                  <c:v>0.6</c:v>
                </c:pt>
                <c:pt idx="4">
                  <c:v>1.22</c:v>
                </c:pt>
                <c:pt idx="5">
                  <c:v>1.1499999999999999</c:v>
                </c:pt>
                <c:pt idx="6">
                  <c:v>0.56000000000000005</c:v>
                </c:pt>
                <c:pt idx="7">
                  <c:v>0.82</c:v>
                </c:pt>
              </c:numCache>
            </c:numRef>
          </c:val>
        </c:ser>
        <c:ser>
          <c:idx val="5"/>
          <c:order val="2"/>
          <c:tx>
            <c:strRef>
              <c:f>PK!$A$76:$B$76</c:f>
              <c:strCache>
                <c:ptCount val="1"/>
                <c:pt idx="0">
                  <c:v>3105 每股資本支出</c:v>
                </c:pt>
              </c:strCache>
            </c:strRef>
          </c:tx>
          <c:spPr>
            <a:solidFill>
              <a:srgbClr val="FFCC00"/>
            </a:solidFill>
            <a:ln>
              <a:solidFill>
                <a:schemeClr val="accent6">
                  <a:lumMod val="75000"/>
                </a:schemeClr>
              </a:solidFill>
            </a:ln>
            <a:scene3d>
              <a:camera prst="orthographicFront"/>
              <a:lightRig rig="threePt" dir="t"/>
            </a:scene3d>
            <a:sp3d>
              <a:bevelT w="63500" h="25400"/>
            </a:sp3d>
          </c:spPr>
          <c:val>
            <c:numRef>
              <c:f>PK!$C$76:$J$76</c:f>
              <c:numCache>
                <c:formatCode>General</c:formatCode>
                <c:ptCount val="8"/>
                <c:pt idx="0">
                  <c:v>0.63</c:v>
                </c:pt>
                <c:pt idx="1">
                  <c:v>0.31</c:v>
                </c:pt>
                <c:pt idx="2">
                  <c:v>0.18</c:v>
                </c:pt>
                <c:pt idx="3">
                  <c:v>0.12</c:v>
                </c:pt>
                <c:pt idx="4">
                  <c:v>0.38</c:v>
                </c:pt>
                <c:pt idx="5">
                  <c:v>0.67</c:v>
                </c:pt>
                <c:pt idx="6">
                  <c:v>0.51</c:v>
                </c:pt>
                <c:pt idx="7">
                  <c:v>1.52</c:v>
                </c:pt>
              </c:numCache>
            </c:numRef>
          </c:val>
        </c:ser>
        <c:gapWidth val="138"/>
        <c:overlap val="38"/>
        <c:axId val="251822464"/>
        <c:axId val="251824000"/>
      </c:barChart>
      <c:lineChart>
        <c:grouping val="standard"/>
        <c:ser>
          <c:idx val="0"/>
          <c:order val="3"/>
          <c:tx>
            <c:strRef>
              <c:f>PK!$A$62:$B$62</c:f>
              <c:strCache>
                <c:ptCount val="1"/>
                <c:pt idx="0">
                  <c:v>2455 折舊率</c:v>
                </c:pt>
              </c:strCache>
            </c:strRef>
          </c:tx>
          <c:spPr>
            <a:ln w="34925">
              <a:solidFill>
                <a:schemeClr val="tx2">
                  <a:lumMod val="60000"/>
                  <a:lumOff val="40000"/>
                </a:schemeClr>
              </a:solidFill>
            </a:ln>
          </c:spPr>
          <c:marker>
            <c:symbol val="none"/>
          </c:marker>
          <c:val>
            <c:numRef>
              <c:f>PK!$C$62:$J$62</c:f>
              <c:numCache>
                <c:formatCode>0%</c:formatCode>
                <c:ptCount val="8"/>
                <c:pt idx="0">
                  <c:v>0.18620689655172415</c:v>
                </c:pt>
                <c:pt idx="1">
                  <c:v>0.2109375</c:v>
                </c:pt>
                <c:pt idx="2">
                  <c:v>0.15472779369627507</c:v>
                </c:pt>
                <c:pt idx="3">
                  <c:v>0.13589743589743589</c:v>
                </c:pt>
                <c:pt idx="4">
                  <c:v>0.15126050420168066</c:v>
                </c:pt>
                <c:pt idx="5">
                  <c:v>0.16250000000000001</c:v>
                </c:pt>
                <c:pt idx="6">
                  <c:v>0.13032581453634084</c:v>
                </c:pt>
                <c:pt idx="7">
                  <c:v>0.13720316622691292</c:v>
                </c:pt>
              </c:numCache>
            </c:numRef>
          </c:val>
          <c:smooth val="1"/>
        </c:ser>
        <c:ser>
          <c:idx val="1"/>
          <c:order val="4"/>
          <c:tx>
            <c:strRef>
              <c:f>PK!$A$63:$B$63</c:f>
              <c:strCache>
                <c:ptCount val="1"/>
                <c:pt idx="0">
                  <c:v>8086 折舊率</c:v>
                </c:pt>
              </c:strCache>
            </c:strRef>
          </c:tx>
          <c:spPr>
            <a:ln w="34925">
              <a:solidFill>
                <a:srgbClr val="FF0000"/>
              </a:solidFill>
            </a:ln>
          </c:spPr>
          <c:marker>
            <c:symbol val="none"/>
          </c:marker>
          <c:val>
            <c:numRef>
              <c:f>PK!$C$63:$J$63</c:f>
              <c:numCache>
                <c:formatCode>0%</c:formatCode>
                <c:ptCount val="8"/>
                <c:pt idx="0">
                  <c:v>0.26886792452830188</c:v>
                </c:pt>
                <c:pt idx="1">
                  <c:v>0.21292775665399238</c:v>
                </c:pt>
                <c:pt idx="2">
                  <c:v>0.13053613053613053</c:v>
                </c:pt>
                <c:pt idx="3">
                  <c:v>8.5714285714285715E-2</c:v>
                </c:pt>
                <c:pt idx="4">
                  <c:v>7.4931880108991822E-2</c:v>
                </c:pt>
                <c:pt idx="5">
                  <c:v>8.5294117647058826E-2</c:v>
                </c:pt>
                <c:pt idx="6">
                  <c:v>8.1830790568654652E-2</c:v>
                </c:pt>
                <c:pt idx="7">
                  <c:v>7.6249999999999998E-2</c:v>
                </c:pt>
              </c:numCache>
            </c:numRef>
          </c:val>
          <c:smooth val="1"/>
        </c:ser>
        <c:ser>
          <c:idx val="2"/>
          <c:order val="5"/>
          <c:tx>
            <c:strRef>
              <c:f>PK!$A$64:$B$64</c:f>
              <c:strCache>
                <c:ptCount val="1"/>
                <c:pt idx="0">
                  <c:v>3105 折舊率</c:v>
                </c:pt>
              </c:strCache>
            </c:strRef>
          </c:tx>
          <c:spPr>
            <a:ln w="34925">
              <a:solidFill>
                <a:srgbClr val="FFFF00"/>
              </a:solidFill>
            </a:ln>
          </c:spPr>
          <c:marker>
            <c:symbol val="none"/>
          </c:marker>
          <c:val>
            <c:numRef>
              <c:f>PK!$C$64:$J$64</c:f>
              <c:numCache>
                <c:formatCode>0%</c:formatCode>
                <c:ptCount val="8"/>
                <c:pt idx="0">
                  <c:v>0.31541725601131543</c:v>
                </c:pt>
                <c:pt idx="1">
                  <c:v>0.39331619537275064</c:v>
                </c:pt>
                <c:pt idx="2">
                  <c:v>0.28893058161350843</c:v>
                </c:pt>
                <c:pt idx="3">
                  <c:v>0.24068322981366461</c:v>
                </c:pt>
                <c:pt idx="4">
                  <c:v>0.27379553466509987</c:v>
                </c:pt>
                <c:pt idx="5">
                  <c:v>0.26834862385321101</c:v>
                </c:pt>
                <c:pt idx="6">
                  <c:v>0.2476290832455216</c:v>
                </c:pt>
                <c:pt idx="7">
                  <c:v>0.2737752161383285</c:v>
                </c:pt>
              </c:numCache>
            </c:numRef>
          </c:val>
          <c:smooth val="1"/>
        </c:ser>
        <c:marker val="1"/>
        <c:axId val="251835520"/>
        <c:axId val="251825536"/>
      </c:lineChart>
      <c:catAx>
        <c:axId val="251822464"/>
        <c:scaling>
          <c:orientation val="minMax"/>
        </c:scaling>
        <c:delete val="1"/>
        <c:axPos val="b"/>
        <c:numFmt formatCode="General" sourceLinked="1"/>
        <c:majorTickMark val="none"/>
        <c:tickLblPos val="none"/>
        <c:crossAx val="251824000"/>
        <c:crosses val="autoZero"/>
        <c:auto val="1"/>
        <c:lblAlgn val="ctr"/>
        <c:lblOffset val="100"/>
      </c:catAx>
      <c:valAx>
        <c:axId val="251824000"/>
        <c:scaling>
          <c:orientation val="minMax"/>
        </c:scaling>
        <c:axPos val="l"/>
        <c:numFmt formatCode="#,##0_);[Red]\(#,##0\)" sourceLinked="0"/>
        <c:majorTickMark val="none"/>
        <c:tickLblPos val="nextTo"/>
        <c:spPr>
          <a:ln>
            <a:noFill/>
          </a:ln>
        </c:spPr>
        <c:txPr>
          <a:bodyPr/>
          <a:lstStyle/>
          <a:p>
            <a:pPr>
              <a:defRPr sz="1200" b="1">
                <a:solidFill>
                  <a:schemeClr val="bg1"/>
                </a:solidFill>
              </a:defRPr>
            </a:pPr>
            <a:endParaRPr lang="zh-TW"/>
          </a:p>
        </c:txPr>
        <c:crossAx val="251822464"/>
        <c:crosses val="autoZero"/>
        <c:crossBetween val="between"/>
      </c:valAx>
      <c:valAx>
        <c:axId val="251825536"/>
        <c:scaling>
          <c:orientation val="minMax"/>
        </c:scaling>
        <c:axPos val="r"/>
        <c:numFmt formatCode="0%" sourceLinked="1"/>
        <c:tickLblPos val="nextTo"/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zh-TW"/>
          </a:p>
        </c:txPr>
        <c:crossAx val="251835520"/>
        <c:crosses val="max"/>
        <c:crossBetween val="between"/>
      </c:valAx>
      <c:catAx>
        <c:axId val="251835520"/>
        <c:scaling>
          <c:orientation val="minMax"/>
        </c:scaling>
        <c:delete val="1"/>
        <c:axPos val="b"/>
        <c:tickLblPos val="none"/>
        <c:crossAx val="251825536"/>
        <c:crosses val="autoZero"/>
        <c:auto val="1"/>
        <c:lblAlgn val="ctr"/>
        <c:lblOffset val="100"/>
      </c:catAx>
      <c:spPr>
        <a:noFill/>
      </c:spPr>
    </c:plotArea>
    <c:plotVisOnly val="1"/>
    <c:dispBlanksAs val="gap"/>
  </c:chart>
  <c:spPr>
    <a:noFill/>
    <a:ln w="19050"/>
  </c:spPr>
  <c:printSettings>
    <c:headerFooter/>
    <c:pageMargins b="0.75000000000001377" l="0.70000000000000062" r="0.70000000000000062" t="0.75000000000001377" header="0.30000000000000032" footer="0.3000000000000003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roundedCorners val="1"/>
  <c:chart>
    <c:plotArea>
      <c:layout>
        <c:manualLayout>
          <c:layoutTarget val="inner"/>
          <c:xMode val="edge"/>
          <c:yMode val="edge"/>
          <c:x val="9.3070115043250828E-2"/>
          <c:y val="0.16182292279821925"/>
          <c:w val="0.80730084415123748"/>
          <c:h val="0.6805268318225185"/>
        </c:manualLayout>
      </c:layout>
      <c:barChart>
        <c:barDir val="col"/>
        <c:grouping val="clustered"/>
        <c:ser>
          <c:idx val="0"/>
          <c:order val="0"/>
          <c:tx>
            <c:strRef>
              <c:f>PK!$A$2:$B$2</c:f>
              <c:strCache>
                <c:ptCount val="1"/>
                <c:pt idx="0">
                  <c:v>2455 營業收入淨額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hade val="51000"/>
                    <a:satMod val="130000"/>
                  </a:schemeClr>
                </a:gs>
                <a:gs pos="80000">
                  <a:schemeClr val="accent1">
                    <a:shade val="93000"/>
                    <a:satMod val="130000"/>
                  </a:schemeClr>
                </a:gs>
                <a:gs pos="100000">
                  <a:schemeClr val="accent1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cat>
            <c:numRef>
              <c:f>PK!$C$1:$J$1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cat>
          <c:val>
            <c:numRef>
              <c:f>PK!$C$68:$J$68</c:f>
              <c:numCache>
                <c:formatCode>_-* #,##0.00_-;\-* #,##0.00_-;_-* "-"??_-;_-@_-</c:formatCode>
                <c:ptCount val="8"/>
                <c:pt idx="0">
                  <c:v>1.66</c:v>
                </c:pt>
                <c:pt idx="1">
                  <c:v>1.53</c:v>
                </c:pt>
                <c:pt idx="2">
                  <c:v>2.14</c:v>
                </c:pt>
                <c:pt idx="3">
                  <c:v>2.4500000000000002</c:v>
                </c:pt>
                <c:pt idx="4">
                  <c:v>2.29</c:v>
                </c:pt>
                <c:pt idx="5">
                  <c:v>2.13</c:v>
                </c:pt>
                <c:pt idx="6">
                  <c:v>2.64</c:v>
                </c:pt>
                <c:pt idx="7">
                  <c:v>2.39</c:v>
                </c:pt>
              </c:numCache>
            </c:numRef>
          </c:val>
        </c:ser>
        <c:ser>
          <c:idx val="1"/>
          <c:order val="1"/>
          <c:tx>
            <c:strRef>
              <c:f>PK!$A$3:$B$3</c:f>
              <c:strCache>
                <c:ptCount val="1"/>
                <c:pt idx="0">
                  <c:v>8086 營業收入淨額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hade val="51000"/>
                    <a:satMod val="130000"/>
                  </a:schemeClr>
                </a:gs>
                <a:gs pos="80000">
                  <a:schemeClr val="accent2">
                    <a:shade val="93000"/>
                    <a:satMod val="130000"/>
                  </a:schemeClr>
                </a:gs>
                <a:gs pos="100000">
                  <a:schemeClr val="accent2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cat>
            <c:numRef>
              <c:f>PK!$C$1:$J$1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cat>
          <c:val>
            <c:numRef>
              <c:f>PK!$C$69:$J$69</c:f>
              <c:numCache>
                <c:formatCode>_-* #,##0.00_-;\-* #,##0.00_-;_-* "-"??_-;_-@_-</c:formatCode>
                <c:ptCount val="8"/>
                <c:pt idx="0">
                  <c:v>1.66</c:v>
                </c:pt>
                <c:pt idx="1">
                  <c:v>1.98</c:v>
                </c:pt>
                <c:pt idx="2">
                  <c:v>3.86</c:v>
                </c:pt>
                <c:pt idx="3">
                  <c:v>6.21</c:v>
                </c:pt>
                <c:pt idx="4">
                  <c:v>7.56</c:v>
                </c:pt>
                <c:pt idx="5">
                  <c:v>7.41</c:v>
                </c:pt>
                <c:pt idx="6">
                  <c:v>7.84</c:v>
                </c:pt>
                <c:pt idx="7">
                  <c:v>8.5299999999999994</c:v>
                </c:pt>
              </c:numCache>
            </c:numRef>
          </c:val>
        </c:ser>
        <c:ser>
          <c:idx val="2"/>
          <c:order val="2"/>
          <c:tx>
            <c:strRef>
              <c:f>PK!$A$4:$B$4</c:f>
              <c:strCache>
                <c:ptCount val="1"/>
                <c:pt idx="0">
                  <c:v>3105 營業收入淨額</c:v>
                </c:pt>
              </c:strCache>
            </c:strRef>
          </c:tx>
          <c:spPr>
            <a:solidFill>
              <a:srgbClr val="FFCC00"/>
            </a:soli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cat>
            <c:numRef>
              <c:f>PK!$C$1:$J$1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cat>
          <c:val>
            <c:numRef>
              <c:f>PK!$C$70:$J$70</c:f>
              <c:numCache>
                <c:formatCode>General</c:formatCode>
                <c:ptCount val="8"/>
                <c:pt idx="0">
                  <c:v>2.61</c:v>
                </c:pt>
                <c:pt idx="1">
                  <c:v>2.25</c:v>
                </c:pt>
                <c:pt idx="2">
                  <c:v>3.32</c:v>
                </c:pt>
                <c:pt idx="3">
                  <c:v>4.1399999999999997</c:v>
                </c:pt>
                <c:pt idx="4">
                  <c:v>3.66</c:v>
                </c:pt>
                <c:pt idx="5">
                  <c:v>3.78</c:v>
                </c:pt>
                <c:pt idx="6">
                  <c:v>4.16</c:v>
                </c:pt>
                <c:pt idx="7">
                  <c:v>4.8899999999999997</c:v>
                </c:pt>
              </c:numCache>
            </c:numRef>
          </c:val>
        </c:ser>
        <c:gapWidth val="138"/>
        <c:overlap val="38"/>
        <c:axId val="253801600"/>
        <c:axId val="253803136"/>
      </c:barChart>
      <c:lineChart>
        <c:grouping val="standard"/>
        <c:ser>
          <c:idx val="3"/>
          <c:order val="3"/>
          <c:tx>
            <c:strRef>
              <c:f>PK!$A$47:$B$47</c:f>
              <c:strCache>
                <c:ptCount val="1"/>
                <c:pt idx="0">
                  <c:v>2455 毛利率</c:v>
                </c:pt>
              </c:strCache>
            </c:strRef>
          </c:tx>
          <c:spPr>
            <a:ln>
              <a:solidFill>
                <a:srgbClr val="00B0F0"/>
              </a:solidFill>
            </a:ln>
          </c:spPr>
          <c:marker>
            <c:symbol val="none"/>
          </c:marker>
          <c:val>
            <c:numRef>
              <c:f>PK!$C$47:$J$47</c:f>
              <c:numCache>
                <c:formatCode>0%</c:formatCode>
                <c:ptCount val="8"/>
                <c:pt idx="0">
                  <c:v>0.28921568627450983</c:v>
                </c:pt>
                <c:pt idx="1">
                  <c:v>0.31914893617021278</c:v>
                </c:pt>
                <c:pt idx="2">
                  <c:v>0.33776091081593929</c:v>
                </c:pt>
                <c:pt idx="3">
                  <c:v>0.35537190082644626</c:v>
                </c:pt>
                <c:pt idx="4">
                  <c:v>0.36814159292035398</c:v>
                </c:pt>
                <c:pt idx="5">
                  <c:v>0.39047619047619048</c:v>
                </c:pt>
                <c:pt idx="6">
                  <c:v>0.38615384615384618</c:v>
                </c:pt>
                <c:pt idx="7">
                  <c:v>0.35762711864406782</c:v>
                </c:pt>
              </c:numCache>
            </c:numRef>
          </c:val>
          <c:smooth val="1"/>
        </c:ser>
        <c:ser>
          <c:idx val="4"/>
          <c:order val="4"/>
          <c:tx>
            <c:strRef>
              <c:f>PK!$A$48:$B$48</c:f>
              <c:strCache>
                <c:ptCount val="1"/>
                <c:pt idx="0">
                  <c:v>8086 毛利率</c:v>
                </c:pt>
              </c:strCache>
            </c:strRef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val>
            <c:numRef>
              <c:f>PK!$C$48:$J$48</c:f>
              <c:numCache>
                <c:formatCode>0%</c:formatCode>
                <c:ptCount val="8"/>
                <c:pt idx="0">
                  <c:v>5.7777777777777775E-2</c:v>
                </c:pt>
                <c:pt idx="1">
                  <c:v>1.8656716417910446E-2</c:v>
                </c:pt>
                <c:pt idx="2">
                  <c:v>0.17973231357552583</c:v>
                </c:pt>
                <c:pt idx="3">
                  <c:v>0.21115065243179121</c:v>
                </c:pt>
                <c:pt idx="4">
                  <c:v>0.29082125603864734</c:v>
                </c:pt>
                <c:pt idx="5">
                  <c:v>0.33070866141732286</c:v>
                </c:pt>
                <c:pt idx="6">
                  <c:v>0.34335154826958103</c:v>
                </c:pt>
                <c:pt idx="7">
                  <c:v>0.33166248955722638</c:v>
                </c:pt>
              </c:numCache>
            </c:numRef>
          </c:val>
          <c:smooth val="1"/>
        </c:ser>
        <c:ser>
          <c:idx val="5"/>
          <c:order val="5"/>
          <c:tx>
            <c:strRef>
              <c:f>PK!$A$49:$B$49</c:f>
              <c:strCache>
                <c:ptCount val="1"/>
                <c:pt idx="0">
                  <c:v>3105 毛利率</c:v>
                </c:pt>
              </c:strCache>
            </c:strRef>
          </c:tx>
          <c:spPr>
            <a:ln>
              <a:solidFill>
                <a:srgbClr val="FFFF00"/>
              </a:solidFill>
            </a:ln>
          </c:spPr>
          <c:marker>
            <c:symbol val="none"/>
          </c:marker>
          <c:val>
            <c:numRef>
              <c:f>PK!$C$49:$J$49</c:f>
              <c:numCache>
                <c:formatCode>0%</c:formatCode>
                <c:ptCount val="8"/>
                <c:pt idx="0">
                  <c:v>0.26583592938733125</c:v>
                </c:pt>
                <c:pt idx="1">
                  <c:v>0.29994001199760045</c:v>
                </c:pt>
                <c:pt idx="2">
                  <c:v>0.35026412027631043</c:v>
                </c:pt>
                <c:pt idx="3">
                  <c:v>0.37047898338220919</c:v>
                </c:pt>
                <c:pt idx="4">
                  <c:v>0.37265020272760779</c:v>
                </c:pt>
                <c:pt idx="5">
                  <c:v>0.37869611685073029</c:v>
                </c:pt>
                <c:pt idx="6">
                  <c:v>0.38754436915133916</c:v>
                </c:pt>
                <c:pt idx="7">
                  <c:v>0.40439409543426019</c:v>
                </c:pt>
              </c:numCache>
            </c:numRef>
          </c:val>
          <c:smooth val="1"/>
        </c:ser>
        <c:marker val="1"/>
        <c:axId val="253810560"/>
        <c:axId val="253809024"/>
      </c:lineChart>
      <c:catAx>
        <c:axId val="253801600"/>
        <c:scaling>
          <c:orientation val="minMax"/>
        </c:scaling>
        <c:delete val="1"/>
        <c:axPos val="b"/>
        <c:numFmt formatCode="General" sourceLinked="1"/>
        <c:majorTickMark val="none"/>
        <c:tickLblPos val="none"/>
        <c:crossAx val="253803136"/>
        <c:crosses val="autoZero"/>
        <c:auto val="1"/>
        <c:lblAlgn val="ctr"/>
        <c:lblOffset val="100"/>
      </c:catAx>
      <c:valAx>
        <c:axId val="253803136"/>
        <c:scaling>
          <c:orientation val="minMax"/>
        </c:scaling>
        <c:axPos val="l"/>
        <c:numFmt formatCode="#,##0_);[Red]\(#,##0\)" sourceLinked="0"/>
        <c:majorTickMark val="none"/>
        <c:tickLblPos val="nextTo"/>
        <c:spPr>
          <a:ln>
            <a:noFill/>
          </a:ln>
        </c:spPr>
        <c:txPr>
          <a:bodyPr/>
          <a:lstStyle/>
          <a:p>
            <a:pPr>
              <a:defRPr sz="1200" b="1">
                <a:solidFill>
                  <a:schemeClr val="bg1"/>
                </a:solidFill>
              </a:defRPr>
            </a:pPr>
            <a:endParaRPr lang="zh-TW"/>
          </a:p>
        </c:txPr>
        <c:crossAx val="253801600"/>
        <c:crosses val="autoZero"/>
        <c:crossBetween val="between"/>
      </c:valAx>
      <c:valAx>
        <c:axId val="253809024"/>
        <c:scaling>
          <c:orientation val="minMax"/>
          <c:max val="0.42461380020597406"/>
          <c:min val="1.7723880597014945E-2"/>
        </c:scaling>
        <c:axPos val="r"/>
        <c:numFmt formatCode="0%" sourceLinked="0"/>
        <c:majorTickMark val="none"/>
        <c:tickLblPos val="nextTo"/>
        <c:spPr>
          <a:ln>
            <a:noFill/>
          </a:ln>
        </c:spPr>
        <c:txPr>
          <a:bodyPr/>
          <a:lstStyle/>
          <a:p>
            <a:pPr>
              <a:defRPr sz="1100">
                <a:solidFill>
                  <a:schemeClr val="bg1"/>
                </a:solidFill>
              </a:defRPr>
            </a:pPr>
            <a:endParaRPr lang="zh-TW"/>
          </a:p>
        </c:txPr>
        <c:crossAx val="253810560"/>
        <c:crosses val="max"/>
        <c:crossBetween val="between"/>
      </c:valAx>
      <c:catAx>
        <c:axId val="253810560"/>
        <c:scaling>
          <c:orientation val="minMax"/>
        </c:scaling>
        <c:delete val="1"/>
        <c:axPos val="b"/>
        <c:tickLblPos val="none"/>
        <c:crossAx val="253809024"/>
        <c:crosses val="autoZero"/>
        <c:auto val="1"/>
        <c:lblAlgn val="ctr"/>
        <c:lblOffset val="100"/>
      </c:catAx>
      <c:spPr>
        <a:noFill/>
      </c:spPr>
    </c:plotArea>
    <c:plotVisOnly val="1"/>
    <c:dispBlanksAs val="gap"/>
  </c:chart>
  <c:spPr>
    <a:noFill/>
    <a:ln w="19050"/>
  </c:spPr>
  <c:printSettings>
    <c:headerFooter/>
    <c:pageMargins b="0.75000000000001377" l="0.70000000000000062" r="0.70000000000000062" t="0.75000000000001377" header="0.30000000000000032" footer="0.3000000000000003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28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>
      <cs:styleClr val="auto"/>
    </cs:fillRef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17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Relationship Id="rId6" Type="http://schemas.openxmlformats.org/officeDocument/2006/relationships/chart" Target="../charts/chart14.xml"/><Relationship Id="rId5" Type="http://schemas.openxmlformats.org/officeDocument/2006/relationships/chart" Target="../charts/chart13.xml"/><Relationship Id="rId4" Type="http://schemas.openxmlformats.org/officeDocument/2006/relationships/chart" Target="../charts/chart12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vmlDrawing3.vml.rels><?xml version="1.0" encoding="UTF-8" standalone="yes"?>
<Relationships xmlns="http://schemas.openxmlformats.org/package/2006/relationships"><Relationship Id="rId8" Type="http://schemas.openxmlformats.org/officeDocument/2006/relationships/image" Target="../media/image11.emf"/><Relationship Id="rId13" Type="http://schemas.openxmlformats.org/officeDocument/2006/relationships/image" Target="../media/image16.emf"/><Relationship Id="rId18" Type="http://schemas.openxmlformats.org/officeDocument/2006/relationships/image" Target="../media/image21.emf"/><Relationship Id="rId26" Type="http://schemas.openxmlformats.org/officeDocument/2006/relationships/image" Target="../media/image29.emf"/><Relationship Id="rId3" Type="http://schemas.openxmlformats.org/officeDocument/2006/relationships/image" Target="../media/image6.emf"/><Relationship Id="rId21" Type="http://schemas.openxmlformats.org/officeDocument/2006/relationships/image" Target="../media/image24.emf"/><Relationship Id="rId7" Type="http://schemas.openxmlformats.org/officeDocument/2006/relationships/image" Target="../media/image10.emf"/><Relationship Id="rId12" Type="http://schemas.openxmlformats.org/officeDocument/2006/relationships/image" Target="../media/image15.emf"/><Relationship Id="rId17" Type="http://schemas.openxmlformats.org/officeDocument/2006/relationships/image" Target="../media/image20.emf"/><Relationship Id="rId25" Type="http://schemas.openxmlformats.org/officeDocument/2006/relationships/image" Target="../media/image28.emf"/><Relationship Id="rId2" Type="http://schemas.openxmlformats.org/officeDocument/2006/relationships/image" Target="../media/image5.emf"/><Relationship Id="rId16" Type="http://schemas.openxmlformats.org/officeDocument/2006/relationships/image" Target="../media/image19.emf"/><Relationship Id="rId20" Type="http://schemas.openxmlformats.org/officeDocument/2006/relationships/image" Target="../media/image23.emf"/><Relationship Id="rId29" Type="http://schemas.openxmlformats.org/officeDocument/2006/relationships/image" Target="../media/image32.emf"/><Relationship Id="rId1" Type="http://schemas.openxmlformats.org/officeDocument/2006/relationships/image" Target="../media/image4.emf"/><Relationship Id="rId6" Type="http://schemas.openxmlformats.org/officeDocument/2006/relationships/image" Target="../media/image9.emf"/><Relationship Id="rId11" Type="http://schemas.openxmlformats.org/officeDocument/2006/relationships/image" Target="../media/image14.emf"/><Relationship Id="rId24" Type="http://schemas.openxmlformats.org/officeDocument/2006/relationships/image" Target="../media/image27.emf"/><Relationship Id="rId32" Type="http://schemas.openxmlformats.org/officeDocument/2006/relationships/image" Target="../media/image35.emf"/><Relationship Id="rId5" Type="http://schemas.openxmlformats.org/officeDocument/2006/relationships/image" Target="../media/image8.emf"/><Relationship Id="rId15" Type="http://schemas.openxmlformats.org/officeDocument/2006/relationships/image" Target="../media/image18.emf"/><Relationship Id="rId23" Type="http://schemas.openxmlformats.org/officeDocument/2006/relationships/image" Target="../media/image26.emf"/><Relationship Id="rId28" Type="http://schemas.openxmlformats.org/officeDocument/2006/relationships/image" Target="../media/image31.emf"/><Relationship Id="rId10" Type="http://schemas.openxmlformats.org/officeDocument/2006/relationships/image" Target="../media/image13.emf"/><Relationship Id="rId19" Type="http://schemas.openxmlformats.org/officeDocument/2006/relationships/image" Target="../media/image22.emf"/><Relationship Id="rId31" Type="http://schemas.openxmlformats.org/officeDocument/2006/relationships/image" Target="../media/image34.emf"/><Relationship Id="rId4" Type="http://schemas.openxmlformats.org/officeDocument/2006/relationships/image" Target="../media/image7.emf"/><Relationship Id="rId9" Type="http://schemas.openxmlformats.org/officeDocument/2006/relationships/image" Target="../media/image12.emf"/><Relationship Id="rId14" Type="http://schemas.openxmlformats.org/officeDocument/2006/relationships/image" Target="../media/image17.emf"/><Relationship Id="rId22" Type="http://schemas.openxmlformats.org/officeDocument/2006/relationships/image" Target="../media/image25.emf"/><Relationship Id="rId27" Type="http://schemas.openxmlformats.org/officeDocument/2006/relationships/image" Target="../media/image30.emf"/><Relationship Id="rId30" Type="http://schemas.openxmlformats.org/officeDocument/2006/relationships/image" Target="../media/image33.emf"/></Relationships>
</file>

<file path=xl/drawings/_rels/vmlDrawing4.vml.rels><?xml version="1.0" encoding="UTF-8" standalone="yes"?>
<Relationships xmlns="http://schemas.openxmlformats.org/package/2006/relationships"><Relationship Id="rId8" Type="http://schemas.openxmlformats.org/officeDocument/2006/relationships/image" Target="../media/image43.emf"/><Relationship Id="rId13" Type="http://schemas.openxmlformats.org/officeDocument/2006/relationships/image" Target="../media/image48.emf"/><Relationship Id="rId3" Type="http://schemas.openxmlformats.org/officeDocument/2006/relationships/image" Target="../media/image38.emf"/><Relationship Id="rId7" Type="http://schemas.openxmlformats.org/officeDocument/2006/relationships/image" Target="../media/image42.emf"/><Relationship Id="rId12" Type="http://schemas.openxmlformats.org/officeDocument/2006/relationships/image" Target="../media/image47.emf"/><Relationship Id="rId2" Type="http://schemas.openxmlformats.org/officeDocument/2006/relationships/image" Target="../media/image37.emf"/><Relationship Id="rId16" Type="http://schemas.openxmlformats.org/officeDocument/2006/relationships/image" Target="../media/image51.emf"/><Relationship Id="rId1" Type="http://schemas.openxmlformats.org/officeDocument/2006/relationships/image" Target="../media/image36.emf"/><Relationship Id="rId6" Type="http://schemas.openxmlformats.org/officeDocument/2006/relationships/image" Target="../media/image41.emf"/><Relationship Id="rId11" Type="http://schemas.openxmlformats.org/officeDocument/2006/relationships/image" Target="../media/image46.emf"/><Relationship Id="rId5" Type="http://schemas.openxmlformats.org/officeDocument/2006/relationships/image" Target="../media/image40.emf"/><Relationship Id="rId15" Type="http://schemas.openxmlformats.org/officeDocument/2006/relationships/image" Target="../media/image50.emf"/><Relationship Id="rId10" Type="http://schemas.openxmlformats.org/officeDocument/2006/relationships/image" Target="../media/image45.emf"/><Relationship Id="rId4" Type="http://schemas.openxmlformats.org/officeDocument/2006/relationships/image" Target="../media/image39.emf"/><Relationship Id="rId9" Type="http://schemas.openxmlformats.org/officeDocument/2006/relationships/image" Target="../media/image44.emf"/><Relationship Id="rId14" Type="http://schemas.openxmlformats.org/officeDocument/2006/relationships/image" Target="../media/image49.emf"/></Relationships>
</file>

<file path=xl/drawings/_rels/vmlDrawing5.vml.rels><?xml version="1.0" encoding="UTF-8" standalone="yes"?>
<Relationships xmlns="http://schemas.openxmlformats.org/package/2006/relationships"><Relationship Id="rId8" Type="http://schemas.openxmlformats.org/officeDocument/2006/relationships/image" Target="../media/image59.emf"/><Relationship Id="rId3" Type="http://schemas.openxmlformats.org/officeDocument/2006/relationships/image" Target="../media/image54.emf"/><Relationship Id="rId7" Type="http://schemas.openxmlformats.org/officeDocument/2006/relationships/image" Target="../media/image58.emf"/><Relationship Id="rId12" Type="http://schemas.openxmlformats.org/officeDocument/2006/relationships/image" Target="../media/image63.emf"/><Relationship Id="rId2" Type="http://schemas.openxmlformats.org/officeDocument/2006/relationships/image" Target="../media/image53.emf"/><Relationship Id="rId1" Type="http://schemas.openxmlformats.org/officeDocument/2006/relationships/image" Target="../media/image52.emf"/><Relationship Id="rId6" Type="http://schemas.openxmlformats.org/officeDocument/2006/relationships/image" Target="../media/image57.emf"/><Relationship Id="rId11" Type="http://schemas.openxmlformats.org/officeDocument/2006/relationships/image" Target="../media/image62.emf"/><Relationship Id="rId5" Type="http://schemas.openxmlformats.org/officeDocument/2006/relationships/image" Target="../media/image56.emf"/><Relationship Id="rId10" Type="http://schemas.openxmlformats.org/officeDocument/2006/relationships/image" Target="../media/image61.emf"/><Relationship Id="rId4" Type="http://schemas.openxmlformats.org/officeDocument/2006/relationships/image" Target="../media/image55.emf"/><Relationship Id="rId9" Type="http://schemas.openxmlformats.org/officeDocument/2006/relationships/image" Target="../media/image60.emf"/></Relationships>
</file>

<file path=xl/drawings/_rels/vmlDrawing6.vml.rels><?xml version="1.0" encoding="UTF-8" standalone="yes"?>
<Relationships xmlns="http://schemas.openxmlformats.org/package/2006/relationships"><Relationship Id="rId8" Type="http://schemas.openxmlformats.org/officeDocument/2006/relationships/image" Target="../media/image71.emf"/><Relationship Id="rId3" Type="http://schemas.openxmlformats.org/officeDocument/2006/relationships/image" Target="../media/image66.emf"/><Relationship Id="rId7" Type="http://schemas.openxmlformats.org/officeDocument/2006/relationships/image" Target="../media/image70.emf"/><Relationship Id="rId2" Type="http://schemas.openxmlformats.org/officeDocument/2006/relationships/image" Target="../media/image65.emf"/><Relationship Id="rId1" Type="http://schemas.openxmlformats.org/officeDocument/2006/relationships/image" Target="../media/image64.emf"/><Relationship Id="rId6" Type="http://schemas.openxmlformats.org/officeDocument/2006/relationships/image" Target="../media/image69.emf"/><Relationship Id="rId5" Type="http://schemas.openxmlformats.org/officeDocument/2006/relationships/image" Target="../media/image68.emf"/><Relationship Id="rId4" Type="http://schemas.openxmlformats.org/officeDocument/2006/relationships/image" Target="../media/image67.emf"/><Relationship Id="rId9" Type="http://schemas.openxmlformats.org/officeDocument/2006/relationships/image" Target="../media/image72.emf"/></Relationships>
</file>

<file path=xl/drawings/_rels/vmlDrawing7.vml.rels><?xml version="1.0" encoding="UTF-8" standalone="yes"?>
<Relationships xmlns="http://schemas.openxmlformats.org/package/2006/relationships"><Relationship Id="rId3" Type="http://schemas.openxmlformats.org/officeDocument/2006/relationships/image" Target="../media/image75.emf"/><Relationship Id="rId2" Type="http://schemas.openxmlformats.org/officeDocument/2006/relationships/image" Target="../media/image74.emf"/><Relationship Id="rId1" Type="http://schemas.openxmlformats.org/officeDocument/2006/relationships/image" Target="../media/image73.emf"/><Relationship Id="rId4" Type="http://schemas.openxmlformats.org/officeDocument/2006/relationships/image" Target="../media/image76.emf"/></Relationships>
</file>

<file path=xl/drawings/_rels/vmlDrawing8.vml.rels><?xml version="1.0" encoding="UTF-8" standalone="yes"?>
<Relationships xmlns="http://schemas.openxmlformats.org/package/2006/relationships"><Relationship Id="rId8" Type="http://schemas.openxmlformats.org/officeDocument/2006/relationships/image" Target="../media/image84.emf"/><Relationship Id="rId3" Type="http://schemas.openxmlformats.org/officeDocument/2006/relationships/image" Target="../media/image79.emf"/><Relationship Id="rId7" Type="http://schemas.openxmlformats.org/officeDocument/2006/relationships/image" Target="../media/image83.emf"/><Relationship Id="rId2" Type="http://schemas.openxmlformats.org/officeDocument/2006/relationships/image" Target="../media/image78.emf"/><Relationship Id="rId1" Type="http://schemas.openxmlformats.org/officeDocument/2006/relationships/image" Target="../media/image77.emf"/><Relationship Id="rId6" Type="http://schemas.openxmlformats.org/officeDocument/2006/relationships/image" Target="../media/image82.emf"/><Relationship Id="rId5" Type="http://schemas.openxmlformats.org/officeDocument/2006/relationships/image" Target="../media/image81.emf"/><Relationship Id="rId4" Type="http://schemas.openxmlformats.org/officeDocument/2006/relationships/image" Target="../media/image80.emf"/><Relationship Id="rId9" Type="http://schemas.openxmlformats.org/officeDocument/2006/relationships/image" Target="../media/image85.emf"/></Relationships>
</file>

<file path=xl/drawings/_rels/vmlDrawing9.vml.rels><?xml version="1.0" encoding="UTF-8" standalone="yes"?>
<Relationships xmlns="http://schemas.openxmlformats.org/package/2006/relationships"><Relationship Id="rId1" Type="http://schemas.openxmlformats.org/officeDocument/2006/relationships/image" Target="../media/image86.emf"/></Relationships>
</file>

<file path=xl/drawings/_rels/vmlDrawing10.vml.rels><?xml version="1.0" encoding="UTF-8" standalone="yes"?>
<Relationships xmlns="http://schemas.openxmlformats.org/package/2006/relationships"><Relationship Id="rId3" Type="http://schemas.openxmlformats.org/officeDocument/2006/relationships/image" Target="../media/image89.emf"/><Relationship Id="rId2" Type="http://schemas.openxmlformats.org/officeDocument/2006/relationships/image" Target="../media/image88.emf"/><Relationship Id="rId1" Type="http://schemas.openxmlformats.org/officeDocument/2006/relationships/image" Target="../media/image87.emf"/><Relationship Id="rId6" Type="http://schemas.openxmlformats.org/officeDocument/2006/relationships/image" Target="../media/image92.emf"/><Relationship Id="rId5" Type="http://schemas.openxmlformats.org/officeDocument/2006/relationships/image" Target="../media/image91.emf"/><Relationship Id="rId4" Type="http://schemas.openxmlformats.org/officeDocument/2006/relationships/image" Target="../media/image90.emf"/></Relationships>
</file>

<file path=xl/drawings/_rels/vmlDrawing11.vml.rels><?xml version="1.0" encoding="UTF-8" standalone="yes"?>
<Relationships xmlns="http://schemas.openxmlformats.org/package/2006/relationships"><Relationship Id="rId1" Type="http://schemas.openxmlformats.org/officeDocument/2006/relationships/image" Target="../media/image93.emf"/></Relationships>
</file>

<file path=xl/drawings/_rels/vmlDrawing12.vml.rels><?xml version="1.0" encoding="UTF-8" standalone="yes"?>
<Relationships xmlns="http://schemas.openxmlformats.org/package/2006/relationships"><Relationship Id="rId3" Type="http://schemas.openxmlformats.org/officeDocument/2006/relationships/image" Target="../media/image96.emf"/><Relationship Id="rId2" Type="http://schemas.openxmlformats.org/officeDocument/2006/relationships/image" Target="../media/image95.emf"/><Relationship Id="rId1" Type="http://schemas.openxmlformats.org/officeDocument/2006/relationships/image" Target="../media/image94.emf"/></Relationships>
</file>

<file path=xl/drawings/_rels/vmlDrawing13.vml.rels><?xml version="1.0" encoding="UTF-8" standalone="yes"?>
<Relationships xmlns="http://schemas.openxmlformats.org/package/2006/relationships"><Relationship Id="rId1" Type="http://schemas.openxmlformats.org/officeDocument/2006/relationships/image" Target="../media/image97.emf"/></Relationships>
</file>

<file path=xl/drawings/_rels/vmlDrawing14.vml.rels><?xml version="1.0" encoding="UTF-8" standalone="yes"?>
<Relationships xmlns="http://schemas.openxmlformats.org/package/2006/relationships"><Relationship Id="rId2" Type="http://schemas.openxmlformats.org/officeDocument/2006/relationships/image" Target="../media/image99.emf"/><Relationship Id="rId1" Type="http://schemas.openxmlformats.org/officeDocument/2006/relationships/image" Target="../media/image98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38100</xdr:colOff>
      <xdr:row>2</xdr:row>
      <xdr:rowOff>38100</xdr:rowOff>
    </xdr:from>
    <xdr:to>
      <xdr:col>2</xdr:col>
      <xdr:colOff>784225</xdr:colOff>
      <xdr:row>11</xdr:row>
      <xdr:rowOff>193675</xdr:rowOff>
    </xdr:to>
    <xdr:graphicFrame macro="">
      <xdr:nvGraphicFramePr>
        <xdr:cNvPr id="12" name="圖表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38100</xdr:colOff>
      <xdr:row>14</xdr:row>
      <xdr:rowOff>38100</xdr:rowOff>
    </xdr:from>
    <xdr:to>
      <xdr:col>2</xdr:col>
      <xdr:colOff>784225</xdr:colOff>
      <xdr:row>23</xdr:row>
      <xdr:rowOff>184150</xdr:rowOff>
    </xdr:to>
    <xdr:graphicFrame macro="">
      <xdr:nvGraphicFramePr>
        <xdr:cNvPr id="13" name="圖表 1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38100</xdr:colOff>
      <xdr:row>26</xdr:row>
      <xdr:rowOff>38100</xdr:rowOff>
    </xdr:from>
    <xdr:to>
      <xdr:col>2</xdr:col>
      <xdr:colOff>784225</xdr:colOff>
      <xdr:row>35</xdr:row>
      <xdr:rowOff>155575</xdr:rowOff>
    </xdr:to>
    <xdr:graphicFrame macro="">
      <xdr:nvGraphicFramePr>
        <xdr:cNvPr id="14" name="圖表 1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38100</xdr:colOff>
      <xdr:row>2</xdr:row>
      <xdr:rowOff>38100</xdr:rowOff>
    </xdr:from>
    <xdr:to>
      <xdr:col>9</xdr:col>
      <xdr:colOff>755650</xdr:colOff>
      <xdr:row>11</xdr:row>
      <xdr:rowOff>193675</xdr:rowOff>
    </xdr:to>
    <xdr:graphicFrame macro="">
      <xdr:nvGraphicFramePr>
        <xdr:cNvPr id="15" name="圖表 1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38100</xdr:colOff>
      <xdr:row>14</xdr:row>
      <xdr:rowOff>38100</xdr:rowOff>
    </xdr:from>
    <xdr:to>
      <xdr:col>9</xdr:col>
      <xdr:colOff>755650</xdr:colOff>
      <xdr:row>23</xdr:row>
      <xdr:rowOff>184150</xdr:rowOff>
    </xdr:to>
    <xdr:graphicFrame macro="">
      <xdr:nvGraphicFramePr>
        <xdr:cNvPr id="16" name="圖表 1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38100</xdr:colOff>
      <xdr:row>26</xdr:row>
      <xdr:rowOff>38100</xdr:rowOff>
    </xdr:from>
    <xdr:to>
      <xdr:col>9</xdr:col>
      <xdr:colOff>755650</xdr:colOff>
      <xdr:row>35</xdr:row>
      <xdr:rowOff>155575</xdr:rowOff>
    </xdr:to>
    <xdr:graphicFrame macro="">
      <xdr:nvGraphicFramePr>
        <xdr:cNvPr id="17" name="圖表 1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14</xdr:col>
      <xdr:colOff>38100</xdr:colOff>
      <xdr:row>1</xdr:row>
      <xdr:rowOff>38100</xdr:rowOff>
    </xdr:from>
    <xdr:to>
      <xdr:col>21</xdr:col>
      <xdr:colOff>537370</xdr:colOff>
      <xdr:row>18</xdr:row>
      <xdr:rowOff>173957</xdr:rowOff>
    </xdr:to>
    <xdr:graphicFrame macro="">
      <xdr:nvGraphicFramePr>
        <xdr:cNvPr id="2" name="圖表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14</xdr:col>
      <xdr:colOff>38100</xdr:colOff>
      <xdr:row>19</xdr:row>
      <xdr:rowOff>38100</xdr:rowOff>
    </xdr:from>
    <xdr:to>
      <xdr:col>21</xdr:col>
      <xdr:colOff>537369</xdr:colOff>
      <xdr:row>35</xdr:row>
      <xdr:rowOff>170923</xdr:rowOff>
    </xdr:to>
    <xdr:graphicFrame macro="">
      <xdr:nvGraphicFramePr>
        <xdr:cNvPr id="32" name="圖表 3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23</xdr:row>
      <xdr:rowOff>200025</xdr:rowOff>
    </xdr:from>
    <xdr:to>
      <xdr:col>8</xdr:col>
      <xdr:colOff>47626</xdr:colOff>
      <xdr:row>34</xdr:row>
      <xdr:rowOff>95251</xdr:rowOff>
    </xdr:to>
    <xdr:graphicFrame macro="">
      <xdr:nvGraphicFramePr>
        <xdr:cNvPr id="2" name="圖表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57150</xdr:colOff>
      <xdr:row>1</xdr:row>
      <xdr:rowOff>76200</xdr:rowOff>
    </xdr:from>
    <xdr:to>
      <xdr:col>15</xdr:col>
      <xdr:colOff>647700</xdr:colOff>
      <xdr:row>12</xdr:row>
      <xdr:rowOff>95250</xdr:rowOff>
    </xdr:to>
    <xdr:graphicFrame macro="">
      <xdr:nvGraphicFramePr>
        <xdr:cNvPr id="3" name="圖表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38100</xdr:colOff>
      <xdr:row>12</xdr:row>
      <xdr:rowOff>171451</xdr:rowOff>
    </xdr:from>
    <xdr:to>
      <xdr:col>15</xdr:col>
      <xdr:colOff>647700</xdr:colOff>
      <xdr:row>23</xdr:row>
      <xdr:rowOff>104775</xdr:rowOff>
    </xdr:to>
    <xdr:graphicFrame macro="">
      <xdr:nvGraphicFramePr>
        <xdr:cNvPr id="4" name="圖表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19049</xdr:colOff>
      <xdr:row>12</xdr:row>
      <xdr:rowOff>200025</xdr:rowOff>
    </xdr:from>
    <xdr:to>
      <xdr:col>9</xdr:col>
      <xdr:colOff>0</xdr:colOff>
      <xdr:row>23</xdr:row>
      <xdr:rowOff>95250</xdr:rowOff>
    </xdr:to>
    <xdr:graphicFrame macro="">
      <xdr:nvGraphicFramePr>
        <xdr:cNvPr id="5" name="圖表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9</xdr:col>
      <xdr:colOff>47625</xdr:colOff>
      <xdr:row>23</xdr:row>
      <xdr:rowOff>190500</xdr:rowOff>
    </xdr:from>
    <xdr:to>
      <xdr:col>15</xdr:col>
      <xdr:colOff>666750</xdr:colOff>
      <xdr:row>34</xdr:row>
      <xdr:rowOff>152400</xdr:rowOff>
    </xdr:to>
    <xdr:graphicFrame macro="">
      <xdr:nvGraphicFramePr>
        <xdr:cNvPr id="6" name="圖表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38100</xdr:colOff>
      <xdr:row>1</xdr:row>
      <xdr:rowOff>85724</xdr:rowOff>
    </xdr:from>
    <xdr:to>
      <xdr:col>8</xdr:col>
      <xdr:colOff>76200</xdr:colOff>
      <xdr:row>12</xdr:row>
      <xdr:rowOff>104775</xdr:rowOff>
    </xdr:to>
    <xdr:graphicFrame macro="">
      <xdr:nvGraphicFramePr>
        <xdr:cNvPr id="8" name="圖表 7" descr="&#10;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queryTables/queryTable1.xml><?xml version="1.0" encoding="utf-8"?>
<queryTable xmlns="http://schemas.openxmlformats.org/spreadsheetml/2006/main" name="外部資料_882" headers="0" backgroundRefresh="0" growShrinkType="overwriteClear" removeDataOnSave="1" preserveFormatting="0" adjustColumnWidth="0" connectionId="259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持股分佈_14" backgroundRefresh="0" growShrinkType="overwriteClear" preserveFormatting="0" adjustColumnWidth="0" connectionId="186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持股分佈_2" backgroundRefresh="0" growShrinkType="overwriteClear" preserveFormatting="0" adjustColumnWidth="0" connectionId="286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持股分佈_68" backgroundRefresh="0" growShrinkType="overwriteClear" preserveFormatting="0" adjustColumnWidth="0" connectionId="40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持股分佈_65" backgroundRefresh="0" growShrinkType="overwriteClear" preserveFormatting="0" adjustColumnWidth="0" connectionId="37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持股分佈_126" backgroundRefresh="0" growShrinkType="overwriteClear" preserveFormatting="0" adjustColumnWidth="0" connectionId="161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持股分佈_108" backgroundRefresh="0" growShrinkType="overwriteClear" preserveFormatting="0" adjustColumnWidth="0" connectionId="120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持股分佈_33" backgroundRefresh="0" growShrinkType="overwriteClear" preserveFormatting="0" adjustColumnWidth="0" connectionId="287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持股分佈_83" backgroundRefresh="0" growShrinkType="overwriteClear" preserveFormatting="0" adjustColumnWidth="0" connectionId="60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持股分佈_77" backgroundRefresh="0" growShrinkType="overwriteClear" preserveFormatting="0" adjustColumnWidth="0" connectionId="52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持股分佈_89" backgroundRefresh="0" growShrinkType="overwriteClear" preserveFormatting="0" adjustColumnWidth="0" connectionId="67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持股分佈_52" backgroundRefresh="0" growShrinkType="overwriteClear" preserveFormatting="0" adjustColumnWidth="0" connectionId="20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持股分佈_44" backgroundRefresh="0" growShrinkType="overwriteClear" preserveFormatting="0" adjustColumnWidth="0" connectionId="8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持股分佈_13" backgroundRefresh="0" growShrinkType="overwriteClear" preserveFormatting="0" adjustColumnWidth="0" connectionId="182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持股分佈_10" backgroundRefresh="0" growShrinkType="overwriteClear" preserveFormatting="0" adjustColumnWidth="0" connectionId="177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持股分佈_109" backgroundRefresh="0" growShrinkType="overwriteClear" preserveFormatting="0" adjustColumnWidth="0" connectionId="121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持股分佈_112" backgroundRefresh="0" growShrinkType="overwriteClear" preserveFormatting="0" adjustColumnWidth="0" connectionId="142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持股分佈_111" backgroundRefresh="0" growShrinkType="overwriteClear" preserveFormatting="0" adjustColumnWidth="0" connectionId="141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持股分佈_88" backgroundRefresh="0" growShrinkType="overwriteClear" preserveFormatting="0" adjustColumnWidth="0" connectionId="66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持股分佈_130" backgroundRefresh="0" growShrinkType="overwriteClear" preserveFormatting="0" adjustColumnWidth="0" connectionId="168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持股分佈_7" backgroundRefresh="0" growShrinkType="overwriteClear" preserveFormatting="0" adjustColumnWidth="0" connectionId="138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持股分佈_118" backgroundRefresh="0" growShrinkType="overwriteClear" preserveFormatting="0" adjustColumnWidth="0" connectionId="150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持股分佈_129" backgroundRefresh="0" growShrinkType="overwriteClear" preserveFormatting="0" adjustColumnWidth="0" connectionId="166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持股分佈_81" backgroundRefresh="0" growShrinkType="overwriteClear" preserveFormatting="0" adjustColumnWidth="0" connectionId="57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持股分佈_75" backgroundRefresh="0" growShrinkType="overwriteClear" preserveFormatting="0" adjustColumnWidth="0" connectionId="49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持股分佈_51" backgroundRefresh="0" growShrinkType="overwriteClear" preserveFormatting="0" adjustColumnWidth="0" connectionId="19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持股分佈_110" backgroundRefresh="0" growShrinkType="overwriteClear" preserveFormatting="0" adjustColumnWidth="0" connectionId="140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持股分佈_73" backgroundRefresh="0" growShrinkType="overwriteClear" preserveFormatting="0" adjustColumnWidth="0" connectionId="47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持股分佈_47" backgroundRefresh="0" growShrinkType="overwriteClear" preserveFormatting="0" adjustColumnWidth="0" connectionId="13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持股分佈_74" backgroundRefresh="0" growShrinkType="overwriteClear" preserveFormatting="0" adjustColumnWidth="0" connectionId="48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持股分佈_8" backgroundRefresh="0" growShrinkType="overwriteClear" preserveFormatting="0" adjustColumnWidth="0" connectionId="169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持股分佈_82" backgroundRefresh="0" growShrinkType="overwriteClear" preserveFormatting="0" adjustColumnWidth="0" connectionId="59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持股分佈_127" backgroundRefresh="0" growShrinkType="overwriteClear" preserveFormatting="0" adjustColumnWidth="0" connectionId="164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持股分佈_61" backgroundRefresh="0" growShrinkType="overwriteClear" preserveFormatting="0" adjustColumnWidth="0" connectionId="32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持股分佈_119" backgroundRefresh="0" growShrinkType="overwriteClear" preserveFormatting="0" adjustColumnWidth="0" connectionId="151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持股分佈_53" backgroundRefresh="0" growShrinkType="overwriteClear" preserveFormatting="0" adjustColumnWidth="0" connectionId="21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持股分佈_59" backgroundRefresh="0" growShrinkType="overwriteClear" preserveFormatting="0" adjustColumnWidth="0" connectionId="28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持股分佈_120" backgroundRefresh="0" growShrinkType="overwriteClear" preserveFormatting="0" adjustColumnWidth="0" connectionId="152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持股分佈_5" backgroundRefresh="0" growShrinkType="overwriteClear" preserveFormatting="0" adjustColumnWidth="0" connectionId="65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持股分佈_15" backgroundRefresh="0" growShrinkType="overwriteClear" preserveFormatting="0" adjustColumnWidth="0" connectionId="188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持股分佈_24" backgroundRefresh="0" growShrinkType="overwriteClear" preserveFormatting="0" adjustColumnWidth="0" connectionId="212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持股分佈_9" backgroundRefresh="0" growShrinkType="overwriteClear" preserveFormatting="0" adjustColumnWidth="0" connectionId="174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持股分佈_115" backgroundRefresh="0" growShrinkType="overwriteClear" preserveFormatting="0" adjustColumnWidth="0" connectionId="146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持股分佈_17" backgroundRefresh="0" growShrinkType="overwriteClear" preserveFormatting="0" adjustColumnWidth="0" connectionId="191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持股分佈_11" backgroundRefresh="0" growShrinkType="overwriteClear" preserveFormatting="0" adjustColumnWidth="0" connectionId="178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持股分佈_39" backgroundRefresh="0" growShrinkType="overwriteClear" preserveFormatting="0" adjustColumnWidth="0" connectionId="295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持股分佈_93" backgroundRefresh="0" growShrinkType="overwriteClear" preserveFormatting="0" adjustColumnWidth="0" connectionId="72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持股分佈_23" backgroundRefresh="0" growShrinkType="overwriteClear" preserveFormatting="0" adjustColumnWidth="0" connectionId="209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持股分佈_34" backgroundRefresh="0" growShrinkType="overwriteClear" preserveFormatting="0" adjustColumnWidth="0" connectionId="288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持股分佈_87" backgroundRefresh="0" growShrinkType="overwriteClear" preserveFormatting="0" adjustColumnWidth="0" connectionId="64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持股分佈_16" backgroundRefresh="0" growShrinkType="overwriteClear" preserveFormatting="0" adjustColumnWidth="0" connectionId="190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持股分佈_56" backgroundRefresh="0" growShrinkType="overwriteClear" preserveFormatting="0" adjustColumnWidth="0" connectionId="24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持股分佈_117" backgroundRefresh="0" growShrinkType="overwriteClear" preserveFormatting="0" adjustColumnWidth="0" connectionId="148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持股分佈_116" backgroundRefresh="0" growShrinkType="overwriteClear" preserveFormatting="0" adjustColumnWidth="0" connectionId="147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持股分佈_92" backgroundRefresh="0" growShrinkType="overwriteClear" preserveFormatting="0" adjustColumnWidth="0" connectionId="71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持股分佈_32" backgroundRefresh="0" growShrinkType="overwriteClear" preserveFormatting="0" adjustColumnWidth="0" connectionId="285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持股分佈_72" backgroundRefresh="0" growShrinkType="overwriteClear" preserveFormatting="0" adjustColumnWidth="0" connectionId="45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持股分佈_27" backgroundRefresh="0" growShrinkType="overwriteClear" preserveFormatting="0" adjustColumnWidth="0" connectionId="216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持股分佈_48" backgroundRefresh="0" growShrinkType="overwriteClear" preserveFormatting="0" adjustColumnWidth="0" connectionId="14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持股分佈_95" backgroundRefresh="0" growShrinkType="overwriteClear" preserveFormatting="0" adjustColumnWidth="0" connectionId="75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name="持股分佈_30" backgroundRefresh="0" growShrinkType="overwriteClear" preserveFormatting="0" adjustColumnWidth="0" connectionId="282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name="持股分佈_78" backgroundRefresh="0" growShrinkType="overwriteClear" preserveFormatting="0" adjustColumnWidth="0" connectionId="54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name="持股分佈_96" backgroundRefresh="0" growShrinkType="overwriteClear" preserveFormatting="0" adjustColumnWidth="0" connectionId="76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name="持股分佈_99" backgroundRefresh="0" growShrinkType="overwriteClear" preserveFormatting="0" adjustColumnWidth="0" connectionId="80" autoFormatId="16" applyNumberFormats="0" applyBorderFormats="0" applyFontFormats="1" applyPatternFormats="1" applyAlignmentFormats="0" applyWidthHeightFormats="0"/>
</file>

<file path=xl/queryTables/queryTable65.xml><?xml version="1.0" encoding="utf-8"?>
<queryTable xmlns="http://schemas.openxmlformats.org/spreadsheetml/2006/main" name="持股分佈_104" backgroundRefresh="0" growShrinkType="overwriteClear" preserveFormatting="0" adjustColumnWidth="0" connectionId="115" autoFormatId="16" applyNumberFormats="0" applyBorderFormats="0" applyFontFormats="1" applyPatternFormats="1" applyAlignmentFormats="0" applyWidthHeightFormats="0"/>
</file>

<file path=xl/queryTables/queryTable66.xml><?xml version="1.0" encoding="utf-8"?>
<queryTable xmlns="http://schemas.openxmlformats.org/spreadsheetml/2006/main" name="持股分佈_58" backgroundRefresh="0" growShrinkType="overwriteClear" preserveFormatting="0" adjustColumnWidth="0" connectionId="27" autoFormatId="16" applyNumberFormats="0" applyBorderFormats="0" applyFontFormats="1" applyPatternFormats="1" applyAlignmentFormats="0" applyWidthHeightFormats="0"/>
</file>

<file path=xl/queryTables/queryTable67.xml><?xml version="1.0" encoding="utf-8"?>
<queryTable xmlns="http://schemas.openxmlformats.org/spreadsheetml/2006/main" name="持股分佈_64" backgroundRefresh="0" growShrinkType="overwriteClear" preserveFormatting="0" adjustColumnWidth="0" connectionId="36" autoFormatId="16" applyNumberFormats="0" applyBorderFormats="0" applyFontFormats="1" applyPatternFormats="1" applyAlignmentFormats="0" applyWidthHeightFormats="0"/>
</file>

<file path=xl/queryTables/queryTable68.xml><?xml version="1.0" encoding="utf-8"?>
<queryTable xmlns="http://schemas.openxmlformats.org/spreadsheetml/2006/main" name="持股分佈_25" backgroundRefresh="0" growShrinkType="overwriteClear" preserveFormatting="0" adjustColumnWidth="0" connectionId="213" autoFormatId="16" applyNumberFormats="0" applyBorderFormats="0" applyFontFormats="1" applyPatternFormats="1" applyAlignmentFormats="0" applyWidthHeightFormats="0"/>
</file>

<file path=xl/queryTables/queryTable69.xml><?xml version="1.0" encoding="utf-8"?>
<queryTable xmlns="http://schemas.openxmlformats.org/spreadsheetml/2006/main" name="持股分佈_46" backgroundRefresh="0" growShrinkType="overwriteClear" preserveFormatting="0" adjustColumnWidth="0" connectionId="12" autoFormatId="16" applyNumberFormats="0" applyBorderFormats="0" applyFontFormats="1" applyPatternFormats="1" applyAlignmentFormats="0" applyWidthHeightFormats="0"/>
</file>

<file path=xl/queryTables/queryTable70.xml><?xml version="1.0" encoding="utf-8"?>
<queryTable xmlns="http://schemas.openxmlformats.org/spreadsheetml/2006/main" name="持股分佈_69" backgroundRefresh="0" growShrinkType="overwriteClear" preserveFormatting="0" adjustColumnWidth="0" connectionId="42" autoFormatId="16" applyNumberFormats="0" applyBorderFormats="0" applyFontFormats="1" applyPatternFormats="1" applyAlignmentFormats="0" applyWidthHeightFormats="0"/>
</file>

<file path=xl/queryTables/queryTable71.xml><?xml version="1.0" encoding="utf-8"?>
<queryTable xmlns="http://schemas.openxmlformats.org/spreadsheetml/2006/main" name="持股分佈_36" backgroundRefresh="0" growShrinkType="overwriteClear" preserveFormatting="0" adjustColumnWidth="0" connectionId="292" autoFormatId="16" applyNumberFormats="0" applyBorderFormats="0" applyFontFormats="1" applyPatternFormats="1" applyAlignmentFormats="0" applyWidthHeightFormats="0"/>
</file>

<file path=xl/queryTables/queryTable72.xml><?xml version="1.0" encoding="utf-8"?>
<queryTable xmlns="http://schemas.openxmlformats.org/spreadsheetml/2006/main" name="持股分佈_102" backgroundRefresh="0" growShrinkType="overwriteClear" preserveFormatting="0" adjustColumnWidth="0" connectionId="100" autoFormatId="16" applyNumberFormats="0" applyBorderFormats="0" applyFontFormats="1" applyPatternFormats="1" applyAlignmentFormats="0" applyWidthHeightFormats="0"/>
</file>

<file path=xl/queryTables/queryTable73.xml><?xml version="1.0" encoding="utf-8"?>
<queryTable xmlns="http://schemas.openxmlformats.org/spreadsheetml/2006/main" name="持股分佈_124" backgroundRefresh="0" growShrinkType="overwriteClear" preserveFormatting="0" adjustColumnWidth="0" connectionId="159" autoFormatId="16" applyNumberFormats="0" applyBorderFormats="0" applyFontFormats="1" applyPatternFormats="1" applyAlignmentFormats="0" applyWidthHeightFormats="0"/>
</file>

<file path=xl/queryTables/queryTable74.xml><?xml version="1.0" encoding="utf-8"?>
<queryTable xmlns="http://schemas.openxmlformats.org/spreadsheetml/2006/main" name="持股分佈_79" backgroundRefresh="0" growShrinkType="overwriteClear" preserveFormatting="0" adjustColumnWidth="0" connectionId="55" autoFormatId="16" applyNumberFormats="0" applyBorderFormats="0" applyFontFormats="1" applyPatternFormats="1" applyAlignmentFormats="0" applyWidthHeightFormats="0"/>
</file>

<file path=xl/queryTables/queryTable75.xml><?xml version="1.0" encoding="utf-8"?>
<queryTable xmlns="http://schemas.openxmlformats.org/spreadsheetml/2006/main" name="持股分佈_128" backgroundRefresh="0" growShrinkType="overwriteClear" preserveFormatting="0" adjustColumnWidth="0" connectionId="165" autoFormatId="16" applyNumberFormats="0" applyBorderFormats="0" applyFontFormats="1" applyPatternFormats="1" applyAlignmentFormats="0" applyWidthHeightFormats="0"/>
</file>

<file path=xl/queryTables/queryTable76.xml><?xml version="1.0" encoding="utf-8"?>
<queryTable xmlns="http://schemas.openxmlformats.org/spreadsheetml/2006/main" name="持股分佈_12" backgroundRefresh="0" growShrinkType="overwriteClear" preserveFormatting="0" adjustColumnWidth="0" connectionId="180" autoFormatId="16" applyNumberFormats="0" applyBorderFormats="0" applyFontFormats="1" applyPatternFormats="1" applyAlignmentFormats="0" applyWidthHeightFormats="0"/>
</file>

<file path=xl/queryTables/queryTable77.xml><?xml version="1.0" encoding="utf-8"?>
<queryTable xmlns="http://schemas.openxmlformats.org/spreadsheetml/2006/main" name="持股分佈_31" backgroundRefresh="0" growShrinkType="overwriteClear" preserveFormatting="0" adjustColumnWidth="0" connectionId="283" autoFormatId="16" applyNumberFormats="0" applyBorderFormats="0" applyFontFormats="1" applyPatternFormats="1" applyAlignmentFormats="0" applyWidthHeightFormats="0"/>
</file>

<file path=xl/queryTables/queryTable78.xml><?xml version="1.0" encoding="utf-8"?>
<queryTable xmlns="http://schemas.openxmlformats.org/spreadsheetml/2006/main" name="持股分佈_54" backgroundRefresh="0" growShrinkType="overwriteClear" preserveFormatting="0" adjustColumnWidth="0" connectionId="22" autoFormatId="16" applyNumberFormats="0" applyBorderFormats="0" applyFontFormats="1" applyPatternFormats="1" applyAlignmentFormats="0" applyWidthHeightFormats="0"/>
</file>

<file path=xl/queryTables/queryTable79.xml><?xml version="1.0" encoding="utf-8"?>
<queryTable xmlns="http://schemas.openxmlformats.org/spreadsheetml/2006/main" name="持股分佈_37" backgroundRefresh="0" growShrinkType="overwriteClear" preserveFormatting="0" adjustColumnWidth="0" connectionId="294" autoFormatId="16" applyNumberFormats="0" applyBorderFormats="0" applyFontFormats="1" applyPatternFormats="1" applyAlignmentFormats="0" applyWidthHeightFormats="0"/>
</file>

<file path=xl/queryTables/queryTable80.xml><?xml version="1.0" encoding="utf-8"?>
<queryTable xmlns="http://schemas.openxmlformats.org/spreadsheetml/2006/main" name="持股分佈_49" backgroundRefresh="0" growShrinkType="overwriteClear" preserveFormatting="0" adjustColumnWidth="0" connectionId="15" autoFormatId="16" applyNumberFormats="0" applyBorderFormats="0" applyFontFormats="1" applyPatternFormats="1" applyAlignmentFormats="0" applyWidthHeightFormats="0"/>
</file>

<file path=xl/queryTables/queryTable81.xml><?xml version="1.0" encoding="utf-8"?>
<queryTable xmlns="http://schemas.openxmlformats.org/spreadsheetml/2006/main" name="持股分佈_57" backgroundRefresh="0" growShrinkType="overwriteClear" preserveFormatting="0" adjustColumnWidth="0" connectionId="26" autoFormatId="16" applyNumberFormats="0" applyBorderFormats="0" applyFontFormats="1" applyPatternFormats="1" applyAlignmentFormats="0" applyWidthHeightFormats="0"/>
</file>

<file path=xl/queryTables/queryTable82.xml><?xml version="1.0" encoding="utf-8"?>
<queryTable xmlns="http://schemas.openxmlformats.org/spreadsheetml/2006/main" name="持股分佈_114" backgroundRefresh="0" growShrinkType="overwriteClear" preserveFormatting="0" adjustColumnWidth="0" connectionId="145" autoFormatId="16" applyNumberFormats="0" applyBorderFormats="0" applyFontFormats="1" applyPatternFormats="1" applyAlignmentFormats="0" applyWidthHeightFormats="0"/>
</file>

<file path=xl/queryTables/queryTable83.xml><?xml version="1.0" encoding="utf-8"?>
<queryTable xmlns="http://schemas.openxmlformats.org/spreadsheetml/2006/main" name="持股分佈_43" backgroundRefresh="0" growShrinkType="overwriteClear" preserveFormatting="0" adjustColumnWidth="0" connectionId="6" autoFormatId="16" applyNumberFormats="0" applyBorderFormats="0" applyFontFormats="1" applyPatternFormats="1" applyAlignmentFormats="0" applyWidthHeightFormats="0"/>
</file>

<file path=xl/queryTables/queryTable84.xml><?xml version="1.0" encoding="utf-8"?>
<queryTable xmlns="http://schemas.openxmlformats.org/spreadsheetml/2006/main" name="持股分佈_70" backgroundRefresh="0" growShrinkType="overwriteClear" preserveFormatting="0" adjustColumnWidth="0" connectionId="43" autoFormatId="16" applyNumberFormats="0" applyBorderFormats="0" applyFontFormats="1" applyPatternFormats="1" applyAlignmentFormats="0" applyWidthHeightFormats="0"/>
</file>

<file path=xl/queryTables/queryTable85.xml><?xml version="1.0" encoding="utf-8"?>
<queryTable xmlns="http://schemas.openxmlformats.org/spreadsheetml/2006/main" name="持股分佈_94" backgroundRefresh="0" growShrinkType="overwriteClear" preserveFormatting="0" adjustColumnWidth="0" connectionId="73" autoFormatId="16" applyNumberFormats="0" applyBorderFormats="0" applyFontFormats="1" applyPatternFormats="1" applyAlignmentFormats="0" applyWidthHeightFormats="0"/>
</file>

<file path=xl/queryTables/queryTable86.xml><?xml version="1.0" encoding="utf-8"?>
<queryTable xmlns="http://schemas.openxmlformats.org/spreadsheetml/2006/main" name="持股分佈_66" backgroundRefresh="0" growShrinkType="overwriteClear" preserveFormatting="0" adjustColumnWidth="0" connectionId="38" autoFormatId="16" applyNumberFormats="0" applyBorderFormats="0" applyFontFormats="1" applyPatternFormats="1" applyAlignmentFormats="0" applyWidthHeightFormats="0"/>
</file>

<file path=xl/queryTables/queryTable87.xml><?xml version="1.0" encoding="utf-8"?>
<queryTable xmlns="http://schemas.openxmlformats.org/spreadsheetml/2006/main" name="持股分佈_41" backgroundRefresh="0" growShrinkType="overwriteClear" preserveFormatting="0" adjustColumnWidth="0" connectionId="4" autoFormatId="16" applyNumberFormats="0" applyBorderFormats="0" applyFontFormats="1" applyPatternFormats="1" applyAlignmentFormats="0" applyWidthHeightFormats="0"/>
</file>

<file path=xl/queryTables/queryTable88.xml><?xml version="1.0" encoding="utf-8"?>
<queryTable xmlns="http://schemas.openxmlformats.org/spreadsheetml/2006/main" name="持股分佈_40" backgroundRefresh="0" growShrinkType="overwriteClear" preserveFormatting="0" adjustColumnWidth="0" connectionId="297" autoFormatId="16" applyNumberFormats="0" applyBorderFormats="0" applyFontFormats="1" applyPatternFormats="1" applyAlignmentFormats="0" applyWidthHeightFormats="0"/>
</file>

<file path=xl/queryTables/queryTable89.xml><?xml version="1.0" encoding="utf-8"?>
<queryTable xmlns="http://schemas.openxmlformats.org/spreadsheetml/2006/main" name="持股分佈_22" backgroundRefresh="0" growShrinkType="overwriteClear" preserveFormatting="0" adjustColumnWidth="0" connectionId="207" autoFormatId="16" applyNumberFormats="0" applyBorderFormats="0" applyFontFormats="1" applyPatternFormats="1" applyAlignmentFormats="0" applyWidthHeightFormats="0"/>
</file>

<file path=xl/queryTables/queryTable90.xml><?xml version="1.0" encoding="utf-8"?>
<queryTable xmlns="http://schemas.openxmlformats.org/spreadsheetml/2006/main" name="持股分佈_45" backgroundRefresh="0" growShrinkType="overwriteClear" preserveFormatting="0" adjustColumnWidth="0" connectionId="10" autoFormatId="16" applyNumberFormats="0" applyBorderFormats="0" applyFontFormats="1" applyPatternFormats="1" applyAlignmentFormats="0" applyWidthHeightFormats="0"/>
</file>

<file path=xl/queryTables/queryTable91.xml><?xml version="1.0" encoding="utf-8"?>
<queryTable xmlns="http://schemas.openxmlformats.org/spreadsheetml/2006/main" name="持股分佈_90" backgroundRefresh="0" growShrinkType="overwriteClear" preserveFormatting="0" adjustColumnWidth="0" connectionId="69" autoFormatId="16" applyNumberFormats="0" applyBorderFormats="0" applyFontFormats="1" applyPatternFormats="1" applyAlignmentFormats="0" applyWidthHeightFormats="0"/>
</file>

<file path=xl/queryTables/queryTable92.xml><?xml version="1.0" encoding="utf-8"?>
<queryTable xmlns="http://schemas.openxmlformats.org/spreadsheetml/2006/main" name="持股分佈_101" backgroundRefresh="0" growShrinkType="overwriteClear" preserveFormatting="0" adjustColumnWidth="0" connectionId="89" autoFormatId="16" applyNumberFormats="0" applyBorderFormats="0" applyFontFormats="1" applyPatternFormats="1" applyAlignmentFormats="0" applyWidthHeightFormats="0"/>
</file>

<file path=xl/queryTables/queryTable93.xml><?xml version="1.0" encoding="utf-8"?>
<queryTable xmlns="http://schemas.openxmlformats.org/spreadsheetml/2006/main" name="持股分佈_6" backgroundRefresh="0" growShrinkType="overwriteClear" preserveFormatting="0" adjustColumnWidth="0" connectionId="119" autoFormatId="16" applyNumberFormats="0" applyBorderFormats="0" applyFontFormats="1" applyPatternFormats="1" applyAlignmentFormats="0" applyWidthHeightFormats="0"/>
</file>

<file path=xl/queryTables/queryTable94.xml><?xml version="1.0" encoding="utf-8"?>
<queryTable xmlns="http://schemas.openxmlformats.org/spreadsheetml/2006/main" name="持股分佈_97" backgroundRefresh="0" growShrinkType="overwriteClear" preserveFormatting="0" adjustColumnWidth="0" connectionId="77" autoFormatId="16" applyNumberFormats="0" applyBorderFormats="0" applyFontFormats="1" applyPatternFormats="1" applyAlignmentFormats="0" applyWidthHeightFormats="0"/>
</file>

<file path=xl/queryTables/queryTable95.xml><?xml version="1.0" encoding="utf-8"?>
<queryTable xmlns="http://schemas.openxmlformats.org/spreadsheetml/2006/main" name="持股分佈_21" backgroundRefresh="0" growShrinkType="overwriteClear" preserveFormatting="0" adjustColumnWidth="0" connectionId="206" autoFormatId="16" applyNumberFormats="0" applyBorderFormats="0" applyFontFormats="1" applyPatternFormats="1" applyAlignmentFormats="0" applyWidthHeightFormats="0"/>
</file>

<file path=xl/queryTables/queryTable96.xml><?xml version="1.0" encoding="utf-8"?>
<queryTable xmlns="http://schemas.openxmlformats.org/spreadsheetml/2006/main" name="持股分佈_62" backgroundRefresh="0" growShrinkType="overwriteClear" preserveFormatting="0" adjustColumnWidth="0" connectionId="34" autoFormatId="16" applyNumberFormats="0" applyBorderFormats="0" applyFontFormats="1" applyPatternFormats="1" applyAlignmentFormats="0" applyWidthHeightFormats="0"/>
</file>

<file path=xl/queryTables/queryTable97.xml><?xml version="1.0" encoding="utf-8"?>
<queryTable xmlns="http://schemas.openxmlformats.org/spreadsheetml/2006/main" name="持股分佈_50" backgroundRefresh="0" growShrinkType="overwriteClear" preserveFormatting="0" adjustColumnWidth="0" connectionId="17" autoFormatId="16" applyNumberFormats="0" applyBorderFormats="0" applyFontFormats="1" applyPatternFormats="1" applyAlignmentFormats="0" applyWidthHeightFormats="0"/>
</file>

<file path=xl/queryTables/queryTable98.xml><?xml version="1.0" encoding="utf-8"?>
<queryTable xmlns="http://schemas.openxmlformats.org/spreadsheetml/2006/main" name="持股分佈_98" backgroundRefresh="0" growShrinkType="overwriteClear" preserveFormatting="0" adjustColumnWidth="0" connectionId="79" autoFormatId="16" applyNumberFormats="0" applyBorderFormats="0" applyFontFormats="1" applyPatternFormats="1" applyAlignmentFormats="0" applyWidthHeightFormats="0"/>
</file>

<file path=xl/queryTables/queryTable99.xml><?xml version="1.0" encoding="utf-8"?>
<queryTable xmlns="http://schemas.openxmlformats.org/spreadsheetml/2006/main" name="持股分佈_71" backgroundRefresh="0" growShrinkType="overwriteClear" preserveFormatting="0" adjustColumnWidth="0" connectionId="44" autoFormatId="16" applyNumberFormats="0" applyBorderFormats="0" applyFontFormats="1" applyPatternFormats="1" applyAlignmentFormats="0" applyWidthHeightFormats="0"/>
</file>

<file path=xl/queryTables/queryTable100.xml><?xml version="1.0" encoding="utf-8"?>
<queryTable xmlns="http://schemas.openxmlformats.org/spreadsheetml/2006/main" name="持股分佈_18" backgroundRefresh="0" growShrinkType="overwriteClear" preserveFormatting="0" adjustColumnWidth="0" connectionId="192" autoFormatId="16" applyNumberFormats="0" applyBorderFormats="0" applyFontFormats="1" applyPatternFormats="1" applyAlignmentFormats="0" applyWidthHeightFormats="0"/>
</file>

<file path=xl/queryTables/queryTable101.xml><?xml version="1.0" encoding="utf-8"?>
<queryTable xmlns="http://schemas.openxmlformats.org/spreadsheetml/2006/main" name="持股分佈_35" backgroundRefresh="0" growShrinkType="overwriteClear" preserveFormatting="0" adjustColumnWidth="0" connectionId="289" autoFormatId="16" applyNumberFormats="0" applyBorderFormats="0" applyFontFormats="1" applyPatternFormats="1" applyAlignmentFormats="0" applyWidthHeightFormats="0"/>
</file>

<file path=xl/queryTables/queryTable102.xml><?xml version="1.0" encoding="utf-8"?>
<queryTable xmlns="http://schemas.openxmlformats.org/spreadsheetml/2006/main" name="持股分佈_86" backgroundRefresh="0" growShrinkType="overwriteClear" preserveFormatting="0" adjustColumnWidth="0" connectionId="63" autoFormatId="16" applyNumberFormats="0" applyBorderFormats="0" applyFontFormats="1" applyPatternFormats="1" applyAlignmentFormats="0" applyWidthHeightFormats="0"/>
</file>

<file path=xl/queryTables/queryTable103.xml><?xml version="1.0" encoding="utf-8"?>
<queryTable xmlns="http://schemas.openxmlformats.org/spreadsheetml/2006/main" name="持股分佈_29" backgroundRefresh="0" growShrinkType="overwriteClear" preserveFormatting="0" adjustColumnWidth="0" connectionId="219" autoFormatId="16" applyNumberFormats="0" applyBorderFormats="0" applyFontFormats="1" applyPatternFormats="1" applyAlignmentFormats="0" applyWidthHeightFormats="0"/>
</file>

<file path=xl/queryTables/queryTable104.xml><?xml version="1.0" encoding="utf-8"?>
<queryTable xmlns="http://schemas.openxmlformats.org/spreadsheetml/2006/main" name="持股分佈_80" backgroundRefresh="0" growShrinkType="overwriteClear" preserveFormatting="0" adjustColumnWidth="0" connectionId="56" autoFormatId="16" applyNumberFormats="0" applyBorderFormats="0" applyFontFormats="1" applyPatternFormats="1" applyAlignmentFormats="0" applyWidthHeightFormats="0"/>
</file>

<file path=xl/queryTables/queryTable105.xml><?xml version="1.0" encoding="utf-8"?>
<queryTable xmlns="http://schemas.openxmlformats.org/spreadsheetml/2006/main" name="持股分佈_121" backgroundRefresh="0" growShrinkType="overwriteClear" preserveFormatting="0" adjustColumnWidth="0" connectionId="153" autoFormatId="16" applyNumberFormats="0" applyBorderFormats="0" applyFontFormats="1" applyPatternFormats="1" applyAlignmentFormats="0" applyWidthHeightFormats="0"/>
</file>

<file path=xl/queryTables/queryTable106.xml><?xml version="1.0" encoding="utf-8"?>
<queryTable xmlns="http://schemas.openxmlformats.org/spreadsheetml/2006/main" name="持股分佈_125" backgroundRefresh="0" growShrinkType="overwriteClear" preserveFormatting="0" adjustColumnWidth="0" connectionId="160" autoFormatId="16" applyNumberFormats="0" applyBorderFormats="0" applyFontFormats="1" applyPatternFormats="1" applyAlignmentFormats="0" applyWidthHeightFormats="0"/>
</file>

<file path=xl/queryTables/queryTable107.xml><?xml version="1.0" encoding="utf-8"?>
<queryTable xmlns="http://schemas.openxmlformats.org/spreadsheetml/2006/main" name="持股分佈_67" backgroundRefresh="0" growShrinkType="overwriteClear" preserveFormatting="0" adjustColumnWidth="0" connectionId="39" autoFormatId="16" applyNumberFormats="0" applyBorderFormats="0" applyFontFormats="1" applyPatternFormats="1" applyAlignmentFormats="0" applyWidthHeightFormats="0"/>
</file>

<file path=xl/queryTables/queryTable108.xml><?xml version="1.0" encoding="utf-8"?>
<queryTable xmlns="http://schemas.openxmlformats.org/spreadsheetml/2006/main" name="持股分佈_107" backgroundRefresh="0" growShrinkType="overwriteClear" preserveFormatting="0" adjustColumnWidth="0" connectionId="118" autoFormatId="16" applyNumberFormats="0" applyBorderFormats="0" applyFontFormats="1" applyPatternFormats="1" applyAlignmentFormats="0" applyWidthHeightFormats="0"/>
</file>

<file path=xl/queryTables/queryTable109.xml><?xml version="1.0" encoding="utf-8"?>
<queryTable xmlns="http://schemas.openxmlformats.org/spreadsheetml/2006/main" name="持股分佈_100" backgroundRefresh="0" growShrinkType="overwriteClear" preserveFormatting="0" adjustColumnWidth="0" connectionId="81" autoFormatId="16" applyNumberFormats="0" applyBorderFormats="0" applyFontFormats="1" applyPatternFormats="1" applyAlignmentFormats="0" applyWidthHeightFormats="0"/>
</file>

<file path=xl/queryTables/queryTable110.xml><?xml version="1.0" encoding="utf-8"?>
<queryTable xmlns="http://schemas.openxmlformats.org/spreadsheetml/2006/main" name="持股分佈_91" backgroundRefresh="0" growShrinkType="overwriteClear" preserveFormatting="0" adjustColumnWidth="0" connectionId="70" autoFormatId="16" applyNumberFormats="0" applyBorderFormats="0" applyFontFormats="1" applyPatternFormats="1" applyAlignmentFormats="0" applyWidthHeightFormats="0"/>
</file>

<file path=xl/queryTables/queryTable111.xml><?xml version="1.0" encoding="utf-8"?>
<queryTable xmlns="http://schemas.openxmlformats.org/spreadsheetml/2006/main" name="持股分佈_19" backgroundRefresh="0" growShrinkType="overwriteClear" preserveFormatting="0" adjustColumnWidth="0" connectionId="196" autoFormatId="16" applyNumberFormats="0" applyBorderFormats="0" applyFontFormats="1" applyPatternFormats="1" applyAlignmentFormats="0" applyWidthHeightFormats="0"/>
</file>

<file path=xl/queryTables/queryTable112.xml><?xml version="1.0" encoding="utf-8"?>
<queryTable xmlns="http://schemas.openxmlformats.org/spreadsheetml/2006/main" name="持股分佈_42" backgroundRefresh="0" growShrinkType="overwriteClear" preserveFormatting="0" adjustColumnWidth="0" connectionId="5" autoFormatId="16" applyNumberFormats="0" applyBorderFormats="0" applyFontFormats="1" applyPatternFormats="1" applyAlignmentFormats="0" applyWidthHeightFormats="0"/>
</file>

<file path=xl/queryTables/queryTable113.xml><?xml version="1.0" encoding="utf-8"?>
<queryTable xmlns="http://schemas.openxmlformats.org/spreadsheetml/2006/main" name="持股分佈_60" backgroundRefresh="0" growShrinkType="overwriteClear" preserveFormatting="0" adjustColumnWidth="0" connectionId="31" autoFormatId="16" applyNumberFormats="0" applyBorderFormats="0" applyFontFormats="1" applyPatternFormats="1" applyAlignmentFormats="0" applyWidthHeightFormats="0"/>
</file>

<file path=xl/queryTables/queryTable114.xml><?xml version="1.0" encoding="utf-8"?>
<queryTable xmlns="http://schemas.openxmlformats.org/spreadsheetml/2006/main" name="持股分佈_76" backgroundRefresh="0" growShrinkType="overwriteClear" preserveFormatting="0" adjustColumnWidth="0" connectionId="50" autoFormatId="16" applyNumberFormats="0" applyBorderFormats="0" applyFontFormats="1" applyPatternFormats="1" applyAlignmentFormats="0" applyWidthHeightFormats="0"/>
</file>

<file path=xl/queryTables/queryTable115.xml><?xml version="1.0" encoding="utf-8"?>
<queryTable xmlns="http://schemas.openxmlformats.org/spreadsheetml/2006/main" name="持股分佈_63" backgroundRefresh="0" growShrinkType="overwriteClear" preserveFormatting="0" adjustColumnWidth="0" connectionId="35" autoFormatId="16" applyNumberFormats="0" applyBorderFormats="0" applyFontFormats="1" applyPatternFormats="1" applyAlignmentFormats="0" applyWidthHeightFormats="0"/>
</file>

<file path=xl/queryTables/queryTable116.xml><?xml version="1.0" encoding="utf-8"?>
<queryTable xmlns="http://schemas.openxmlformats.org/spreadsheetml/2006/main" name="持股分佈_55" backgroundRefresh="0" growShrinkType="overwriteClear" preserveFormatting="0" adjustColumnWidth="0" connectionId="23" autoFormatId="16" applyNumberFormats="0" applyBorderFormats="0" applyFontFormats="1" applyPatternFormats="1" applyAlignmentFormats="0" applyWidthHeightFormats="0"/>
</file>

<file path=xl/queryTables/queryTable117.xml><?xml version="1.0" encoding="utf-8"?>
<queryTable xmlns="http://schemas.openxmlformats.org/spreadsheetml/2006/main" name="持股分佈_4" backgroundRefresh="0" growShrinkType="overwriteClear" preserveFormatting="0" adjustColumnWidth="0" connectionId="30" autoFormatId="16" applyNumberFormats="0" applyBorderFormats="0" applyFontFormats="1" applyPatternFormats="1" applyAlignmentFormats="0" applyWidthHeightFormats="0"/>
</file>

<file path=xl/queryTables/queryTable118.xml><?xml version="1.0" encoding="utf-8"?>
<queryTable xmlns="http://schemas.openxmlformats.org/spreadsheetml/2006/main" name="持股分佈_103" backgroundRefresh="0" growShrinkType="overwriteClear" preserveFormatting="0" adjustColumnWidth="0" connectionId="111" autoFormatId="16" applyNumberFormats="0" applyBorderFormats="0" applyFontFormats="1" applyPatternFormats="1" applyAlignmentFormats="0" applyWidthHeightFormats="0"/>
</file>

<file path=xl/queryTables/queryTable119.xml><?xml version="1.0" encoding="utf-8"?>
<queryTable xmlns="http://schemas.openxmlformats.org/spreadsheetml/2006/main" name="持股分佈_85" backgroundRefresh="0" growShrinkType="overwriteClear" preserveFormatting="0" adjustColumnWidth="0" connectionId="62" autoFormatId="16" applyNumberFormats="0" applyBorderFormats="0" applyFontFormats="1" applyPatternFormats="1" applyAlignmentFormats="0" applyWidthHeightFormats="0"/>
</file>

<file path=xl/queryTables/queryTable120.xml><?xml version="1.0" encoding="utf-8"?>
<queryTable xmlns="http://schemas.openxmlformats.org/spreadsheetml/2006/main" name="持股分佈_105" backgroundRefresh="0" growShrinkType="overwriteClear" preserveFormatting="0" adjustColumnWidth="0" connectionId="116" autoFormatId="16" applyNumberFormats="0" applyBorderFormats="0" applyFontFormats="1" applyPatternFormats="1" applyAlignmentFormats="0" applyWidthHeightFormats="0"/>
</file>

<file path=xl/queryTables/queryTable121.xml><?xml version="1.0" encoding="utf-8"?>
<queryTable xmlns="http://schemas.openxmlformats.org/spreadsheetml/2006/main" name="持股分佈_123" backgroundRefresh="0" growShrinkType="overwriteClear" preserveFormatting="0" adjustColumnWidth="0" connectionId="156" autoFormatId="16" applyNumberFormats="0" applyBorderFormats="0" applyFontFormats="1" applyPatternFormats="1" applyAlignmentFormats="0" applyWidthHeightFormats="0"/>
</file>

<file path=xl/queryTables/queryTable122.xml><?xml version="1.0" encoding="utf-8"?>
<queryTable xmlns="http://schemas.openxmlformats.org/spreadsheetml/2006/main" name="持股分佈_84" backgroundRefresh="0" growShrinkType="overwriteClear" preserveFormatting="0" adjustColumnWidth="0" connectionId="61" autoFormatId="16" applyNumberFormats="0" applyBorderFormats="0" applyFontFormats="1" applyPatternFormats="1" applyAlignmentFormats="0" applyWidthHeightFormats="0"/>
</file>

<file path=xl/queryTables/queryTable123.xml><?xml version="1.0" encoding="utf-8"?>
<queryTable xmlns="http://schemas.openxmlformats.org/spreadsheetml/2006/main" name="持股分佈_3" backgroundRefresh="0" growShrinkType="overwriteClear" preserveFormatting="0" adjustColumnWidth="0" connectionId="3" autoFormatId="16" applyNumberFormats="0" applyBorderFormats="0" applyFontFormats="1" applyPatternFormats="1" applyAlignmentFormats="0" applyWidthHeightFormats="0"/>
</file>

<file path=xl/queryTables/queryTable124.xml><?xml version="1.0" encoding="utf-8"?>
<queryTable xmlns="http://schemas.openxmlformats.org/spreadsheetml/2006/main" name="持股分佈_26" backgroundRefresh="0" growShrinkType="overwriteClear" preserveFormatting="0" adjustColumnWidth="0" connectionId="215" autoFormatId="16" applyNumberFormats="0" applyBorderFormats="0" applyFontFormats="1" applyPatternFormats="1" applyAlignmentFormats="0" applyWidthHeightFormats="0"/>
</file>

<file path=xl/queryTables/queryTable125.xml><?xml version="1.0" encoding="utf-8"?>
<queryTable xmlns="http://schemas.openxmlformats.org/spreadsheetml/2006/main" name="持股分佈_20" backgroundRefresh="0" growShrinkType="overwriteClear" preserveFormatting="0" adjustColumnWidth="0" connectionId="197" autoFormatId="16" applyNumberFormats="0" applyBorderFormats="0" applyFontFormats="1" applyPatternFormats="1" applyAlignmentFormats="0" applyWidthHeightFormats="0"/>
</file>

<file path=xl/queryTables/queryTable126.xml><?xml version="1.0" encoding="utf-8"?>
<queryTable xmlns="http://schemas.openxmlformats.org/spreadsheetml/2006/main" name="持股分佈_113" backgroundRefresh="0" growShrinkType="overwriteClear" preserveFormatting="0" adjustColumnWidth="0" connectionId="144" autoFormatId="16" applyNumberFormats="0" applyBorderFormats="0" applyFontFormats="1" applyPatternFormats="1" applyAlignmentFormats="0" applyWidthHeightFormats="0"/>
</file>

<file path=xl/queryTables/queryTable127.xml><?xml version="1.0" encoding="utf-8"?>
<queryTable xmlns="http://schemas.openxmlformats.org/spreadsheetml/2006/main" name="持股分佈_122" backgroundRefresh="0" growShrinkType="overwriteClear" preserveFormatting="0" adjustColumnWidth="0" connectionId="155" autoFormatId="16" applyNumberFormats="0" applyBorderFormats="0" applyFontFormats="1" applyPatternFormats="1" applyAlignmentFormats="0" applyWidthHeightFormats="0"/>
</file>

<file path=xl/queryTables/queryTable128.xml><?xml version="1.0" encoding="utf-8"?>
<queryTable xmlns="http://schemas.openxmlformats.org/spreadsheetml/2006/main" name="持股分佈_28" backgroundRefresh="0" growShrinkType="overwriteClear" preserveFormatting="0" adjustColumnWidth="0" connectionId="218" autoFormatId="16" applyNumberFormats="0" applyBorderFormats="0" applyFontFormats="1" applyPatternFormats="1" applyAlignmentFormats="0" applyWidthHeightFormats="0"/>
</file>

<file path=xl/queryTables/queryTable129.xml><?xml version="1.0" encoding="utf-8"?>
<queryTable xmlns="http://schemas.openxmlformats.org/spreadsheetml/2006/main" name="持股分佈_106" backgroundRefresh="0" growShrinkType="overwriteClear" preserveFormatting="0" adjustColumnWidth="0" connectionId="117" autoFormatId="16" applyNumberFormats="0" applyBorderFormats="0" applyFontFormats="1" applyPatternFormats="1" applyAlignmentFormats="0" applyWidthHeightFormats="0"/>
</file>

<file path=xl/queryTables/queryTable130.xml><?xml version="1.0" encoding="utf-8"?>
<queryTable xmlns="http://schemas.openxmlformats.org/spreadsheetml/2006/main" name="持股分佈_1" backgroundRefresh="0" growShrinkType="overwriteClear" preserveFormatting="0" adjustColumnWidth="0" connectionId="252" autoFormatId="16" applyNumberFormats="0" applyBorderFormats="0" applyFontFormats="1" applyPatternFormats="1" applyAlignmentFormats="0" applyWidthHeightFormats="0"/>
</file>

<file path=xl/queryTables/queryTable131.xml><?xml version="1.0" encoding="utf-8"?>
<queryTable xmlns="http://schemas.openxmlformats.org/spreadsheetml/2006/main" name="外部資料_138" headers="0" growShrinkType="overwriteClear" fillFormulas="1" connectionId="173" autoFormatId="16" applyNumberFormats="0" applyBorderFormats="0" applyFontFormats="1" applyPatternFormats="1" applyAlignmentFormats="0" applyWidthHeightFormats="0"/>
</file>

<file path=xl/queryTables/queryTable132.xml><?xml version="1.0" encoding="utf-8"?>
<queryTable xmlns="http://schemas.openxmlformats.org/spreadsheetml/2006/main" name="外部資料_137" headers="0" growShrinkType="overwriteClear" fillFormulas="1" connectionId="170" autoFormatId="16" applyNumberFormats="0" applyBorderFormats="0" applyFontFormats="1" applyPatternFormats="1" applyAlignmentFormats="0" applyWidthHeightFormats="0"/>
</file>

<file path=xl/queryTables/queryTable133.xml><?xml version="1.0" encoding="utf-8"?>
<queryTable xmlns="http://schemas.openxmlformats.org/spreadsheetml/2006/main" name="外部資料_750" headers="0" growShrinkType="insertClear" fillFormulas="1" connectionId="127" autoFormatId="16" applyNumberFormats="0" applyBorderFormats="0" applyFontFormats="1" applyPatternFormats="1" applyAlignmentFormats="0" applyWidthHeightFormats="0"/>
</file>

<file path=xl/queryTables/queryTable134.xml><?xml version="1.0" encoding="utf-8"?>
<queryTable xmlns="http://schemas.openxmlformats.org/spreadsheetml/2006/main" name="外部資料_749" headers="0" growShrinkType="insertClear" fillFormulas="1" connectionId="125" autoFormatId="16" applyNumberFormats="0" applyBorderFormats="0" applyFontFormats="1" applyPatternFormats="1" applyAlignmentFormats="0" applyWidthHeightFormats="0"/>
</file>

<file path=xl/queryTables/queryTable135.xml><?xml version="1.0" encoding="utf-8"?>
<queryTable xmlns="http://schemas.openxmlformats.org/spreadsheetml/2006/main" name="外部資料_748" headers="0" growShrinkType="insertClear" fillFormulas="1" connectionId="122" autoFormatId="16" applyNumberFormats="0" applyBorderFormats="0" applyFontFormats="1" applyPatternFormats="1" applyAlignmentFormats="0" applyWidthHeightFormats="0"/>
</file>

<file path=xl/queryTables/queryTable136.xml><?xml version="1.0" encoding="utf-8"?>
<queryTable xmlns="http://schemas.openxmlformats.org/spreadsheetml/2006/main" name="外部資料_753" headers="0" growShrinkType="insertClear" fillFormulas="1" connectionId="131" autoFormatId="16" applyNumberFormats="0" applyBorderFormats="0" applyFontFormats="1" applyPatternFormats="1" applyAlignmentFormats="0" applyWidthHeightFormats="0"/>
</file>

<file path=xl/queryTables/queryTable137.xml><?xml version="1.0" encoding="utf-8"?>
<queryTable xmlns="http://schemas.openxmlformats.org/spreadsheetml/2006/main" name="外部資料_752" headers="0" growShrinkType="insertClear" fillFormulas="1" connectionId="129" autoFormatId="16" applyNumberFormats="0" applyBorderFormats="0" applyFontFormats="1" applyPatternFormats="1" applyAlignmentFormats="0" applyWidthHeightFormats="0"/>
</file>

<file path=xl/queryTables/queryTable138.xml><?xml version="1.0" encoding="utf-8"?>
<queryTable xmlns="http://schemas.openxmlformats.org/spreadsheetml/2006/main" name="外部資料_754" headers="0" growShrinkType="insertClear" fillFormulas="1" connectionId="132" autoFormatId="16" applyNumberFormats="0" applyBorderFormats="0" applyFontFormats="1" applyPatternFormats="1" applyAlignmentFormats="0" applyWidthHeightFormats="0"/>
</file>

<file path=xl/queryTables/queryTable139.xml><?xml version="1.0" encoding="utf-8"?>
<queryTable xmlns="http://schemas.openxmlformats.org/spreadsheetml/2006/main" name="外部資料_600" headers="0" growShrinkType="insertClear" fillFormulas="1" connectionId="139" autoFormatId="16" applyNumberFormats="0" applyBorderFormats="0" applyFontFormats="1" applyPatternFormats="1" applyAlignmentFormats="0" applyWidthHeightFormats="0"/>
</file>

<file path=xl/queryTables/queryTable140.xml><?xml version="1.0" encoding="utf-8"?>
<queryTable xmlns="http://schemas.openxmlformats.org/spreadsheetml/2006/main" name="外部資料_599" headers="0" growShrinkType="insertClear" fillFormulas="1" connectionId="136" autoFormatId="16" applyNumberFormats="0" applyBorderFormats="0" applyFontFormats="1" applyPatternFormats="1" applyAlignmentFormats="0" applyWidthHeightFormats="0"/>
</file>

<file path=xl/queryTables/queryTable141.xml><?xml version="1.0" encoding="utf-8"?>
<queryTable xmlns="http://schemas.openxmlformats.org/spreadsheetml/2006/main" name="外部資料_598" headers="0" growShrinkType="insertClear" fillFormulas="1" connectionId="133" autoFormatId="16" applyNumberFormats="0" applyBorderFormats="0" applyFontFormats="1" applyPatternFormats="1" applyAlignmentFormats="0" applyWidthHeightFormats="0"/>
</file>

<file path=xl/queryTables/queryTable142.xml><?xml version="1.0" encoding="utf-8"?>
<queryTable xmlns="http://schemas.openxmlformats.org/spreadsheetml/2006/main" name="外部資料_300" headers="0" backgroundRefresh="0" growShrinkType="overwriteClear" removeDataOnSave="1" preserveFormatting="0" adjustColumnWidth="0" connectionId="82" autoFormatId="16" applyNumberFormats="0" applyBorderFormats="0" applyFontFormats="1" applyPatternFormats="1" applyAlignmentFormats="0" applyWidthHeightFormats="0"/>
</file>

<file path=xl/queryTables/queryTable143.xml><?xml version="1.0" encoding="utf-8"?>
<queryTable xmlns="http://schemas.openxmlformats.org/spreadsheetml/2006/main" name="外部資料_320" headers="0" backgroundRefresh="0" growShrinkType="overwriteClear" removeDataOnSave="1" preserveFormatting="0" adjustColumnWidth="0" connectionId="105" autoFormatId="16" applyNumberFormats="0" applyBorderFormats="0" applyFontFormats="1" applyPatternFormats="1" applyAlignmentFormats="0" applyWidthHeightFormats="0"/>
</file>

<file path=xl/queryTables/queryTable144.xml><?xml version="1.0" encoding="utf-8"?>
<queryTable xmlns="http://schemas.openxmlformats.org/spreadsheetml/2006/main" name="外部資料_311" headers="0" backgroundRefresh="0" growShrinkType="overwriteClear" removeDataOnSave="1" preserveFormatting="0" adjustColumnWidth="0" connectionId="94" autoFormatId="16" applyNumberFormats="0" applyBorderFormats="0" applyFontFormats="1" applyPatternFormats="1" applyAlignmentFormats="0" applyWidthHeightFormats="0"/>
</file>

<file path=xl/queryTables/queryTable145.xml><?xml version="1.0" encoding="utf-8"?>
<queryTable xmlns="http://schemas.openxmlformats.org/spreadsheetml/2006/main" name="外部資料_331" headers="0" backgroundRefresh="0" growShrinkType="overwriteClear" removeDataOnSave="1" preserveFormatting="0" adjustColumnWidth="0" connectionId="225" autoFormatId="16" applyNumberFormats="0" applyBorderFormats="0" applyFontFormats="1" applyPatternFormats="1" applyAlignmentFormats="0" applyWidthHeightFormats="0"/>
</file>

<file path=xl/queryTables/queryTable146.xml><?xml version="1.0" encoding="utf-8"?>
<queryTable xmlns="http://schemas.openxmlformats.org/spreadsheetml/2006/main" name="外部資料_341" headers="0" backgroundRefresh="0" growShrinkType="overwriteClear" removeDataOnSave="1" preserveFormatting="0" adjustColumnWidth="0" connectionId="246" autoFormatId="16" applyNumberFormats="0" applyBorderFormats="0" applyFontFormats="1" applyPatternFormats="1" applyAlignmentFormats="0" applyWidthHeightFormats="0"/>
</file>

<file path=xl/queryTables/queryTable147.xml><?xml version="1.0" encoding="utf-8"?>
<queryTable xmlns="http://schemas.openxmlformats.org/spreadsheetml/2006/main" name="外部資料_308" headers="0" backgroundRefresh="0" growShrinkType="overwriteClear" removeDataOnSave="1" preserveFormatting="0" adjustColumnWidth="0" connectionId="91" autoFormatId="16" applyNumberFormats="0" applyBorderFormats="0" applyFontFormats="1" applyPatternFormats="1" applyAlignmentFormats="0" applyWidthHeightFormats="0"/>
</file>

<file path=xl/queryTables/queryTable148.xml><?xml version="1.0" encoding="utf-8"?>
<queryTable xmlns="http://schemas.openxmlformats.org/spreadsheetml/2006/main" name="外部資料_328" headers="0" backgroundRefresh="0" growShrinkType="overwriteClear" removeDataOnSave="1" preserveFormatting="0" adjustColumnWidth="0" connectionId="114" autoFormatId="16" applyNumberFormats="0" applyBorderFormats="0" applyFontFormats="1" applyPatternFormats="1" applyAlignmentFormats="0" applyWidthHeightFormats="0"/>
</file>

<file path=xl/queryTables/queryTable149.xml><?xml version="1.0" encoding="utf-8"?>
<queryTable xmlns="http://schemas.openxmlformats.org/spreadsheetml/2006/main" name="外部資料_340" headers="0" backgroundRefresh="0" growShrinkType="overwriteClear" removeDataOnSave="1" preserveFormatting="0" adjustColumnWidth="0" connectionId="245" autoFormatId="16" applyNumberFormats="0" applyBorderFormats="0" applyFontFormats="1" applyPatternFormats="1" applyAlignmentFormats="0" applyWidthHeightFormats="0"/>
</file>

<file path=xl/queryTables/queryTable150.xml><?xml version="1.0" encoding="utf-8"?>
<queryTable xmlns="http://schemas.openxmlformats.org/spreadsheetml/2006/main" name="外部資料_332" headers="0" backgroundRefresh="0" growShrinkType="overwriteClear" removeDataOnSave="1" preserveFormatting="0" adjustColumnWidth="0" connectionId="228" autoFormatId="16" applyNumberFormats="0" applyBorderFormats="0" applyFontFormats="1" applyPatternFormats="1" applyAlignmentFormats="0" applyWidthHeightFormats="0"/>
</file>

<file path=xl/queryTables/queryTable151.xml><?xml version="1.0" encoding="utf-8"?>
<queryTable xmlns="http://schemas.openxmlformats.org/spreadsheetml/2006/main" name="外部資料_327" headers="0" backgroundRefresh="0" growShrinkType="overwriteClear" removeDataOnSave="1" preserveFormatting="0" adjustColumnWidth="0" connectionId="113" autoFormatId="16" applyNumberFormats="0" applyBorderFormats="0" applyFontFormats="1" applyPatternFormats="1" applyAlignmentFormats="0" applyWidthHeightFormats="0"/>
</file>

<file path=xl/queryTables/queryTable152.xml><?xml version="1.0" encoding="utf-8"?>
<queryTable xmlns="http://schemas.openxmlformats.org/spreadsheetml/2006/main" name="外部資料_318" headers="0" backgroundRefresh="0" growShrinkType="overwriteClear" removeDataOnSave="1" preserveFormatting="0" adjustColumnWidth="0" connectionId="103" autoFormatId="16" applyNumberFormats="0" applyBorderFormats="0" applyFontFormats="1" applyPatternFormats="1" applyAlignmentFormats="0" applyWidthHeightFormats="0"/>
</file>

<file path=xl/queryTables/queryTable153.xml><?xml version="1.0" encoding="utf-8"?>
<queryTable xmlns="http://schemas.openxmlformats.org/spreadsheetml/2006/main" name="外部資料_306" headers="0" backgroundRefresh="0" growShrinkType="overwriteClear" removeDataOnSave="1" preserveFormatting="0" adjustColumnWidth="0" connectionId="88" autoFormatId="16" applyNumberFormats="0" applyBorderFormats="0" applyFontFormats="1" applyPatternFormats="1" applyAlignmentFormats="0" applyWidthHeightFormats="0"/>
</file>

<file path=xl/queryTables/queryTable154.xml><?xml version="1.0" encoding="utf-8"?>
<queryTable xmlns="http://schemas.openxmlformats.org/spreadsheetml/2006/main" name="外部資料_315" headers="0" backgroundRefresh="0" growShrinkType="overwriteClear" removeDataOnSave="1" preserveFormatting="0" adjustColumnWidth="0" connectionId="99" autoFormatId="16" applyNumberFormats="0" applyBorderFormats="0" applyFontFormats="1" applyPatternFormats="1" applyAlignmentFormats="0" applyWidthHeightFormats="0"/>
</file>

<file path=xl/queryTables/queryTable155.xml><?xml version="1.0" encoding="utf-8"?>
<queryTable xmlns="http://schemas.openxmlformats.org/spreadsheetml/2006/main" name="外部資料_302" headers="0" backgroundRefresh="0" growShrinkType="overwriteClear" removeDataOnSave="1" preserveFormatting="0" adjustColumnWidth="0" connectionId="84" autoFormatId="16" applyNumberFormats="0" applyBorderFormats="0" applyFontFormats="1" applyPatternFormats="1" applyAlignmentFormats="0" applyWidthHeightFormats="0"/>
</file>

<file path=xl/queryTables/queryTable156.xml><?xml version="1.0" encoding="utf-8"?>
<queryTable xmlns="http://schemas.openxmlformats.org/spreadsheetml/2006/main" name="外部資料_352" headers="0" backgroundRefresh="0" growShrinkType="overwriteClear" removeDataOnSave="1" preserveFormatting="0" adjustColumnWidth="0" connectionId="276" autoFormatId="16" applyNumberFormats="0" applyBorderFormats="0" applyFontFormats="1" applyPatternFormats="1" applyAlignmentFormats="0" applyWidthHeightFormats="0"/>
</file>

<file path=xl/queryTables/queryTable157.xml><?xml version="1.0" encoding="utf-8"?>
<queryTable xmlns="http://schemas.openxmlformats.org/spreadsheetml/2006/main" name="外部資料_337" headers="0" backgroundRefresh="0" growShrinkType="overwriteClear" removeDataOnSave="1" preserveFormatting="0" adjustColumnWidth="0" connectionId="237" autoFormatId="16" applyNumberFormats="0" applyBorderFormats="0" applyFontFormats="1" applyPatternFormats="1" applyAlignmentFormats="0" applyWidthHeightFormats="0"/>
</file>

<file path=xl/queryTables/queryTable158.xml><?xml version="1.0" encoding="utf-8"?>
<queryTable xmlns="http://schemas.openxmlformats.org/spreadsheetml/2006/main" name="外部資料_343" headers="0" backgroundRefresh="0" growShrinkType="overwriteClear" removeDataOnSave="1" preserveFormatting="0" adjustColumnWidth="0" connectionId="249" autoFormatId="16" applyNumberFormats="0" applyBorderFormats="0" applyFontFormats="1" applyPatternFormats="1" applyAlignmentFormats="0" applyWidthHeightFormats="0"/>
</file>

<file path=xl/queryTables/queryTable159.xml><?xml version="1.0" encoding="utf-8"?>
<queryTable xmlns="http://schemas.openxmlformats.org/spreadsheetml/2006/main" name="外部資料_330" headers="0" backgroundRefresh="0" growShrinkType="overwriteClear" removeDataOnSave="1" preserveFormatting="0" adjustColumnWidth="0" connectionId="224" autoFormatId="16" applyNumberFormats="0" applyBorderFormats="0" applyFontFormats="1" applyPatternFormats="1" applyAlignmentFormats="0" applyWidthHeightFormats="0"/>
</file>

<file path=xl/queryTables/queryTable160.xml><?xml version="1.0" encoding="utf-8"?>
<queryTable xmlns="http://schemas.openxmlformats.org/spreadsheetml/2006/main" name="外部資料_322" headers="0" backgroundRefresh="0" growShrinkType="overwriteClear" removeDataOnSave="1" preserveFormatting="0" adjustColumnWidth="0" connectionId="107" autoFormatId="16" applyNumberFormats="0" applyBorderFormats="0" applyFontFormats="1" applyPatternFormats="1" applyAlignmentFormats="0" applyWidthHeightFormats="0"/>
</file>

<file path=xl/queryTables/queryTable161.xml><?xml version="1.0" encoding="utf-8"?>
<queryTable xmlns="http://schemas.openxmlformats.org/spreadsheetml/2006/main" name="外部資料_336" headers="0" backgroundRefresh="0" growShrinkType="overwriteClear" removeDataOnSave="1" preserveFormatting="0" adjustColumnWidth="0" connectionId="233" autoFormatId="16" applyNumberFormats="0" applyBorderFormats="0" applyFontFormats="1" applyPatternFormats="1" applyAlignmentFormats="0" applyWidthHeightFormats="0"/>
</file>

<file path=xl/queryTables/queryTable162.xml><?xml version="1.0" encoding="utf-8"?>
<queryTable xmlns="http://schemas.openxmlformats.org/spreadsheetml/2006/main" name="外部資料_346" headers="0" backgroundRefresh="0" growShrinkType="overwriteClear" removeDataOnSave="1" preserveFormatting="0" adjustColumnWidth="0" connectionId="257" autoFormatId="16" applyNumberFormats="0" applyBorderFormats="0" applyFontFormats="1" applyPatternFormats="1" applyAlignmentFormats="0" applyWidthHeightFormats="0"/>
</file>

<file path=xl/queryTables/queryTable163.xml><?xml version="1.0" encoding="utf-8"?>
<queryTable xmlns="http://schemas.openxmlformats.org/spreadsheetml/2006/main" name="外部資料_323" headers="0" backgroundRefresh="0" growShrinkType="overwriteClear" removeDataOnSave="1" preserveFormatting="0" adjustColumnWidth="0" connectionId="108" autoFormatId="16" applyNumberFormats="0" applyBorderFormats="0" applyFontFormats="1" applyPatternFormats="1" applyAlignmentFormats="0" applyWidthHeightFormats="0"/>
</file>

<file path=xl/queryTables/queryTable164.xml><?xml version="1.0" encoding="utf-8"?>
<queryTable xmlns="http://schemas.openxmlformats.org/spreadsheetml/2006/main" name="外部資料_342" headers="0" backgroundRefresh="0" growShrinkType="overwriteClear" removeDataOnSave="1" preserveFormatting="0" adjustColumnWidth="0" connectionId="248" autoFormatId="16" applyNumberFormats="0" applyBorderFormats="0" applyFontFormats="1" applyPatternFormats="1" applyAlignmentFormats="0" applyWidthHeightFormats="0"/>
</file>

<file path=xl/queryTables/queryTable165.xml><?xml version="1.0" encoding="utf-8"?>
<queryTable xmlns="http://schemas.openxmlformats.org/spreadsheetml/2006/main" name="外部資料_344" headers="0" backgroundRefresh="0" growShrinkType="overwriteClear" removeDataOnSave="1" preserveFormatting="0" adjustColumnWidth="0" connectionId="255" autoFormatId="16" applyNumberFormats="0" applyBorderFormats="0" applyFontFormats="1" applyPatternFormats="1" applyAlignmentFormats="0" applyWidthHeightFormats="0"/>
</file>

<file path=xl/queryTables/queryTable166.xml><?xml version="1.0" encoding="utf-8"?>
<queryTable xmlns="http://schemas.openxmlformats.org/spreadsheetml/2006/main" name="外部資料_329" headers="0" backgroundRefresh="0" growShrinkType="overwriteClear" removeDataOnSave="1" preserveFormatting="0" adjustColumnWidth="0" connectionId="220" autoFormatId="16" applyNumberFormats="0" applyBorderFormats="0" applyFontFormats="1" applyPatternFormats="1" applyAlignmentFormats="0" applyWidthHeightFormats="0"/>
</file>

<file path=xl/queryTables/queryTable167.xml><?xml version="1.0" encoding="utf-8"?>
<queryTable xmlns="http://schemas.openxmlformats.org/spreadsheetml/2006/main" name="外部資料_301" headers="0" backgroundRefresh="0" growShrinkType="overwriteClear" removeDataOnSave="1" preserveFormatting="0" adjustColumnWidth="0" connectionId="83" autoFormatId="16" applyNumberFormats="0" applyBorderFormats="0" applyFontFormats="1" applyPatternFormats="1" applyAlignmentFormats="0" applyWidthHeightFormats="0"/>
</file>

<file path=xl/queryTables/queryTable168.xml><?xml version="1.0" encoding="utf-8"?>
<queryTable xmlns="http://schemas.openxmlformats.org/spreadsheetml/2006/main" name="外部資料_312" headers="0" backgroundRefresh="0" growShrinkType="overwriteClear" removeDataOnSave="1" preserveFormatting="0" adjustColumnWidth="0" connectionId="95" autoFormatId="16" applyNumberFormats="0" applyBorderFormats="0" applyFontFormats="1" applyPatternFormats="1" applyAlignmentFormats="0" applyWidthHeightFormats="0"/>
</file>

<file path=xl/queryTables/queryTable169.xml><?xml version="1.0" encoding="utf-8"?>
<queryTable xmlns="http://schemas.openxmlformats.org/spreadsheetml/2006/main" name="外部資料_310" headers="0" backgroundRefresh="0" growShrinkType="overwriteClear" removeDataOnSave="1" preserveFormatting="0" adjustColumnWidth="0" connectionId="93" autoFormatId="16" applyNumberFormats="0" applyBorderFormats="0" applyFontFormats="1" applyPatternFormats="1" applyAlignmentFormats="0" applyWidthHeightFormats="0"/>
</file>

<file path=xl/queryTables/queryTable170.xml><?xml version="1.0" encoding="utf-8"?>
<queryTable xmlns="http://schemas.openxmlformats.org/spreadsheetml/2006/main" name="外部資料_317" headers="0" backgroundRefresh="0" growShrinkType="overwriteClear" removeDataOnSave="1" preserveFormatting="0" adjustColumnWidth="0" connectionId="102" autoFormatId="16" applyNumberFormats="0" applyBorderFormats="0" applyFontFormats="1" applyPatternFormats="1" applyAlignmentFormats="0" applyWidthHeightFormats="0"/>
</file>

<file path=xl/queryTables/queryTable171.xml><?xml version="1.0" encoding="utf-8"?>
<queryTable xmlns="http://schemas.openxmlformats.org/spreadsheetml/2006/main" name="外部資料_353" headers="0" backgroundRefresh="0" growShrinkType="overwriteClear" removeDataOnSave="1" preserveFormatting="0" adjustColumnWidth="0" connectionId="277" autoFormatId="16" applyNumberFormats="0" applyBorderFormats="0" applyFontFormats="1" applyPatternFormats="1" applyAlignmentFormats="0" applyWidthHeightFormats="0"/>
</file>

<file path=xl/queryTables/queryTable172.xml><?xml version="1.0" encoding="utf-8"?>
<queryTable xmlns="http://schemas.openxmlformats.org/spreadsheetml/2006/main" name="外部資料_349" headers="0" backgroundRefresh="0" growShrinkType="overwriteClear" removeDataOnSave="1" preserveFormatting="0" adjustColumnWidth="0" connectionId="266" autoFormatId="16" applyNumberFormats="0" applyBorderFormats="0" applyFontFormats="1" applyPatternFormats="1" applyAlignmentFormats="0" applyWidthHeightFormats="0"/>
</file>

<file path=xl/queryTables/queryTable173.xml><?xml version="1.0" encoding="utf-8"?>
<queryTable xmlns="http://schemas.openxmlformats.org/spreadsheetml/2006/main" name="外部資料_354" headers="0" backgroundRefresh="0" growShrinkType="overwriteClear" removeDataOnSave="1" preserveFormatting="0" adjustColumnWidth="0" connectionId="279" autoFormatId="16" applyNumberFormats="0" applyBorderFormats="0" applyFontFormats="1" applyPatternFormats="1" applyAlignmentFormats="0" applyWidthHeightFormats="0"/>
</file>

<file path=xl/queryTables/queryTable174.xml><?xml version="1.0" encoding="utf-8"?>
<queryTable xmlns="http://schemas.openxmlformats.org/spreadsheetml/2006/main" name="外部資料_351" headers="0" backgroundRefresh="0" growShrinkType="overwriteClear" removeDataOnSave="1" preserveFormatting="0" adjustColumnWidth="0" connectionId="275" autoFormatId="16" applyNumberFormats="0" applyBorderFormats="0" applyFontFormats="1" applyPatternFormats="1" applyAlignmentFormats="0" applyWidthHeightFormats="0"/>
</file>

<file path=xl/queryTables/queryTable175.xml><?xml version="1.0" encoding="utf-8"?>
<queryTable xmlns="http://schemas.openxmlformats.org/spreadsheetml/2006/main" name="外部資料_338" headers="0" backgroundRefresh="0" growShrinkType="overwriteClear" removeDataOnSave="1" preserveFormatting="0" adjustColumnWidth="0" connectionId="239" autoFormatId="16" applyNumberFormats="0" applyBorderFormats="0" applyFontFormats="1" applyPatternFormats="1" applyAlignmentFormats="0" applyWidthHeightFormats="0"/>
</file>

<file path=xl/queryTables/queryTable176.xml><?xml version="1.0" encoding="utf-8"?>
<queryTable xmlns="http://schemas.openxmlformats.org/spreadsheetml/2006/main" name="外部資料_333" headers="0" backgroundRefresh="0" growShrinkType="overwriteClear" removeDataOnSave="1" preserveFormatting="0" adjustColumnWidth="0" connectionId="229" autoFormatId="16" applyNumberFormats="0" applyBorderFormats="0" applyFontFormats="1" applyPatternFormats="1" applyAlignmentFormats="0" applyWidthHeightFormats="0"/>
</file>

<file path=xl/queryTables/queryTable177.xml><?xml version="1.0" encoding="utf-8"?>
<queryTable xmlns="http://schemas.openxmlformats.org/spreadsheetml/2006/main" name="外部資料_350" headers="0" backgroundRefresh="0" growShrinkType="overwriteClear" removeDataOnSave="1" preserveFormatting="0" adjustColumnWidth="0" connectionId="271" autoFormatId="16" applyNumberFormats="0" applyBorderFormats="0" applyFontFormats="1" applyPatternFormats="1" applyAlignmentFormats="0" applyWidthHeightFormats="0"/>
</file>

<file path=xl/queryTables/queryTable178.xml><?xml version="1.0" encoding="utf-8"?>
<queryTable xmlns="http://schemas.openxmlformats.org/spreadsheetml/2006/main" name="外部資料_339" headers="0" backgroundRefresh="0" growShrinkType="overwriteClear" removeDataOnSave="1" preserveFormatting="0" adjustColumnWidth="0" connectionId="241" autoFormatId="16" applyNumberFormats="0" applyBorderFormats="0" applyFontFormats="1" applyPatternFormats="1" applyAlignmentFormats="0" applyWidthHeightFormats="0"/>
</file>

<file path=xl/queryTables/queryTable179.xml><?xml version="1.0" encoding="utf-8"?>
<queryTable xmlns="http://schemas.openxmlformats.org/spreadsheetml/2006/main" name="外部資料_309" headers="0" backgroundRefresh="0" growShrinkType="overwriteClear" removeDataOnSave="1" preserveFormatting="0" adjustColumnWidth="0" connectionId="92" autoFormatId="16" applyNumberFormats="0" applyBorderFormats="0" applyFontFormats="1" applyPatternFormats="1" applyAlignmentFormats="0" applyWidthHeightFormats="0"/>
</file>

<file path=xl/queryTables/queryTable180.xml><?xml version="1.0" encoding="utf-8"?>
<queryTable xmlns="http://schemas.openxmlformats.org/spreadsheetml/2006/main" name="外部資料_347" headers="0" backgroundRefresh="0" growShrinkType="overwriteClear" removeDataOnSave="1" preserveFormatting="0" adjustColumnWidth="0" connectionId="260" autoFormatId="16" applyNumberFormats="0" applyBorderFormats="0" applyFontFormats="1" applyPatternFormats="1" applyAlignmentFormats="0" applyWidthHeightFormats="0"/>
</file>

<file path=xl/queryTables/queryTable181.xml><?xml version="1.0" encoding="utf-8"?>
<queryTable xmlns="http://schemas.openxmlformats.org/spreadsheetml/2006/main" name="外部資料_345" headers="0" backgroundRefresh="0" growShrinkType="overwriteClear" removeDataOnSave="1" preserveFormatting="0" adjustColumnWidth="0" connectionId="256" autoFormatId="16" applyNumberFormats="0" applyBorderFormats="0" applyFontFormats="1" applyPatternFormats="1" applyAlignmentFormats="0" applyWidthHeightFormats="0"/>
</file>

<file path=xl/queryTables/queryTable182.xml><?xml version="1.0" encoding="utf-8"?>
<queryTable xmlns="http://schemas.openxmlformats.org/spreadsheetml/2006/main" name="外部資料_307" headers="0" backgroundRefresh="0" growShrinkType="overwriteClear" removeDataOnSave="1" preserveFormatting="0" adjustColumnWidth="0" connectionId="90" autoFormatId="16" applyNumberFormats="0" applyBorderFormats="0" applyFontFormats="1" applyPatternFormats="1" applyAlignmentFormats="0" applyWidthHeightFormats="0"/>
</file>

<file path=xl/queryTables/queryTable183.xml><?xml version="1.0" encoding="utf-8"?>
<queryTable xmlns="http://schemas.openxmlformats.org/spreadsheetml/2006/main" name="外部資料_321" headers="0" backgroundRefresh="0" growShrinkType="overwriteClear" removeDataOnSave="1" preserveFormatting="0" adjustColumnWidth="0" connectionId="106" autoFormatId="16" applyNumberFormats="0" applyBorderFormats="0" applyFontFormats="1" applyPatternFormats="1" applyAlignmentFormats="0" applyWidthHeightFormats="0"/>
</file>

<file path=xl/queryTables/queryTable184.xml><?xml version="1.0" encoding="utf-8"?>
<queryTable xmlns="http://schemas.openxmlformats.org/spreadsheetml/2006/main" name="外部資料_313" headers="0" backgroundRefresh="0" growShrinkType="overwriteClear" removeDataOnSave="1" preserveFormatting="0" adjustColumnWidth="0" connectionId="97" autoFormatId="16" applyNumberFormats="0" applyBorderFormats="0" applyFontFormats="1" applyPatternFormats="1" applyAlignmentFormats="0" applyWidthHeightFormats="0"/>
</file>

<file path=xl/queryTables/queryTable185.xml><?xml version="1.0" encoding="utf-8"?>
<queryTable xmlns="http://schemas.openxmlformats.org/spreadsheetml/2006/main" name="外部資料_305" headers="0" backgroundRefresh="0" growShrinkType="overwriteClear" removeDataOnSave="1" preserveFormatting="0" adjustColumnWidth="0" connectionId="87" autoFormatId="16" applyNumberFormats="0" applyBorderFormats="0" applyFontFormats="1" applyPatternFormats="1" applyAlignmentFormats="0" applyWidthHeightFormats="0"/>
</file>

<file path=xl/queryTables/queryTable186.xml><?xml version="1.0" encoding="utf-8"?>
<queryTable xmlns="http://schemas.openxmlformats.org/spreadsheetml/2006/main" name="外部資料_316" headers="0" backgroundRefresh="0" growShrinkType="overwriteClear" removeDataOnSave="1" preserveFormatting="0" adjustColumnWidth="0" connectionId="101" autoFormatId="16" applyNumberFormats="0" applyBorderFormats="0" applyFontFormats="1" applyPatternFormats="1" applyAlignmentFormats="0" applyWidthHeightFormats="0"/>
</file>

<file path=xl/queryTables/queryTable187.xml><?xml version="1.0" encoding="utf-8"?>
<queryTable xmlns="http://schemas.openxmlformats.org/spreadsheetml/2006/main" name="外部資料_335" headers="0" backgroundRefresh="0" growShrinkType="overwriteClear" removeDataOnSave="1" preserveFormatting="0" adjustColumnWidth="0" connectionId="232" autoFormatId="16" applyNumberFormats="0" applyBorderFormats="0" applyFontFormats="1" applyPatternFormats="1" applyAlignmentFormats="0" applyWidthHeightFormats="0"/>
</file>

<file path=xl/queryTables/queryTable188.xml><?xml version="1.0" encoding="utf-8"?>
<queryTable xmlns="http://schemas.openxmlformats.org/spreadsheetml/2006/main" name="外部資料_356" headers="0" backgroundRefresh="0" growShrinkType="overwriteClear" removeDataOnSave="1" preserveFormatting="0" adjustColumnWidth="0" connectionId="281" autoFormatId="16" applyNumberFormats="0" applyBorderFormats="0" applyFontFormats="1" applyPatternFormats="1" applyAlignmentFormats="0" applyWidthHeightFormats="0"/>
</file>

<file path=xl/queryTables/queryTable189.xml><?xml version="1.0" encoding="utf-8"?>
<queryTable xmlns="http://schemas.openxmlformats.org/spreadsheetml/2006/main" name="外部資料_348" headers="0" backgroundRefresh="0" growShrinkType="overwriteClear" removeDataOnSave="1" preserveFormatting="0" adjustColumnWidth="0" connectionId="263" autoFormatId="16" applyNumberFormats="0" applyBorderFormats="0" applyFontFormats="1" applyPatternFormats="1" applyAlignmentFormats="0" applyWidthHeightFormats="0"/>
</file>

<file path=xl/queryTables/queryTable190.xml><?xml version="1.0" encoding="utf-8"?>
<queryTable xmlns="http://schemas.openxmlformats.org/spreadsheetml/2006/main" name="外部資料_355" headers="0" backgroundRefresh="0" growShrinkType="overwriteClear" removeDataOnSave="1" preserveFormatting="0" adjustColumnWidth="0" connectionId="280" autoFormatId="16" applyNumberFormats="0" applyBorderFormats="0" applyFontFormats="1" applyPatternFormats="1" applyAlignmentFormats="0" applyWidthHeightFormats="0"/>
</file>

<file path=xl/queryTables/queryTable191.xml><?xml version="1.0" encoding="utf-8"?>
<queryTable xmlns="http://schemas.openxmlformats.org/spreadsheetml/2006/main" name="外部資料_304" headers="0" backgroundRefresh="0" growShrinkType="overwriteClear" removeDataOnSave="1" preserveFormatting="0" adjustColumnWidth="0" connectionId="86" autoFormatId="16" applyNumberFormats="0" applyBorderFormats="0" applyFontFormats="1" applyPatternFormats="1" applyAlignmentFormats="0" applyWidthHeightFormats="0"/>
</file>

<file path=xl/queryTables/queryTable192.xml><?xml version="1.0" encoding="utf-8"?>
<queryTable xmlns="http://schemas.openxmlformats.org/spreadsheetml/2006/main" name="外部資料_325" headers="0" backgroundRefresh="0" growShrinkType="overwriteClear" removeDataOnSave="1" preserveFormatting="0" adjustColumnWidth="0" connectionId="110" autoFormatId="16" applyNumberFormats="0" applyBorderFormats="0" applyFontFormats="1" applyPatternFormats="1" applyAlignmentFormats="0" applyWidthHeightFormats="0"/>
</file>

<file path=xl/queryTables/queryTable193.xml><?xml version="1.0" encoding="utf-8"?>
<queryTable xmlns="http://schemas.openxmlformats.org/spreadsheetml/2006/main" name="外部資料_334" headers="0" backgroundRefresh="0" growShrinkType="overwriteClear" removeDataOnSave="1" preserveFormatting="0" adjustColumnWidth="0" connectionId="230" autoFormatId="16" applyNumberFormats="0" applyBorderFormats="0" applyFontFormats="1" applyPatternFormats="1" applyAlignmentFormats="0" applyWidthHeightFormats="0"/>
</file>

<file path=xl/queryTables/queryTable194.xml><?xml version="1.0" encoding="utf-8"?>
<queryTable xmlns="http://schemas.openxmlformats.org/spreadsheetml/2006/main" name="外部資料_319" headers="0" backgroundRefresh="0" growShrinkType="overwriteClear" removeDataOnSave="1" preserveFormatting="0" adjustColumnWidth="0" connectionId="104" autoFormatId="16" applyNumberFormats="0" applyBorderFormats="0" applyFontFormats="1" applyPatternFormats="1" applyAlignmentFormats="0" applyWidthHeightFormats="0"/>
</file>

<file path=xl/queryTables/queryTable195.xml><?xml version="1.0" encoding="utf-8"?>
<queryTable xmlns="http://schemas.openxmlformats.org/spreadsheetml/2006/main" name="外部資料_303" headers="0" backgroundRefresh="0" growShrinkType="overwriteClear" removeDataOnSave="1" preserveFormatting="0" adjustColumnWidth="0" connectionId="85" autoFormatId="16" applyNumberFormats="0" applyBorderFormats="0" applyFontFormats="1" applyPatternFormats="1" applyAlignmentFormats="0" applyWidthHeightFormats="0"/>
</file>

<file path=xl/queryTables/queryTable196.xml><?xml version="1.0" encoding="utf-8"?>
<queryTable xmlns="http://schemas.openxmlformats.org/spreadsheetml/2006/main" name="外部資料_314" headers="0" backgroundRefresh="0" growShrinkType="overwriteClear" removeDataOnSave="1" preserveFormatting="0" adjustColumnWidth="0" connectionId="98" autoFormatId="16" applyNumberFormats="0" applyBorderFormats="0" applyFontFormats="1" applyPatternFormats="1" applyAlignmentFormats="0" applyWidthHeightFormats="0"/>
</file>

<file path=xl/queryTables/queryTable197.xml><?xml version="1.0" encoding="utf-8"?>
<queryTable xmlns="http://schemas.openxmlformats.org/spreadsheetml/2006/main" name="外部資料_324" headers="0" backgroundRefresh="0" growShrinkType="overwriteClear" removeDataOnSave="1" preserveFormatting="0" adjustColumnWidth="0" connectionId="109" autoFormatId="16" applyNumberFormats="0" applyBorderFormats="0" applyFontFormats="1" applyPatternFormats="1" applyAlignmentFormats="0" applyWidthHeightFormats="0"/>
</file>

<file path=xl/queryTables/queryTable198.xml><?xml version="1.0" encoding="utf-8"?>
<queryTable xmlns="http://schemas.openxmlformats.org/spreadsheetml/2006/main" name="外部資料_326" headers="0" backgroundRefresh="0" growShrinkType="overwriteClear" removeDataOnSave="1" preserveFormatting="0" adjustColumnWidth="0" connectionId="112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ontrol" Target="../activeX/activeX2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ntrol" Target="../activeX/activeX3.xml"/><Relationship Id="rId1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drawing" Target="../drawings/drawing1.xml"/><Relationship Id="rId13" Type="http://schemas.openxmlformats.org/officeDocument/2006/relationships/control" Target="../activeX/activeX7.xml"/><Relationship Id="rId18" Type="http://schemas.openxmlformats.org/officeDocument/2006/relationships/control" Target="../activeX/activeX12.xml"/><Relationship Id="rId26" Type="http://schemas.openxmlformats.org/officeDocument/2006/relationships/control" Target="../activeX/activeX20.xml"/><Relationship Id="rId39" Type="http://schemas.openxmlformats.org/officeDocument/2006/relationships/control" Target="../activeX/activeX33.xml"/><Relationship Id="rId3" Type="http://schemas.openxmlformats.org/officeDocument/2006/relationships/hyperlink" Target="https://tw.stock.yahoo.com/pf/pfsel?stocklist=1707;" TargetMode="External"/><Relationship Id="rId21" Type="http://schemas.openxmlformats.org/officeDocument/2006/relationships/control" Target="../activeX/activeX15.xml"/><Relationship Id="rId34" Type="http://schemas.openxmlformats.org/officeDocument/2006/relationships/control" Target="../activeX/activeX28.xml"/><Relationship Id="rId42" Type="http://schemas.openxmlformats.org/officeDocument/2006/relationships/comments" Target="../comments2.xml"/><Relationship Id="rId7" Type="http://schemas.openxmlformats.org/officeDocument/2006/relationships/printerSettings" Target="../printerSettings/printerSettings2.bin"/><Relationship Id="rId12" Type="http://schemas.openxmlformats.org/officeDocument/2006/relationships/control" Target="../activeX/activeX6.xml"/><Relationship Id="rId17" Type="http://schemas.openxmlformats.org/officeDocument/2006/relationships/control" Target="../activeX/activeX11.xml"/><Relationship Id="rId25" Type="http://schemas.openxmlformats.org/officeDocument/2006/relationships/control" Target="../activeX/activeX19.xml"/><Relationship Id="rId33" Type="http://schemas.openxmlformats.org/officeDocument/2006/relationships/control" Target="../activeX/activeX27.xml"/><Relationship Id="rId38" Type="http://schemas.openxmlformats.org/officeDocument/2006/relationships/control" Target="../activeX/activeX32.xml"/><Relationship Id="rId2" Type="http://schemas.openxmlformats.org/officeDocument/2006/relationships/hyperlink" Target="https://tw.stock.yahoo.com/pf/pfsel?stocklist=1707;" TargetMode="External"/><Relationship Id="rId16" Type="http://schemas.openxmlformats.org/officeDocument/2006/relationships/control" Target="../activeX/activeX10.xml"/><Relationship Id="rId20" Type="http://schemas.openxmlformats.org/officeDocument/2006/relationships/control" Target="../activeX/activeX14.xml"/><Relationship Id="rId29" Type="http://schemas.openxmlformats.org/officeDocument/2006/relationships/control" Target="../activeX/activeX23.xml"/><Relationship Id="rId41" Type="http://schemas.openxmlformats.org/officeDocument/2006/relationships/control" Target="../activeX/activeX35.xml"/><Relationship Id="rId1" Type="http://schemas.openxmlformats.org/officeDocument/2006/relationships/hyperlink" Target="https://tw.stock.yahoo.com/q/bc?s=1707" TargetMode="External"/><Relationship Id="rId6" Type="http://schemas.openxmlformats.org/officeDocument/2006/relationships/hyperlink" Target="javascript:%20CheckP(document.orderform,%20'Z',%20'/fcgi-bin/orderpage.fcg');" TargetMode="External"/><Relationship Id="rId11" Type="http://schemas.openxmlformats.org/officeDocument/2006/relationships/control" Target="../activeX/activeX5.xml"/><Relationship Id="rId24" Type="http://schemas.openxmlformats.org/officeDocument/2006/relationships/control" Target="../activeX/activeX18.xml"/><Relationship Id="rId32" Type="http://schemas.openxmlformats.org/officeDocument/2006/relationships/control" Target="../activeX/activeX26.xml"/><Relationship Id="rId37" Type="http://schemas.openxmlformats.org/officeDocument/2006/relationships/control" Target="../activeX/activeX31.xml"/><Relationship Id="rId40" Type="http://schemas.openxmlformats.org/officeDocument/2006/relationships/control" Target="../activeX/activeX34.xml"/><Relationship Id="rId5" Type="http://schemas.openxmlformats.org/officeDocument/2006/relationships/hyperlink" Target="https://tw.rd.yahoo.com/referurl/stock/other/SIG=125v47s73/**https:/tw.screener.finance.yahoo.net/screener/check.html?symid=1707" TargetMode="External"/><Relationship Id="rId15" Type="http://schemas.openxmlformats.org/officeDocument/2006/relationships/control" Target="../activeX/activeX9.xml"/><Relationship Id="rId23" Type="http://schemas.openxmlformats.org/officeDocument/2006/relationships/control" Target="../activeX/activeX17.xml"/><Relationship Id="rId28" Type="http://schemas.openxmlformats.org/officeDocument/2006/relationships/control" Target="../activeX/activeX22.xml"/><Relationship Id="rId36" Type="http://schemas.openxmlformats.org/officeDocument/2006/relationships/control" Target="../activeX/activeX30.xml"/><Relationship Id="rId10" Type="http://schemas.openxmlformats.org/officeDocument/2006/relationships/control" Target="../activeX/activeX4.xml"/><Relationship Id="rId19" Type="http://schemas.openxmlformats.org/officeDocument/2006/relationships/control" Target="../activeX/activeX13.xml"/><Relationship Id="rId31" Type="http://schemas.openxmlformats.org/officeDocument/2006/relationships/control" Target="../activeX/activeX25.xml"/><Relationship Id="rId4" Type="http://schemas.openxmlformats.org/officeDocument/2006/relationships/hyperlink" Target="https://tw.stock.yahoo.com/q/ts?s=1707" TargetMode="External"/><Relationship Id="rId9" Type="http://schemas.openxmlformats.org/officeDocument/2006/relationships/vmlDrawing" Target="../drawings/vmlDrawing3.vml"/><Relationship Id="rId14" Type="http://schemas.openxmlformats.org/officeDocument/2006/relationships/control" Target="../activeX/activeX8.xml"/><Relationship Id="rId22" Type="http://schemas.openxmlformats.org/officeDocument/2006/relationships/control" Target="../activeX/activeX16.xml"/><Relationship Id="rId27" Type="http://schemas.openxmlformats.org/officeDocument/2006/relationships/control" Target="../activeX/activeX21.xml"/><Relationship Id="rId30" Type="http://schemas.openxmlformats.org/officeDocument/2006/relationships/control" Target="../activeX/activeX24.xml"/><Relationship Id="rId35" Type="http://schemas.openxmlformats.org/officeDocument/2006/relationships/control" Target="../activeX/activeX29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1.xml"/><Relationship Id="rId13" Type="http://schemas.openxmlformats.org/officeDocument/2006/relationships/control" Target="../activeX/activeX46.xml"/><Relationship Id="rId18" Type="http://schemas.openxmlformats.org/officeDocument/2006/relationships/control" Target="../activeX/activeX51.xml"/><Relationship Id="rId3" Type="http://schemas.openxmlformats.org/officeDocument/2006/relationships/control" Target="../activeX/activeX36.xml"/><Relationship Id="rId7" Type="http://schemas.openxmlformats.org/officeDocument/2006/relationships/control" Target="../activeX/activeX40.xml"/><Relationship Id="rId12" Type="http://schemas.openxmlformats.org/officeDocument/2006/relationships/control" Target="../activeX/activeX45.xml"/><Relationship Id="rId17" Type="http://schemas.openxmlformats.org/officeDocument/2006/relationships/control" Target="../activeX/activeX50.xml"/><Relationship Id="rId2" Type="http://schemas.openxmlformats.org/officeDocument/2006/relationships/vmlDrawing" Target="../drawings/vmlDrawing4.vml"/><Relationship Id="rId16" Type="http://schemas.openxmlformats.org/officeDocument/2006/relationships/control" Target="../activeX/activeX49.xml"/><Relationship Id="rId20" Type="http://schemas.openxmlformats.org/officeDocument/2006/relationships/comments" Target="../comments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39.xml"/><Relationship Id="rId11" Type="http://schemas.openxmlformats.org/officeDocument/2006/relationships/control" Target="../activeX/activeX44.xml"/><Relationship Id="rId5" Type="http://schemas.openxmlformats.org/officeDocument/2006/relationships/control" Target="../activeX/activeX38.xml"/><Relationship Id="rId15" Type="http://schemas.openxmlformats.org/officeDocument/2006/relationships/control" Target="../activeX/activeX48.xml"/><Relationship Id="rId10" Type="http://schemas.openxmlformats.org/officeDocument/2006/relationships/control" Target="../activeX/activeX43.xml"/><Relationship Id="rId19" Type="http://schemas.openxmlformats.org/officeDocument/2006/relationships/queryTable" Target="../queryTables/queryTable1.xml"/><Relationship Id="rId4" Type="http://schemas.openxmlformats.org/officeDocument/2006/relationships/control" Target="../activeX/activeX37.xml"/><Relationship Id="rId9" Type="http://schemas.openxmlformats.org/officeDocument/2006/relationships/control" Target="../activeX/activeX42.xml"/><Relationship Id="rId14" Type="http://schemas.openxmlformats.org/officeDocument/2006/relationships/control" Target="../activeX/activeX47.xml"/></Relationships>
</file>

<file path=xl/worksheets/_rels/sheet6.xml.rels><?xml version="1.0" encoding="UTF-8" standalone="yes"?>
<Relationships xmlns="http://schemas.openxmlformats.org/package/2006/relationships"><Relationship Id="rId26" Type="http://schemas.openxmlformats.org/officeDocument/2006/relationships/vmlDrawing" Target="../drawings/vmlDrawing5.vml"/><Relationship Id="rId117" Type="http://schemas.openxmlformats.org/officeDocument/2006/relationships/queryTable" Target="../queryTables/queryTable80.xml"/><Relationship Id="rId21" Type="http://schemas.openxmlformats.org/officeDocument/2006/relationships/hyperlink" Target="http://norway.twsthr.info/StockHolders.aspx?stock=5425" TargetMode="External"/><Relationship Id="rId42" Type="http://schemas.openxmlformats.org/officeDocument/2006/relationships/queryTable" Target="../queryTables/queryTable5.xml"/><Relationship Id="rId47" Type="http://schemas.openxmlformats.org/officeDocument/2006/relationships/queryTable" Target="../queryTables/queryTable10.xml"/><Relationship Id="rId63" Type="http://schemas.openxmlformats.org/officeDocument/2006/relationships/queryTable" Target="../queryTables/queryTable26.xml"/><Relationship Id="rId68" Type="http://schemas.openxmlformats.org/officeDocument/2006/relationships/queryTable" Target="../queryTables/queryTable31.xml"/><Relationship Id="rId84" Type="http://schemas.openxmlformats.org/officeDocument/2006/relationships/queryTable" Target="../queryTables/queryTable47.xml"/><Relationship Id="rId89" Type="http://schemas.openxmlformats.org/officeDocument/2006/relationships/queryTable" Target="../queryTables/queryTable52.xml"/><Relationship Id="rId112" Type="http://schemas.openxmlformats.org/officeDocument/2006/relationships/queryTable" Target="../queryTables/queryTable75.xml"/><Relationship Id="rId133" Type="http://schemas.openxmlformats.org/officeDocument/2006/relationships/queryTable" Target="../queryTables/queryTable96.xml"/><Relationship Id="rId138" Type="http://schemas.openxmlformats.org/officeDocument/2006/relationships/queryTable" Target="../queryTables/queryTable101.xml"/><Relationship Id="rId154" Type="http://schemas.openxmlformats.org/officeDocument/2006/relationships/queryTable" Target="../queryTables/queryTable117.xml"/><Relationship Id="rId159" Type="http://schemas.openxmlformats.org/officeDocument/2006/relationships/queryTable" Target="../queryTables/queryTable122.xml"/><Relationship Id="rId16" Type="http://schemas.openxmlformats.org/officeDocument/2006/relationships/hyperlink" Target="http://norway.twsthr.info/StockHolders.aspx?stock=3227" TargetMode="External"/><Relationship Id="rId107" Type="http://schemas.openxmlformats.org/officeDocument/2006/relationships/queryTable" Target="../queryTables/queryTable70.xml"/><Relationship Id="rId11" Type="http://schemas.openxmlformats.org/officeDocument/2006/relationships/hyperlink" Target="http://norway.twsthr.info/StockHolders.aspx?stock=2361" TargetMode="External"/><Relationship Id="rId32" Type="http://schemas.openxmlformats.org/officeDocument/2006/relationships/control" Target="../activeX/activeX57.xml"/><Relationship Id="rId37" Type="http://schemas.openxmlformats.org/officeDocument/2006/relationships/control" Target="../activeX/activeX62.xml"/><Relationship Id="rId53" Type="http://schemas.openxmlformats.org/officeDocument/2006/relationships/queryTable" Target="../queryTables/queryTable16.xml"/><Relationship Id="rId58" Type="http://schemas.openxmlformats.org/officeDocument/2006/relationships/queryTable" Target="../queryTables/queryTable21.xml"/><Relationship Id="rId74" Type="http://schemas.openxmlformats.org/officeDocument/2006/relationships/queryTable" Target="../queryTables/queryTable37.xml"/><Relationship Id="rId79" Type="http://schemas.openxmlformats.org/officeDocument/2006/relationships/queryTable" Target="../queryTables/queryTable42.xml"/><Relationship Id="rId102" Type="http://schemas.openxmlformats.org/officeDocument/2006/relationships/queryTable" Target="../queryTables/queryTable65.xml"/><Relationship Id="rId123" Type="http://schemas.openxmlformats.org/officeDocument/2006/relationships/queryTable" Target="../queryTables/queryTable86.xml"/><Relationship Id="rId128" Type="http://schemas.openxmlformats.org/officeDocument/2006/relationships/queryTable" Target="../queryTables/queryTable91.xml"/><Relationship Id="rId144" Type="http://schemas.openxmlformats.org/officeDocument/2006/relationships/queryTable" Target="../queryTables/queryTable107.xml"/><Relationship Id="rId149" Type="http://schemas.openxmlformats.org/officeDocument/2006/relationships/queryTable" Target="../queryTables/queryTable112.xml"/><Relationship Id="rId5" Type="http://schemas.openxmlformats.org/officeDocument/2006/relationships/hyperlink" Target="https://tw.stock.yahoo.com/d/s/earning_3205.html" TargetMode="External"/><Relationship Id="rId90" Type="http://schemas.openxmlformats.org/officeDocument/2006/relationships/queryTable" Target="../queryTables/queryTable53.xml"/><Relationship Id="rId95" Type="http://schemas.openxmlformats.org/officeDocument/2006/relationships/queryTable" Target="../queryTables/queryTable58.xml"/><Relationship Id="rId160" Type="http://schemas.openxmlformats.org/officeDocument/2006/relationships/queryTable" Target="../queryTables/queryTable123.xml"/><Relationship Id="rId165" Type="http://schemas.openxmlformats.org/officeDocument/2006/relationships/queryTable" Target="../queryTables/queryTable128.xml"/><Relationship Id="rId22" Type="http://schemas.openxmlformats.org/officeDocument/2006/relationships/hyperlink" Target="http://norway.twsthr.info/StockHolders.aspx?stock=5490" TargetMode="External"/><Relationship Id="rId27" Type="http://schemas.openxmlformats.org/officeDocument/2006/relationships/control" Target="../activeX/activeX52.xml"/><Relationship Id="rId43" Type="http://schemas.openxmlformats.org/officeDocument/2006/relationships/queryTable" Target="../queryTables/queryTable6.xml"/><Relationship Id="rId48" Type="http://schemas.openxmlformats.org/officeDocument/2006/relationships/queryTable" Target="../queryTables/queryTable11.xml"/><Relationship Id="rId64" Type="http://schemas.openxmlformats.org/officeDocument/2006/relationships/queryTable" Target="../queryTables/queryTable27.xml"/><Relationship Id="rId69" Type="http://schemas.openxmlformats.org/officeDocument/2006/relationships/queryTable" Target="../queryTables/queryTable32.xml"/><Relationship Id="rId113" Type="http://schemas.openxmlformats.org/officeDocument/2006/relationships/queryTable" Target="../queryTables/queryTable76.xml"/><Relationship Id="rId118" Type="http://schemas.openxmlformats.org/officeDocument/2006/relationships/queryTable" Target="../queryTables/queryTable81.xml"/><Relationship Id="rId134" Type="http://schemas.openxmlformats.org/officeDocument/2006/relationships/queryTable" Target="../queryTables/queryTable97.xml"/><Relationship Id="rId139" Type="http://schemas.openxmlformats.org/officeDocument/2006/relationships/queryTable" Target="../queryTables/queryTable102.xml"/><Relationship Id="rId80" Type="http://schemas.openxmlformats.org/officeDocument/2006/relationships/queryTable" Target="../queryTables/queryTable43.xml"/><Relationship Id="rId85" Type="http://schemas.openxmlformats.org/officeDocument/2006/relationships/queryTable" Target="../queryTables/queryTable48.xml"/><Relationship Id="rId150" Type="http://schemas.openxmlformats.org/officeDocument/2006/relationships/queryTable" Target="../queryTables/queryTable113.xml"/><Relationship Id="rId155" Type="http://schemas.openxmlformats.org/officeDocument/2006/relationships/queryTable" Target="../queryTables/queryTable118.xml"/><Relationship Id="rId12" Type="http://schemas.openxmlformats.org/officeDocument/2006/relationships/hyperlink" Target="http://norway.twsthr.info/StockHolders.aspx?stock=2379" TargetMode="External"/><Relationship Id="rId17" Type="http://schemas.openxmlformats.org/officeDocument/2006/relationships/hyperlink" Target="http://norway.twsthr.info/StockHolders.aspx?stock=3673" TargetMode="External"/><Relationship Id="rId33" Type="http://schemas.openxmlformats.org/officeDocument/2006/relationships/control" Target="../activeX/activeX58.xml"/><Relationship Id="rId38" Type="http://schemas.openxmlformats.org/officeDocument/2006/relationships/control" Target="../activeX/activeX63.xml"/><Relationship Id="rId59" Type="http://schemas.openxmlformats.org/officeDocument/2006/relationships/queryTable" Target="../queryTables/queryTable22.xml"/><Relationship Id="rId103" Type="http://schemas.openxmlformats.org/officeDocument/2006/relationships/queryTable" Target="../queryTables/queryTable66.xml"/><Relationship Id="rId108" Type="http://schemas.openxmlformats.org/officeDocument/2006/relationships/queryTable" Target="../queryTables/queryTable71.xml"/><Relationship Id="rId124" Type="http://schemas.openxmlformats.org/officeDocument/2006/relationships/queryTable" Target="../queryTables/queryTable87.xml"/><Relationship Id="rId129" Type="http://schemas.openxmlformats.org/officeDocument/2006/relationships/queryTable" Target="../queryTables/queryTable92.xml"/><Relationship Id="rId54" Type="http://schemas.openxmlformats.org/officeDocument/2006/relationships/queryTable" Target="../queryTables/queryTable17.xml"/><Relationship Id="rId70" Type="http://schemas.openxmlformats.org/officeDocument/2006/relationships/queryTable" Target="../queryTables/queryTable33.xml"/><Relationship Id="rId75" Type="http://schemas.openxmlformats.org/officeDocument/2006/relationships/queryTable" Target="../queryTables/queryTable38.xml"/><Relationship Id="rId91" Type="http://schemas.openxmlformats.org/officeDocument/2006/relationships/queryTable" Target="../queryTables/queryTable54.xml"/><Relationship Id="rId96" Type="http://schemas.openxmlformats.org/officeDocument/2006/relationships/queryTable" Target="../queryTables/queryTable59.xml"/><Relationship Id="rId140" Type="http://schemas.openxmlformats.org/officeDocument/2006/relationships/queryTable" Target="../queryTables/queryTable103.xml"/><Relationship Id="rId145" Type="http://schemas.openxmlformats.org/officeDocument/2006/relationships/queryTable" Target="../queryTables/queryTable108.xml"/><Relationship Id="rId161" Type="http://schemas.openxmlformats.org/officeDocument/2006/relationships/queryTable" Target="../queryTables/queryTable124.xml"/><Relationship Id="rId166" Type="http://schemas.openxmlformats.org/officeDocument/2006/relationships/queryTable" Target="../queryTables/queryTable129.xml"/><Relationship Id="rId1" Type="http://schemas.openxmlformats.org/officeDocument/2006/relationships/hyperlink" Target="https://tw.stock.yahoo.com/d/s/earning_1729.html" TargetMode="External"/><Relationship Id="rId6" Type="http://schemas.openxmlformats.org/officeDocument/2006/relationships/hyperlink" Target="https://tw.stock.yahoo.com/d/s/earning_3206.html" TargetMode="External"/><Relationship Id="rId15" Type="http://schemas.openxmlformats.org/officeDocument/2006/relationships/hyperlink" Target="http://norway.twsthr.info/StockHolders.aspx?stock=2482" TargetMode="External"/><Relationship Id="rId23" Type="http://schemas.openxmlformats.org/officeDocument/2006/relationships/hyperlink" Target="http://norway.twsthr.info/StockHolders.aspx?stock=6172" TargetMode="External"/><Relationship Id="rId28" Type="http://schemas.openxmlformats.org/officeDocument/2006/relationships/control" Target="../activeX/activeX53.xml"/><Relationship Id="rId36" Type="http://schemas.openxmlformats.org/officeDocument/2006/relationships/control" Target="../activeX/activeX61.xml"/><Relationship Id="rId49" Type="http://schemas.openxmlformats.org/officeDocument/2006/relationships/queryTable" Target="../queryTables/queryTable12.xml"/><Relationship Id="rId57" Type="http://schemas.openxmlformats.org/officeDocument/2006/relationships/queryTable" Target="../queryTables/queryTable20.xml"/><Relationship Id="rId106" Type="http://schemas.openxmlformats.org/officeDocument/2006/relationships/queryTable" Target="../queryTables/queryTable69.xml"/><Relationship Id="rId114" Type="http://schemas.openxmlformats.org/officeDocument/2006/relationships/queryTable" Target="../queryTables/queryTable77.xml"/><Relationship Id="rId119" Type="http://schemas.openxmlformats.org/officeDocument/2006/relationships/queryTable" Target="../queryTables/queryTable82.xml"/><Relationship Id="rId127" Type="http://schemas.openxmlformats.org/officeDocument/2006/relationships/queryTable" Target="../queryTables/queryTable90.xml"/><Relationship Id="rId10" Type="http://schemas.openxmlformats.org/officeDocument/2006/relationships/hyperlink" Target="http://norway.twsthr.info/StockHolders.aspx?stock=2231" TargetMode="External"/><Relationship Id="rId31" Type="http://schemas.openxmlformats.org/officeDocument/2006/relationships/control" Target="../activeX/activeX56.xml"/><Relationship Id="rId44" Type="http://schemas.openxmlformats.org/officeDocument/2006/relationships/queryTable" Target="../queryTables/queryTable7.xml"/><Relationship Id="rId52" Type="http://schemas.openxmlformats.org/officeDocument/2006/relationships/queryTable" Target="../queryTables/queryTable15.xml"/><Relationship Id="rId60" Type="http://schemas.openxmlformats.org/officeDocument/2006/relationships/queryTable" Target="../queryTables/queryTable23.xml"/><Relationship Id="rId65" Type="http://schemas.openxmlformats.org/officeDocument/2006/relationships/queryTable" Target="../queryTables/queryTable28.xml"/><Relationship Id="rId73" Type="http://schemas.openxmlformats.org/officeDocument/2006/relationships/queryTable" Target="../queryTables/queryTable36.xml"/><Relationship Id="rId78" Type="http://schemas.openxmlformats.org/officeDocument/2006/relationships/queryTable" Target="../queryTables/queryTable41.xml"/><Relationship Id="rId81" Type="http://schemas.openxmlformats.org/officeDocument/2006/relationships/queryTable" Target="../queryTables/queryTable44.xml"/><Relationship Id="rId86" Type="http://schemas.openxmlformats.org/officeDocument/2006/relationships/queryTable" Target="../queryTables/queryTable49.xml"/><Relationship Id="rId94" Type="http://schemas.openxmlformats.org/officeDocument/2006/relationships/queryTable" Target="../queryTables/queryTable57.xml"/><Relationship Id="rId99" Type="http://schemas.openxmlformats.org/officeDocument/2006/relationships/queryTable" Target="../queryTables/queryTable62.xml"/><Relationship Id="rId101" Type="http://schemas.openxmlformats.org/officeDocument/2006/relationships/queryTable" Target="../queryTables/queryTable64.xml"/><Relationship Id="rId122" Type="http://schemas.openxmlformats.org/officeDocument/2006/relationships/queryTable" Target="../queryTables/queryTable85.xml"/><Relationship Id="rId130" Type="http://schemas.openxmlformats.org/officeDocument/2006/relationships/queryTable" Target="../queryTables/queryTable93.xml"/><Relationship Id="rId135" Type="http://schemas.openxmlformats.org/officeDocument/2006/relationships/queryTable" Target="../queryTables/queryTable98.xml"/><Relationship Id="rId143" Type="http://schemas.openxmlformats.org/officeDocument/2006/relationships/queryTable" Target="../queryTables/queryTable106.xml"/><Relationship Id="rId148" Type="http://schemas.openxmlformats.org/officeDocument/2006/relationships/queryTable" Target="../queryTables/queryTable111.xml"/><Relationship Id="rId151" Type="http://schemas.openxmlformats.org/officeDocument/2006/relationships/queryTable" Target="../queryTables/queryTable114.xml"/><Relationship Id="rId156" Type="http://schemas.openxmlformats.org/officeDocument/2006/relationships/queryTable" Target="../queryTables/queryTable119.xml"/><Relationship Id="rId164" Type="http://schemas.openxmlformats.org/officeDocument/2006/relationships/queryTable" Target="../queryTables/queryTable127.xml"/><Relationship Id="rId4" Type="http://schemas.openxmlformats.org/officeDocument/2006/relationships/hyperlink" Target="https://tw.stock.yahoo.com/d/s/earning_3163.html" TargetMode="External"/><Relationship Id="rId9" Type="http://schemas.openxmlformats.org/officeDocument/2006/relationships/hyperlink" Target="http://norway.twsthr.info/StockHolders.aspx?stock=1477" TargetMode="External"/><Relationship Id="rId13" Type="http://schemas.openxmlformats.org/officeDocument/2006/relationships/hyperlink" Target="http://norway.twsthr.info/StockHolders.aspx?stock=2406" TargetMode="External"/><Relationship Id="rId18" Type="http://schemas.openxmlformats.org/officeDocument/2006/relationships/hyperlink" Target="http://norway.twsthr.info/StockHolders.aspx?stock=4105" TargetMode="External"/><Relationship Id="rId39" Type="http://schemas.openxmlformats.org/officeDocument/2006/relationships/queryTable" Target="../queryTables/queryTable2.xml"/><Relationship Id="rId109" Type="http://schemas.openxmlformats.org/officeDocument/2006/relationships/queryTable" Target="../queryTables/queryTable72.xml"/><Relationship Id="rId34" Type="http://schemas.openxmlformats.org/officeDocument/2006/relationships/control" Target="../activeX/activeX59.xml"/><Relationship Id="rId50" Type="http://schemas.openxmlformats.org/officeDocument/2006/relationships/queryTable" Target="../queryTables/queryTable13.xml"/><Relationship Id="rId55" Type="http://schemas.openxmlformats.org/officeDocument/2006/relationships/queryTable" Target="../queryTables/queryTable18.xml"/><Relationship Id="rId76" Type="http://schemas.openxmlformats.org/officeDocument/2006/relationships/queryTable" Target="../queryTables/queryTable39.xml"/><Relationship Id="rId97" Type="http://schemas.openxmlformats.org/officeDocument/2006/relationships/queryTable" Target="../queryTables/queryTable60.xml"/><Relationship Id="rId104" Type="http://schemas.openxmlformats.org/officeDocument/2006/relationships/queryTable" Target="../queryTables/queryTable67.xml"/><Relationship Id="rId120" Type="http://schemas.openxmlformats.org/officeDocument/2006/relationships/queryTable" Target="../queryTables/queryTable83.xml"/><Relationship Id="rId125" Type="http://schemas.openxmlformats.org/officeDocument/2006/relationships/queryTable" Target="../queryTables/queryTable88.xml"/><Relationship Id="rId141" Type="http://schemas.openxmlformats.org/officeDocument/2006/relationships/queryTable" Target="../queryTables/queryTable104.xml"/><Relationship Id="rId146" Type="http://schemas.openxmlformats.org/officeDocument/2006/relationships/queryTable" Target="../queryTables/queryTable109.xml"/><Relationship Id="rId167" Type="http://schemas.openxmlformats.org/officeDocument/2006/relationships/queryTable" Target="../queryTables/queryTable130.xml"/><Relationship Id="rId7" Type="http://schemas.openxmlformats.org/officeDocument/2006/relationships/hyperlink" Target="http://norway.twsthr.info/StockHolders.aspx?stock=1338" TargetMode="External"/><Relationship Id="rId71" Type="http://schemas.openxmlformats.org/officeDocument/2006/relationships/queryTable" Target="../queryTables/queryTable34.xml"/><Relationship Id="rId92" Type="http://schemas.openxmlformats.org/officeDocument/2006/relationships/queryTable" Target="../queryTables/queryTable55.xml"/><Relationship Id="rId162" Type="http://schemas.openxmlformats.org/officeDocument/2006/relationships/queryTable" Target="../queryTables/queryTable125.xml"/><Relationship Id="rId2" Type="http://schemas.openxmlformats.org/officeDocument/2006/relationships/hyperlink" Target="https://tw.stock.yahoo.com/d/s/earning_2433.html" TargetMode="External"/><Relationship Id="rId29" Type="http://schemas.openxmlformats.org/officeDocument/2006/relationships/control" Target="../activeX/activeX54.xml"/><Relationship Id="rId24" Type="http://schemas.openxmlformats.org/officeDocument/2006/relationships/hyperlink" Target="http://norway.twsthr.info/StockHolders.aspx?stock=9938" TargetMode="External"/><Relationship Id="rId40" Type="http://schemas.openxmlformats.org/officeDocument/2006/relationships/queryTable" Target="../queryTables/queryTable3.xml"/><Relationship Id="rId45" Type="http://schemas.openxmlformats.org/officeDocument/2006/relationships/queryTable" Target="../queryTables/queryTable8.xml"/><Relationship Id="rId66" Type="http://schemas.openxmlformats.org/officeDocument/2006/relationships/queryTable" Target="../queryTables/queryTable29.xml"/><Relationship Id="rId87" Type="http://schemas.openxmlformats.org/officeDocument/2006/relationships/queryTable" Target="../queryTables/queryTable50.xml"/><Relationship Id="rId110" Type="http://schemas.openxmlformats.org/officeDocument/2006/relationships/queryTable" Target="../queryTables/queryTable73.xml"/><Relationship Id="rId115" Type="http://schemas.openxmlformats.org/officeDocument/2006/relationships/queryTable" Target="../queryTables/queryTable78.xml"/><Relationship Id="rId131" Type="http://schemas.openxmlformats.org/officeDocument/2006/relationships/queryTable" Target="../queryTables/queryTable94.xml"/><Relationship Id="rId136" Type="http://schemas.openxmlformats.org/officeDocument/2006/relationships/queryTable" Target="../queryTables/queryTable99.xml"/><Relationship Id="rId157" Type="http://schemas.openxmlformats.org/officeDocument/2006/relationships/queryTable" Target="../queryTables/queryTable120.xml"/><Relationship Id="rId61" Type="http://schemas.openxmlformats.org/officeDocument/2006/relationships/queryTable" Target="../queryTables/queryTable24.xml"/><Relationship Id="rId82" Type="http://schemas.openxmlformats.org/officeDocument/2006/relationships/queryTable" Target="../queryTables/queryTable45.xml"/><Relationship Id="rId152" Type="http://schemas.openxmlformats.org/officeDocument/2006/relationships/queryTable" Target="../queryTables/queryTable115.xml"/><Relationship Id="rId19" Type="http://schemas.openxmlformats.org/officeDocument/2006/relationships/hyperlink" Target="http://norway.twsthr.info/StockHolders.aspx?stock=4924" TargetMode="External"/><Relationship Id="rId14" Type="http://schemas.openxmlformats.org/officeDocument/2006/relationships/hyperlink" Target="http://norway.twsthr.info/StockHolders.aspx?stock=2425" TargetMode="External"/><Relationship Id="rId30" Type="http://schemas.openxmlformats.org/officeDocument/2006/relationships/control" Target="../activeX/activeX55.xml"/><Relationship Id="rId35" Type="http://schemas.openxmlformats.org/officeDocument/2006/relationships/control" Target="../activeX/activeX60.xml"/><Relationship Id="rId56" Type="http://schemas.openxmlformats.org/officeDocument/2006/relationships/queryTable" Target="../queryTables/queryTable19.xml"/><Relationship Id="rId77" Type="http://schemas.openxmlformats.org/officeDocument/2006/relationships/queryTable" Target="../queryTables/queryTable40.xml"/><Relationship Id="rId100" Type="http://schemas.openxmlformats.org/officeDocument/2006/relationships/queryTable" Target="../queryTables/queryTable63.xml"/><Relationship Id="rId105" Type="http://schemas.openxmlformats.org/officeDocument/2006/relationships/queryTable" Target="../queryTables/queryTable68.xml"/><Relationship Id="rId126" Type="http://schemas.openxmlformats.org/officeDocument/2006/relationships/queryTable" Target="../queryTables/queryTable89.xml"/><Relationship Id="rId147" Type="http://schemas.openxmlformats.org/officeDocument/2006/relationships/queryTable" Target="../queryTables/queryTable110.xml"/><Relationship Id="rId8" Type="http://schemas.openxmlformats.org/officeDocument/2006/relationships/hyperlink" Target="http://norway.twsthr.info/StockHolders.aspx?stock=1464" TargetMode="External"/><Relationship Id="rId51" Type="http://schemas.openxmlformats.org/officeDocument/2006/relationships/queryTable" Target="../queryTables/queryTable14.xml"/><Relationship Id="rId72" Type="http://schemas.openxmlformats.org/officeDocument/2006/relationships/queryTable" Target="../queryTables/queryTable35.xml"/><Relationship Id="rId93" Type="http://schemas.openxmlformats.org/officeDocument/2006/relationships/queryTable" Target="../queryTables/queryTable56.xml"/><Relationship Id="rId98" Type="http://schemas.openxmlformats.org/officeDocument/2006/relationships/queryTable" Target="../queryTables/queryTable61.xml"/><Relationship Id="rId121" Type="http://schemas.openxmlformats.org/officeDocument/2006/relationships/queryTable" Target="../queryTables/queryTable84.xml"/><Relationship Id="rId142" Type="http://schemas.openxmlformats.org/officeDocument/2006/relationships/queryTable" Target="../queryTables/queryTable105.xml"/><Relationship Id="rId163" Type="http://schemas.openxmlformats.org/officeDocument/2006/relationships/queryTable" Target="../queryTables/queryTable126.xml"/><Relationship Id="rId3" Type="http://schemas.openxmlformats.org/officeDocument/2006/relationships/hyperlink" Target="https://tw.stock.yahoo.com/d/s/earning_3152.html" TargetMode="External"/><Relationship Id="rId25" Type="http://schemas.openxmlformats.org/officeDocument/2006/relationships/printerSettings" Target="../printerSettings/printerSettings4.bin"/><Relationship Id="rId46" Type="http://schemas.openxmlformats.org/officeDocument/2006/relationships/queryTable" Target="../queryTables/queryTable9.xml"/><Relationship Id="rId67" Type="http://schemas.openxmlformats.org/officeDocument/2006/relationships/queryTable" Target="../queryTables/queryTable30.xml"/><Relationship Id="rId116" Type="http://schemas.openxmlformats.org/officeDocument/2006/relationships/queryTable" Target="../queryTables/queryTable79.xml"/><Relationship Id="rId137" Type="http://schemas.openxmlformats.org/officeDocument/2006/relationships/queryTable" Target="../queryTables/queryTable100.xml"/><Relationship Id="rId158" Type="http://schemas.openxmlformats.org/officeDocument/2006/relationships/queryTable" Target="../queryTables/queryTable121.xml"/><Relationship Id="rId20" Type="http://schemas.openxmlformats.org/officeDocument/2006/relationships/hyperlink" Target="http://norway.twsthr.info/StockHolders.aspx?stock=5388" TargetMode="External"/><Relationship Id="rId41" Type="http://schemas.openxmlformats.org/officeDocument/2006/relationships/queryTable" Target="../queryTables/queryTable4.xml"/><Relationship Id="rId62" Type="http://schemas.openxmlformats.org/officeDocument/2006/relationships/queryTable" Target="../queryTables/queryTable25.xml"/><Relationship Id="rId83" Type="http://schemas.openxmlformats.org/officeDocument/2006/relationships/queryTable" Target="../queryTables/queryTable46.xml"/><Relationship Id="rId88" Type="http://schemas.openxmlformats.org/officeDocument/2006/relationships/queryTable" Target="../queryTables/queryTable51.xml"/><Relationship Id="rId111" Type="http://schemas.openxmlformats.org/officeDocument/2006/relationships/queryTable" Target="../queryTables/queryTable74.xml"/><Relationship Id="rId132" Type="http://schemas.openxmlformats.org/officeDocument/2006/relationships/queryTable" Target="../queryTables/queryTable95.xml"/><Relationship Id="rId153" Type="http://schemas.openxmlformats.org/officeDocument/2006/relationships/queryTable" Target="../queryTables/queryTable116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8.xml"/><Relationship Id="rId3" Type="http://schemas.openxmlformats.org/officeDocument/2006/relationships/vmlDrawing" Target="../drawings/vmlDrawing6.vml"/><Relationship Id="rId7" Type="http://schemas.openxmlformats.org/officeDocument/2006/relationships/control" Target="../activeX/activeX67.xml"/><Relationship Id="rId12" Type="http://schemas.openxmlformats.org/officeDocument/2006/relationships/control" Target="../activeX/activeX7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66.xml"/><Relationship Id="rId11" Type="http://schemas.openxmlformats.org/officeDocument/2006/relationships/control" Target="../activeX/activeX71.xml"/><Relationship Id="rId5" Type="http://schemas.openxmlformats.org/officeDocument/2006/relationships/control" Target="../activeX/activeX65.xml"/><Relationship Id="rId10" Type="http://schemas.openxmlformats.org/officeDocument/2006/relationships/control" Target="../activeX/activeX70.xml"/><Relationship Id="rId4" Type="http://schemas.openxmlformats.org/officeDocument/2006/relationships/control" Target="../activeX/activeX64.xml"/><Relationship Id="rId9" Type="http://schemas.openxmlformats.org/officeDocument/2006/relationships/control" Target="../activeX/activeX69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132.xml"/><Relationship Id="rId3" Type="http://schemas.openxmlformats.org/officeDocument/2006/relationships/control" Target="../activeX/activeX73.xml"/><Relationship Id="rId7" Type="http://schemas.openxmlformats.org/officeDocument/2006/relationships/queryTable" Target="../queryTables/queryTable131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76.xml"/><Relationship Id="rId5" Type="http://schemas.openxmlformats.org/officeDocument/2006/relationships/control" Target="../activeX/activeX75.xml"/><Relationship Id="rId4" Type="http://schemas.openxmlformats.org/officeDocument/2006/relationships/control" Target="../activeX/activeX74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82.xml"/><Relationship Id="rId3" Type="http://schemas.openxmlformats.org/officeDocument/2006/relationships/control" Target="../activeX/activeX77.xml"/><Relationship Id="rId7" Type="http://schemas.openxmlformats.org/officeDocument/2006/relationships/control" Target="../activeX/activeX81.xml"/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80.xml"/><Relationship Id="rId11" Type="http://schemas.openxmlformats.org/officeDocument/2006/relationships/control" Target="../activeX/activeX85.xml"/><Relationship Id="rId5" Type="http://schemas.openxmlformats.org/officeDocument/2006/relationships/control" Target="../activeX/activeX79.xml"/><Relationship Id="rId10" Type="http://schemas.openxmlformats.org/officeDocument/2006/relationships/control" Target="../activeX/activeX84.xml"/><Relationship Id="rId4" Type="http://schemas.openxmlformats.org/officeDocument/2006/relationships/control" Target="../activeX/activeX78.xml"/><Relationship Id="rId9" Type="http://schemas.openxmlformats.org/officeDocument/2006/relationships/control" Target="../activeX/activeX83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86.xml"/><Relationship Id="rId2" Type="http://schemas.openxmlformats.org/officeDocument/2006/relationships/vmlDrawing" Target="../drawings/vmlDrawing9.vml"/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88.xml"/><Relationship Id="rId7" Type="http://schemas.openxmlformats.org/officeDocument/2006/relationships/control" Target="../activeX/activeX92.xml"/><Relationship Id="rId2" Type="http://schemas.openxmlformats.org/officeDocument/2006/relationships/control" Target="../activeX/activeX87.xml"/><Relationship Id="rId1" Type="http://schemas.openxmlformats.org/officeDocument/2006/relationships/vmlDrawing" Target="../drawings/vmlDrawing10.vml"/><Relationship Id="rId6" Type="http://schemas.openxmlformats.org/officeDocument/2006/relationships/control" Target="../activeX/activeX91.xml"/><Relationship Id="rId5" Type="http://schemas.openxmlformats.org/officeDocument/2006/relationships/control" Target="../activeX/activeX90.xml"/><Relationship Id="rId4" Type="http://schemas.openxmlformats.org/officeDocument/2006/relationships/control" Target="../activeX/activeX89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control" Target="../activeX/activeX93.xml"/><Relationship Id="rId1" Type="http://schemas.openxmlformats.org/officeDocument/2006/relationships/vmlDrawing" Target="../drawings/vmlDrawing11.v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94.xml"/><Relationship Id="rId2" Type="http://schemas.openxmlformats.org/officeDocument/2006/relationships/vmlDrawing" Target="../drawings/vmlDrawing12.vml"/><Relationship Id="rId1" Type="http://schemas.openxmlformats.org/officeDocument/2006/relationships/printerSettings" Target="../printerSettings/printerSettings9.bin"/><Relationship Id="rId5" Type="http://schemas.openxmlformats.org/officeDocument/2006/relationships/control" Target="../activeX/activeX96.xml"/><Relationship Id="rId4" Type="http://schemas.openxmlformats.org/officeDocument/2006/relationships/control" Target="../activeX/activeX95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control" Target="../activeX/activeX97.xml"/><Relationship Id="rId1" Type="http://schemas.openxmlformats.org/officeDocument/2006/relationships/vmlDrawing" Target="../drawings/vmlDrawing13.v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35.xml"/><Relationship Id="rId2" Type="http://schemas.openxmlformats.org/officeDocument/2006/relationships/queryTable" Target="../queryTables/queryTable134.xml"/><Relationship Id="rId1" Type="http://schemas.openxmlformats.org/officeDocument/2006/relationships/queryTable" Target="../queryTables/queryTable133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38.xml"/><Relationship Id="rId2" Type="http://schemas.openxmlformats.org/officeDocument/2006/relationships/queryTable" Target="../queryTables/queryTable137.xml"/><Relationship Id="rId1" Type="http://schemas.openxmlformats.org/officeDocument/2006/relationships/queryTable" Target="../queryTables/queryTable136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40.xml"/><Relationship Id="rId2" Type="http://schemas.openxmlformats.org/officeDocument/2006/relationships/queryTable" Target="../queryTables/queryTable139.xml"/><Relationship Id="rId1" Type="http://schemas.openxmlformats.org/officeDocument/2006/relationships/printerSettings" Target="../printerSettings/printerSettings11.bin"/><Relationship Id="rId4" Type="http://schemas.openxmlformats.org/officeDocument/2006/relationships/queryTable" Target="../queryTables/queryTable141.xml"/></Relationships>
</file>

<file path=xl/worksheets/_rels/sheet19.xml.rels><?xml version="1.0" encoding="UTF-8" standalone="yes"?>
<Relationships xmlns="http://schemas.openxmlformats.org/package/2006/relationships"><Relationship Id="rId13" Type="http://schemas.openxmlformats.org/officeDocument/2006/relationships/queryTable" Target="../queryTables/queryTable150.xml"/><Relationship Id="rId18" Type="http://schemas.openxmlformats.org/officeDocument/2006/relationships/queryTable" Target="../queryTables/queryTable155.xml"/><Relationship Id="rId26" Type="http://schemas.openxmlformats.org/officeDocument/2006/relationships/queryTable" Target="../queryTables/queryTable163.xml"/><Relationship Id="rId39" Type="http://schemas.openxmlformats.org/officeDocument/2006/relationships/queryTable" Target="../queryTables/queryTable176.xml"/><Relationship Id="rId21" Type="http://schemas.openxmlformats.org/officeDocument/2006/relationships/queryTable" Target="../queryTables/queryTable158.xml"/><Relationship Id="rId34" Type="http://schemas.openxmlformats.org/officeDocument/2006/relationships/queryTable" Target="../queryTables/queryTable171.xml"/><Relationship Id="rId42" Type="http://schemas.openxmlformats.org/officeDocument/2006/relationships/queryTable" Target="../queryTables/queryTable179.xml"/><Relationship Id="rId47" Type="http://schemas.openxmlformats.org/officeDocument/2006/relationships/queryTable" Target="../queryTables/queryTable184.xml"/><Relationship Id="rId50" Type="http://schemas.openxmlformats.org/officeDocument/2006/relationships/queryTable" Target="../queryTables/queryTable187.xml"/><Relationship Id="rId55" Type="http://schemas.openxmlformats.org/officeDocument/2006/relationships/queryTable" Target="../queryTables/queryTable192.xml"/><Relationship Id="rId7" Type="http://schemas.openxmlformats.org/officeDocument/2006/relationships/queryTable" Target="../queryTables/queryTable144.xml"/><Relationship Id="rId2" Type="http://schemas.openxmlformats.org/officeDocument/2006/relationships/vmlDrawing" Target="../drawings/vmlDrawing14.vml"/><Relationship Id="rId16" Type="http://schemas.openxmlformats.org/officeDocument/2006/relationships/queryTable" Target="../queryTables/queryTable153.xml"/><Relationship Id="rId20" Type="http://schemas.openxmlformats.org/officeDocument/2006/relationships/queryTable" Target="../queryTables/queryTable157.xml"/><Relationship Id="rId29" Type="http://schemas.openxmlformats.org/officeDocument/2006/relationships/queryTable" Target="../queryTables/queryTable166.xml"/><Relationship Id="rId41" Type="http://schemas.openxmlformats.org/officeDocument/2006/relationships/queryTable" Target="../queryTables/queryTable178.xml"/><Relationship Id="rId54" Type="http://schemas.openxmlformats.org/officeDocument/2006/relationships/queryTable" Target="../queryTables/queryTable191.xml"/><Relationship Id="rId1" Type="http://schemas.openxmlformats.org/officeDocument/2006/relationships/printerSettings" Target="../printerSettings/printerSettings12.bin"/><Relationship Id="rId6" Type="http://schemas.openxmlformats.org/officeDocument/2006/relationships/queryTable" Target="../queryTables/queryTable143.xml"/><Relationship Id="rId11" Type="http://schemas.openxmlformats.org/officeDocument/2006/relationships/queryTable" Target="../queryTables/queryTable148.xml"/><Relationship Id="rId24" Type="http://schemas.openxmlformats.org/officeDocument/2006/relationships/queryTable" Target="../queryTables/queryTable161.xml"/><Relationship Id="rId32" Type="http://schemas.openxmlformats.org/officeDocument/2006/relationships/queryTable" Target="../queryTables/queryTable169.xml"/><Relationship Id="rId37" Type="http://schemas.openxmlformats.org/officeDocument/2006/relationships/queryTable" Target="../queryTables/queryTable174.xml"/><Relationship Id="rId40" Type="http://schemas.openxmlformats.org/officeDocument/2006/relationships/queryTable" Target="../queryTables/queryTable177.xml"/><Relationship Id="rId45" Type="http://schemas.openxmlformats.org/officeDocument/2006/relationships/queryTable" Target="../queryTables/queryTable182.xml"/><Relationship Id="rId53" Type="http://schemas.openxmlformats.org/officeDocument/2006/relationships/queryTable" Target="../queryTables/queryTable190.xml"/><Relationship Id="rId58" Type="http://schemas.openxmlformats.org/officeDocument/2006/relationships/queryTable" Target="../queryTables/queryTable195.xml"/><Relationship Id="rId5" Type="http://schemas.openxmlformats.org/officeDocument/2006/relationships/queryTable" Target="../queryTables/queryTable142.xml"/><Relationship Id="rId15" Type="http://schemas.openxmlformats.org/officeDocument/2006/relationships/queryTable" Target="../queryTables/queryTable152.xml"/><Relationship Id="rId23" Type="http://schemas.openxmlformats.org/officeDocument/2006/relationships/queryTable" Target="../queryTables/queryTable160.xml"/><Relationship Id="rId28" Type="http://schemas.openxmlformats.org/officeDocument/2006/relationships/queryTable" Target="../queryTables/queryTable165.xml"/><Relationship Id="rId36" Type="http://schemas.openxmlformats.org/officeDocument/2006/relationships/queryTable" Target="../queryTables/queryTable173.xml"/><Relationship Id="rId49" Type="http://schemas.openxmlformats.org/officeDocument/2006/relationships/queryTable" Target="../queryTables/queryTable186.xml"/><Relationship Id="rId57" Type="http://schemas.openxmlformats.org/officeDocument/2006/relationships/queryTable" Target="../queryTables/queryTable194.xml"/><Relationship Id="rId61" Type="http://schemas.openxmlformats.org/officeDocument/2006/relationships/queryTable" Target="../queryTables/queryTable198.xml"/><Relationship Id="rId10" Type="http://schemas.openxmlformats.org/officeDocument/2006/relationships/queryTable" Target="../queryTables/queryTable147.xml"/><Relationship Id="rId19" Type="http://schemas.openxmlformats.org/officeDocument/2006/relationships/queryTable" Target="../queryTables/queryTable156.xml"/><Relationship Id="rId31" Type="http://schemas.openxmlformats.org/officeDocument/2006/relationships/queryTable" Target="../queryTables/queryTable168.xml"/><Relationship Id="rId44" Type="http://schemas.openxmlformats.org/officeDocument/2006/relationships/queryTable" Target="../queryTables/queryTable181.xml"/><Relationship Id="rId52" Type="http://schemas.openxmlformats.org/officeDocument/2006/relationships/queryTable" Target="../queryTables/queryTable189.xml"/><Relationship Id="rId60" Type="http://schemas.openxmlformats.org/officeDocument/2006/relationships/queryTable" Target="../queryTables/queryTable197.xml"/><Relationship Id="rId4" Type="http://schemas.openxmlformats.org/officeDocument/2006/relationships/control" Target="../activeX/activeX99.xml"/><Relationship Id="rId9" Type="http://schemas.openxmlformats.org/officeDocument/2006/relationships/queryTable" Target="../queryTables/queryTable146.xml"/><Relationship Id="rId14" Type="http://schemas.openxmlformats.org/officeDocument/2006/relationships/queryTable" Target="../queryTables/queryTable151.xml"/><Relationship Id="rId22" Type="http://schemas.openxmlformats.org/officeDocument/2006/relationships/queryTable" Target="../queryTables/queryTable159.xml"/><Relationship Id="rId27" Type="http://schemas.openxmlformats.org/officeDocument/2006/relationships/queryTable" Target="../queryTables/queryTable164.xml"/><Relationship Id="rId30" Type="http://schemas.openxmlformats.org/officeDocument/2006/relationships/queryTable" Target="../queryTables/queryTable167.xml"/><Relationship Id="rId35" Type="http://schemas.openxmlformats.org/officeDocument/2006/relationships/queryTable" Target="../queryTables/queryTable172.xml"/><Relationship Id="rId43" Type="http://schemas.openxmlformats.org/officeDocument/2006/relationships/queryTable" Target="../queryTables/queryTable180.xml"/><Relationship Id="rId48" Type="http://schemas.openxmlformats.org/officeDocument/2006/relationships/queryTable" Target="../queryTables/queryTable185.xml"/><Relationship Id="rId56" Type="http://schemas.openxmlformats.org/officeDocument/2006/relationships/queryTable" Target="../queryTables/queryTable193.xml"/><Relationship Id="rId8" Type="http://schemas.openxmlformats.org/officeDocument/2006/relationships/queryTable" Target="../queryTables/queryTable145.xml"/><Relationship Id="rId51" Type="http://schemas.openxmlformats.org/officeDocument/2006/relationships/queryTable" Target="../queryTables/queryTable188.xml"/><Relationship Id="rId3" Type="http://schemas.openxmlformats.org/officeDocument/2006/relationships/control" Target="../activeX/activeX98.xml"/><Relationship Id="rId12" Type="http://schemas.openxmlformats.org/officeDocument/2006/relationships/queryTable" Target="../queryTables/queryTable149.xml"/><Relationship Id="rId17" Type="http://schemas.openxmlformats.org/officeDocument/2006/relationships/queryTable" Target="../queryTables/queryTable154.xml"/><Relationship Id="rId25" Type="http://schemas.openxmlformats.org/officeDocument/2006/relationships/queryTable" Target="../queryTables/queryTable162.xml"/><Relationship Id="rId33" Type="http://schemas.openxmlformats.org/officeDocument/2006/relationships/queryTable" Target="../queryTables/queryTable170.xml"/><Relationship Id="rId38" Type="http://schemas.openxmlformats.org/officeDocument/2006/relationships/queryTable" Target="../queryTables/queryTable175.xml"/><Relationship Id="rId46" Type="http://schemas.openxmlformats.org/officeDocument/2006/relationships/queryTable" Target="../queryTables/queryTable183.xml"/><Relationship Id="rId59" Type="http://schemas.openxmlformats.org/officeDocument/2006/relationships/queryTable" Target="../queryTables/queryTable196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A設定"/>
  <dimension ref="A1:I1519"/>
  <sheetViews>
    <sheetView zoomScaleNormal="100" workbookViewId="0">
      <pane xSplit="3" ySplit="2" topLeftCell="D3" activePane="bottomRight" state="frozen"/>
      <selection pane="topRight" activeCell="D1" sqref="D1"/>
      <selection pane="bottomLeft" activeCell="A2" sqref="A2"/>
      <selection pane="bottomRight" activeCell="E16" sqref="E16"/>
    </sheetView>
  </sheetViews>
  <sheetFormatPr defaultColWidth="15.625" defaultRowHeight="19.5"/>
  <cols>
    <col min="1" max="2" width="15.625" style="139"/>
    <col min="3" max="3" width="13.125" style="139" customWidth="1"/>
    <col min="4" max="4" width="13" style="201" bestFit="1" customWidth="1"/>
    <col min="5" max="5" width="13" style="201" customWidth="1"/>
    <col min="6" max="6" width="16.375" style="206" bestFit="1" customWidth="1"/>
    <col min="7" max="7" width="16.25" style="201" bestFit="1" customWidth="1"/>
    <col min="8" max="8" width="13" style="201" bestFit="1" customWidth="1"/>
    <col min="9" max="9" width="13.875" style="201" bestFit="1" customWidth="1"/>
    <col min="10" max="16384" width="15.625" style="139"/>
  </cols>
  <sheetData>
    <row r="1" spans="1:9" s="188" customFormat="1" ht="24.75" customHeight="1">
      <c r="A1" s="188" t="s">
        <v>1877</v>
      </c>
      <c r="D1" s="188" t="s">
        <v>1893</v>
      </c>
      <c r="E1" s="188" t="s">
        <v>1978</v>
      </c>
      <c r="F1" s="188" t="str">
        <f>"已讀  " &amp; COUNTA(F2:F1973) &amp; "  家"</f>
        <v>已讀  0  家</v>
      </c>
      <c r="G1" s="207" t="str">
        <f>"待讀" &amp; COUNTA(G2:G2000) &amp; "  家"</f>
        <v>待讀0  家</v>
      </c>
      <c r="H1" s="188" t="s">
        <v>1926</v>
      </c>
      <c r="I1" s="188" t="s">
        <v>1927</v>
      </c>
    </row>
    <row r="2" spans="1:9">
      <c r="A2" s="140" t="s">
        <v>1878</v>
      </c>
      <c r="B2" s="141">
        <f ca="1">TODAY()</f>
        <v>42424</v>
      </c>
      <c r="C2" s="145">
        <f ca="1">B2-WEEKDAY(TODAY())-1</f>
        <v>42419</v>
      </c>
      <c r="D2" s="201">
        <v>1101</v>
      </c>
    </row>
    <row r="3" spans="1:9">
      <c r="A3" s="142" t="s">
        <v>1879</v>
      </c>
      <c r="B3" s="143" t="s">
        <v>1886</v>
      </c>
      <c r="C3" s="145">
        <f ca="1">C2-7</f>
        <v>42412</v>
      </c>
      <c r="D3" s="201">
        <v>1102</v>
      </c>
      <c r="F3" s="201"/>
    </row>
    <row r="4" spans="1:9">
      <c r="A4" s="142" t="s">
        <v>1879</v>
      </c>
      <c r="B4" s="143" t="s">
        <v>1882</v>
      </c>
      <c r="C4" s="145">
        <f ca="1">C3-7</f>
        <v>42405</v>
      </c>
      <c r="D4" s="201">
        <v>1103</v>
      </c>
      <c r="F4" s="201"/>
      <c r="H4" s="187"/>
    </row>
    <row r="5" spans="1:9">
      <c r="A5" s="142" t="s">
        <v>1879</v>
      </c>
      <c r="B5" s="143" t="s">
        <v>1883</v>
      </c>
      <c r="C5" s="145">
        <f ca="1">C4-7</f>
        <v>42398</v>
      </c>
      <c r="D5" s="201">
        <v>1104</v>
      </c>
      <c r="H5" s="187"/>
    </row>
    <row r="6" spans="1:9">
      <c r="A6" s="142" t="s">
        <v>1879</v>
      </c>
      <c r="B6" s="143" t="s">
        <v>1884</v>
      </c>
      <c r="C6" s="145">
        <f ca="1">C5-7</f>
        <v>42391</v>
      </c>
      <c r="D6" s="201">
        <v>1108</v>
      </c>
      <c r="F6" s="201"/>
      <c r="H6" s="187"/>
    </row>
    <row r="7" spans="1:9">
      <c r="A7" s="142" t="s">
        <v>1879</v>
      </c>
      <c r="B7" s="143" t="s">
        <v>1885</v>
      </c>
      <c r="C7" s="145">
        <f ca="1">C6-7</f>
        <v>42384</v>
      </c>
      <c r="D7" s="201">
        <v>1109</v>
      </c>
      <c r="F7" s="201"/>
      <c r="H7" s="187"/>
    </row>
    <row r="8" spans="1:9">
      <c r="A8" s="142" t="s">
        <v>1955</v>
      </c>
      <c r="B8" s="143"/>
      <c r="C8" s="139">
        <v>0.02</v>
      </c>
      <c r="D8" s="201">
        <v>1110</v>
      </c>
      <c r="F8" s="201"/>
      <c r="H8" s="187"/>
    </row>
    <row r="9" spans="1:9">
      <c r="A9" s="144" t="s">
        <v>150</v>
      </c>
      <c r="B9" s="144"/>
      <c r="C9" s="144">
        <v>25</v>
      </c>
      <c r="D9" s="201">
        <v>1201</v>
      </c>
      <c r="F9" s="201"/>
      <c r="H9" s="187"/>
    </row>
    <row r="10" spans="1:9">
      <c r="A10" s="144" t="s">
        <v>219</v>
      </c>
      <c r="B10" s="144"/>
      <c r="C10" s="144"/>
      <c r="D10" s="201">
        <v>1203</v>
      </c>
      <c r="H10" s="187"/>
    </row>
    <row r="11" spans="1:9">
      <c r="A11" s="144" t="s">
        <v>220</v>
      </c>
      <c r="B11" s="144"/>
      <c r="C11" s="144"/>
      <c r="D11" s="201">
        <v>1210</v>
      </c>
      <c r="F11" s="201"/>
      <c r="H11" s="187"/>
    </row>
    <row r="12" spans="1:9">
      <c r="D12" s="201">
        <v>1213</v>
      </c>
      <c r="F12" s="187"/>
      <c r="H12" s="187"/>
    </row>
    <row r="13" spans="1:9">
      <c r="D13" s="201">
        <v>1215</v>
      </c>
      <c r="F13" s="201"/>
      <c r="H13" s="187"/>
    </row>
    <row r="14" spans="1:9">
      <c r="D14" s="201">
        <v>1216</v>
      </c>
      <c r="F14" s="201"/>
      <c r="H14" s="187"/>
    </row>
    <row r="15" spans="1:9">
      <c r="D15" s="201">
        <v>1217</v>
      </c>
      <c r="F15" s="201"/>
      <c r="H15" s="187"/>
    </row>
    <row r="16" spans="1:9">
      <c r="D16" s="201">
        <v>1218</v>
      </c>
      <c r="H16" s="187"/>
    </row>
    <row r="17" spans="4:8">
      <c r="D17" s="201">
        <v>1219</v>
      </c>
      <c r="F17" s="201"/>
      <c r="H17" s="187"/>
    </row>
    <row r="18" spans="4:8">
      <c r="D18" s="201">
        <v>1220</v>
      </c>
      <c r="H18" s="187"/>
    </row>
    <row r="19" spans="4:8">
      <c r="D19" s="201">
        <v>1225</v>
      </c>
      <c r="H19" s="187"/>
    </row>
    <row r="20" spans="4:8">
      <c r="D20" s="201">
        <v>1227</v>
      </c>
      <c r="H20" s="187"/>
    </row>
    <row r="21" spans="4:8">
      <c r="D21" s="201">
        <v>1229</v>
      </c>
      <c r="H21" s="187"/>
    </row>
    <row r="22" spans="4:8">
      <c r="D22" s="201">
        <v>1231</v>
      </c>
      <c r="F22" s="187"/>
      <c r="H22" s="187"/>
    </row>
    <row r="23" spans="4:8">
      <c r="D23" s="201">
        <v>1232</v>
      </c>
      <c r="H23" s="187"/>
    </row>
    <row r="24" spans="4:8">
      <c r="D24" s="201">
        <v>1233</v>
      </c>
      <c r="F24" s="187"/>
      <c r="H24" s="187"/>
    </row>
    <row r="25" spans="4:8">
      <c r="D25" s="201">
        <v>1234</v>
      </c>
      <c r="F25" s="187"/>
    </row>
    <row r="26" spans="4:8">
      <c r="D26" s="201">
        <v>1235</v>
      </c>
      <c r="F26" s="187"/>
    </row>
    <row r="27" spans="4:8">
      <c r="D27" s="201">
        <v>1236</v>
      </c>
      <c r="F27" s="187"/>
    </row>
    <row r="28" spans="4:8">
      <c r="D28" s="201">
        <v>1262</v>
      </c>
      <c r="F28" s="187"/>
    </row>
    <row r="29" spans="4:8">
      <c r="D29" s="201">
        <v>1301</v>
      </c>
      <c r="F29" s="187"/>
    </row>
    <row r="30" spans="4:8">
      <c r="D30" s="201">
        <v>1303</v>
      </c>
      <c r="F30" s="187"/>
    </row>
    <row r="31" spans="4:8">
      <c r="D31" s="201">
        <v>1304</v>
      </c>
    </row>
    <row r="32" spans="4:8">
      <c r="D32" s="201">
        <v>1305</v>
      </c>
    </row>
    <row r="33" spans="4:6">
      <c r="D33" s="201">
        <v>1307</v>
      </c>
    </row>
    <row r="34" spans="4:6">
      <c r="D34" s="201">
        <v>1308</v>
      </c>
      <c r="F34" s="187"/>
    </row>
    <row r="35" spans="4:6">
      <c r="D35" s="201">
        <v>1309</v>
      </c>
      <c r="F35" s="187"/>
    </row>
    <row r="36" spans="4:6">
      <c r="D36" s="201">
        <v>1310</v>
      </c>
      <c r="F36" s="187"/>
    </row>
    <row r="37" spans="4:6">
      <c r="D37" s="201">
        <v>1312</v>
      </c>
    </row>
    <row r="38" spans="4:6">
      <c r="D38" s="201">
        <v>1313</v>
      </c>
      <c r="F38" s="187"/>
    </row>
    <row r="39" spans="4:6">
      <c r="D39" s="201">
        <v>1314</v>
      </c>
      <c r="F39" s="187"/>
    </row>
    <row r="40" spans="4:6">
      <c r="D40" s="201">
        <v>1315</v>
      </c>
      <c r="F40" s="187"/>
    </row>
    <row r="41" spans="4:6">
      <c r="D41" s="201">
        <v>1316</v>
      </c>
      <c r="F41" s="187"/>
    </row>
    <row r="42" spans="4:6">
      <c r="D42" s="201">
        <v>1319</v>
      </c>
      <c r="F42" s="187"/>
    </row>
    <row r="43" spans="4:6">
      <c r="D43" s="201">
        <v>1321</v>
      </c>
      <c r="F43" s="187"/>
    </row>
    <row r="44" spans="4:6">
      <c r="D44" s="201">
        <v>1323</v>
      </c>
      <c r="F44" s="187"/>
    </row>
    <row r="45" spans="4:6">
      <c r="D45" s="201">
        <v>1324</v>
      </c>
    </row>
    <row r="46" spans="4:6">
      <c r="D46" s="201">
        <v>1325</v>
      </c>
    </row>
    <row r="47" spans="4:6">
      <c r="D47" s="201">
        <v>1326</v>
      </c>
      <c r="F47" s="187"/>
    </row>
    <row r="48" spans="4:6">
      <c r="D48" s="201">
        <v>1337</v>
      </c>
    </row>
    <row r="49" spans="4:6">
      <c r="D49" s="201">
        <v>1338</v>
      </c>
      <c r="F49" s="187"/>
    </row>
    <row r="50" spans="4:6">
      <c r="D50" s="201">
        <v>1339</v>
      </c>
    </row>
    <row r="51" spans="4:6">
      <c r="D51" s="201">
        <v>1340</v>
      </c>
    </row>
    <row r="52" spans="4:6">
      <c r="D52" s="201">
        <v>1402</v>
      </c>
      <c r="F52" s="187"/>
    </row>
    <row r="53" spans="4:6">
      <c r="D53" s="201">
        <v>1410</v>
      </c>
      <c r="F53" s="187"/>
    </row>
    <row r="54" spans="4:6">
      <c r="D54" s="201">
        <v>1413</v>
      </c>
    </row>
    <row r="55" spans="4:6">
      <c r="D55" s="201">
        <v>1414</v>
      </c>
      <c r="F55" s="187"/>
    </row>
    <row r="56" spans="4:6">
      <c r="D56" s="201">
        <v>1416</v>
      </c>
      <c r="F56" s="187"/>
    </row>
    <row r="57" spans="4:6">
      <c r="D57" s="201">
        <v>1417</v>
      </c>
      <c r="F57" s="187"/>
    </row>
    <row r="58" spans="4:6">
      <c r="D58" s="201">
        <v>1418</v>
      </c>
      <c r="F58" s="201"/>
    </row>
    <row r="59" spans="4:6">
      <c r="D59" s="201">
        <v>1419</v>
      </c>
      <c r="F59" s="201"/>
    </row>
    <row r="60" spans="4:6">
      <c r="D60" s="201">
        <v>1423</v>
      </c>
      <c r="F60" s="20"/>
    </row>
    <row r="61" spans="4:6">
      <c r="D61" s="201">
        <v>1432</v>
      </c>
      <c r="F61" s="201"/>
    </row>
    <row r="62" spans="4:6">
      <c r="D62" s="201">
        <v>1434</v>
      </c>
    </row>
    <row r="63" spans="4:6">
      <c r="D63" s="201">
        <v>1436</v>
      </c>
      <c r="F63" s="187"/>
    </row>
    <row r="64" spans="4:6">
      <c r="D64" s="201">
        <v>1437</v>
      </c>
    </row>
    <row r="65" spans="4:8">
      <c r="D65" s="201">
        <v>1438</v>
      </c>
      <c r="F65" s="187"/>
    </row>
    <row r="66" spans="4:8">
      <c r="D66" s="201">
        <v>1439</v>
      </c>
      <c r="F66" s="187"/>
    </row>
    <row r="67" spans="4:8">
      <c r="D67" s="201">
        <v>1440</v>
      </c>
    </row>
    <row r="68" spans="4:8">
      <c r="D68" s="201">
        <v>1441</v>
      </c>
      <c r="F68" s="187"/>
    </row>
    <row r="69" spans="4:8">
      <c r="D69" s="201">
        <v>1442</v>
      </c>
    </row>
    <row r="70" spans="4:8">
      <c r="D70" s="201">
        <v>1443</v>
      </c>
    </row>
    <row r="71" spans="4:8">
      <c r="D71" s="201">
        <v>1444</v>
      </c>
      <c r="F71" s="187"/>
    </row>
    <row r="72" spans="4:8">
      <c r="D72" s="201">
        <v>1445</v>
      </c>
    </row>
    <row r="73" spans="4:8">
      <c r="D73" s="201">
        <v>1446</v>
      </c>
      <c r="F73" s="187"/>
    </row>
    <row r="74" spans="4:8">
      <c r="D74" s="201">
        <v>1447</v>
      </c>
    </row>
    <row r="75" spans="4:8">
      <c r="D75" s="201">
        <v>1449</v>
      </c>
      <c r="F75" s="187"/>
    </row>
    <row r="76" spans="4:8">
      <c r="D76" s="201">
        <v>1451</v>
      </c>
      <c r="F76" s="187"/>
    </row>
    <row r="77" spans="4:8">
      <c r="D77" s="201">
        <v>1452</v>
      </c>
      <c r="F77" s="187"/>
    </row>
    <row r="78" spans="4:8">
      <c r="D78" s="201">
        <v>1453</v>
      </c>
      <c r="F78" s="187"/>
      <c r="H78" s="187"/>
    </row>
    <row r="79" spans="4:8">
      <c r="D79" s="201">
        <v>1454</v>
      </c>
      <c r="F79" s="201"/>
      <c r="H79" s="187"/>
    </row>
    <row r="80" spans="4:8">
      <c r="D80" s="201">
        <v>1455</v>
      </c>
      <c r="H80" s="187"/>
    </row>
    <row r="81" spans="4:8">
      <c r="D81" s="201">
        <v>1456</v>
      </c>
      <c r="F81" s="20"/>
      <c r="H81" s="187"/>
    </row>
    <row r="82" spans="4:8">
      <c r="D82" s="201">
        <v>1457</v>
      </c>
      <c r="F82" s="201"/>
      <c r="H82" s="187"/>
    </row>
    <row r="83" spans="4:8">
      <c r="D83" s="201">
        <v>1459</v>
      </c>
      <c r="F83" s="20"/>
      <c r="H83" s="187"/>
    </row>
    <row r="84" spans="4:8">
      <c r="D84" s="201">
        <v>1460</v>
      </c>
      <c r="H84" s="187"/>
    </row>
    <row r="85" spans="4:8">
      <c r="D85" s="201">
        <v>1463</v>
      </c>
      <c r="F85" s="187"/>
      <c r="H85" s="187"/>
    </row>
    <row r="86" spans="4:8">
      <c r="D86" s="201">
        <v>1464</v>
      </c>
      <c r="F86" s="187"/>
      <c r="H86" s="187"/>
    </row>
    <row r="87" spans="4:8">
      <c r="D87" s="201">
        <v>1465</v>
      </c>
      <c r="F87" s="201"/>
      <c r="H87" s="187"/>
    </row>
    <row r="88" spans="4:8">
      <c r="D88" s="201">
        <v>1466</v>
      </c>
      <c r="H88" s="187"/>
    </row>
    <row r="89" spans="4:8">
      <c r="D89" s="201">
        <v>1467</v>
      </c>
      <c r="F89" s="187"/>
      <c r="H89" s="187"/>
    </row>
    <row r="90" spans="4:8">
      <c r="D90" s="201">
        <v>1468</v>
      </c>
      <c r="F90" s="187"/>
      <c r="H90" s="187"/>
    </row>
    <row r="91" spans="4:8">
      <c r="D91" s="201">
        <v>1469</v>
      </c>
      <c r="F91" s="187"/>
      <c r="H91" s="187"/>
    </row>
    <row r="92" spans="4:8">
      <c r="D92" s="201">
        <v>1470</v>
      </c>
      <c r="F92" s="187"/>
      <c r="H92" s="187"/>
    </row>
    <row r="93" spans="4:8">
      <c r="D93" s="201">
        <v>1471</v>
      </c>
      <c r="H93" s="187"/>
    </row>
    <row r="94" spans="4:8">
      <c r="D94" s="201">
        <v>1472</v>
      </c>
      <c r="F94" s="187"/>
      <c r="H94" s="187"/>
    </row>
    <row r="95" spans="4:8">
      <c r="D95" s="201">
        <v>1473</v>
      </c>
      <c r="H95" s="187"/>
    </row>
    <row r="96" spans="4:8">
      <c r="D96" s="201">
        <v>1474</v>
      </c>
      <c r="F96" s="187"/>
      <c r="H96" s="187"/>
    </row>
    <row r="97" spans="4:8">
      <c r="D97" s="201">
        <v>1475</v>
      </c>
      <c r="F97" s="187"/>
      <c r="H97" s="187"/>
    </row>
    <row r="98" spans="4:8">
      <c r="D98" s="201">
        <v>1476</v>
      </c>
      <c r="F98" s="187"/>
      <c r="H98" s="187"/>
    </row>
    <row r="99" spans="4:8">
      <c r="D99" s="201">
        <v>1477</v>
      </c>
      <c r="H99" s="187"/>
    </row>
    <row r="100" spans="4:8">
      <c r="D100" s="201">
        <v>1503</v>
      </c>
      <c r="F100" s="187"/>
      <c r="H100" s="187"/>
    </row>
    <row r="101" spans="4:8">
      <c r="D101" s="201">
        <v>1504</v>
      </c>
      <c r="F101" s="187"/>
      <c r="H101" s="187"/>
    </row>
    <row r="102" spans="4:8">
      <c r="D102" s="201">
        <v>1506</v>
      </c>
      <c r="F102" s="187"/>
      <c r="H102" s="187"/>
    </row>
    <row r="103" spans="4:8">
      <c r="D103" s="201">
        <v>1507</v>
      </c>
      <c r="F103" s="201"/>
      <c r="H103" s="187"/>
    </row>
    <row r="104" spans="4:8">
      <c r="D104" s="201">
        <v>1512</v>
      </c>
      <c r="F104" s="187"/>
      <c r="H104" s="187"/>
    </row>
    <row r="105" spans="4:8">
      <c r="D105" s="201">
        <v>1513</v>
      </c>
      <c r="H105" s="187"/>
    </row>
    <row r="106" spans="4:8">
      <c r="D106" s="201">
        <v>1514</v>
      </c>
      <c r="F106" s="201"/>
      <c r="H106" s="187"/>
    </row>
    <row r="107" spans="4:8">
      <c r="D107" s="201">
        <v>1515</v>
      </c>
    </row>
    <row r="108" spans="4:8">
      <c r="D108" s="201">
        <v>1516</v>
      </c>
      <c r="F108" s="20"/>
    </row>
    <row r="109" spans="4:8">
      <c r="D109" s="201">
        <v>1517</v>
      </c>
      <c r="F109" s="201"/>
    </row>
    <row r="110" spans="4:8">
      <c r="D110" s="201">
        <v>1519</v>
      </c>
      <c r="F110" s="187"/>
    </row>
    <row r="111" spans="4:8">
      <c r="D111" s="201">
        <v>1521</v>
      </c>
    </row>
    <row r="112" spans="4:8">
      <c r="D112" s="201">
        <v>1522</v>
      </c>
    </row>
    <row r="113" spans="4:6">
      <c r="D113" s="201">
        <v>1524</v>
      </c>
      <c r="F113" s="187"/>
    </row>
    <row r="114" spans="4:6">
      <c r="D114" s="201">
        <v>1525</v>
      </c>
      <c r="F114" s="187"/>
    </row>
    <row r="115" spans="4:6">
      <c r="D115" s="201">
        <v>1526</v>
      </c>
    </row>
    <row r="116" spans="4:6">
      <c r="D116" s="201">
        <v>1527</v>
      </c>
      <c r="F116" s="187"/>
    </row>
    <row r="117" spans="4:6">
      <c r="D117" s="201">
        <v>1528</v>
      </c>
      <c r="F117" s="187"/>
    </row>
    <row r="118" spans="4:6">
      <c r="D118" s="201">
        <v>1529</v>
      </c>
      <c r="F118" s="201"/>
    </row>
    <row r="119" spans="4:6">
      <c r="D119" s="201">
        <v>1530</v>
      </c>
      <c r="F119" s="187"/>
    </row>
    <row r="120" spans="4:6">
      <c r="D120" s="201">
        <v>1531</v>
      </c>
    </row>
    <row r="121" spans="4:6">
      <c r="D121" s="201">
        <v>1532</v>
      </c>
    </row>
    <row r="122" spans="4:6">
      <c r="D122" s="201">
        <v>1533</v>
      </c>
    </row>
    <row r="123" spans="4:6">
      <c r="D123" s="201">
        <v>1535</v>
      </c>
      <c r="F123" s="201"/>
    </row>
    <row r="124" spans="4:6">
      <c r="D124" s="201">
        <v>1536</v>
      </c>
      <c r="F124" s="201"/>
    </row>
    <row r="125" spans="4:6">
      <c r="D125" s="201">
        <v>1537</v>
      </c>
    </row>
    <row r="126" spans="4:6">
      <c r="D126" s="201">
        <v>1538</v>
      </c>
      <c r="F126" s="201"/>
    </row>
    <row r="127" spans="4:6">
      <c r="D127" s="201">
        <v>1539</v>
      </c>
      <c r="F127" s="201"/>
    </row>
    <row r="128" spans="4:6">
      <c r="D128" s="201">
        <v>1540</v>
      </c>
      <c r="F128" s="201"/>
    </row>
    <row r="129" spans="4:6">
      <c r="D129" s="201">
        <v>1541</v>
      </c>
      <c r="F129" s="201"/>
    </row>
    <row r="130" spans="4:6">
      <c r="D130" s="201">
        <v>1558</v>
      </c>
      <c r="F130" s="201"/>
    </row>
    <row r="131" spans="4:6">
      <c r="D131" s="201">
        <v>1560</v>
      </c>
    </row>
    <row r="132" spans="4:6">
      <c r="D132" s="201">
        <v>1568</v>
      </c>
      <c r="F132" s="201"/>
    </row>
    <row r="133" spans="4:6">
      <c r="D133" s="201">
        <v>1582</v>
      </c>
    </row>
    <row r="134" spans="4:6">
      <c r="D134" s="201">
        <v>1583</v>
      </c>
      <c r="F134" s="201"/>
    </row>
    <row r="135" spans="4:6">
      <c r="D135" s="201">
        <v>1589</v>
      </c>
    </row>
    <row r="136" spans="4:6">
      <c r="D136" s="201">
        <v>1590</v>
      </c>
      <c r="F136" s="201"/>
    </row>
    <row r="137" spans="4:6">
      <c r="D137" s="201">
        <v>1592</v>
      </c>
    </row>
    <row r="138" spans="4:6">
      <c r="D138" s="201">
        <v>1603</v>
      </c>
    </row>
    <row r="139" spans="4:6">
      <c r="D139" s="201">
        <v>1604</v>
      </c>
      <c r="F139" s="201"/>
    </row>
    <row r="140" spans="4:6">
      <c r="D140" s="201">
        <v>1605</v>
      </c>
    </row>
    <row r="141" spans="4:6">
      <c r="D141" s="201">
        <v>1608</v>
      </c>
      <c r="F141" s="201"/>
    </row>
    <row r="142" spans="4:6">
      <c r="D142" s="201">
        <v>1609</v>
      </c>
      <c r="F142" s="201"/>
    </row>
    <row r="143" spans="4:6">
      <c r="D143" s="201">
        <v>1611</v>
      </c>
      <c r="F143" s="201"/>
    </row>
    <row r="144" spans="4:6">
      <c r="D144" s="201">
        <v>1612</v>
      </c>
    </row>
    <row r="145" spans="4:6">
      <c r="D145" s="201">
        <v>1613</v>
      </c>
      <c r="F145" s="201"/>
    </row>
    <row r="146" spans="4:6">
      <c r="D146" s="201">
        <v>1614</v>
      </c>
    </row>
    <row r="147" spans="4:6">
      <c r="D147" s="201">
        <v>1615</v>
      </c>
      <c r="F147" s="201"/>
    </row>
    <row r="148" spans="4:6">
      <c r="D148" s="201">
        <v>1616</v>
      </c>
      <c r="F148" s="201"/>
    </row>
    <row r="149" spans="4:6">
      <c r="D149" s="201">
        <v>1617</v>
      </c>
      <c r="F149" s="201"/>
    </row>
    <row r="150" spans="4:6">
      <c r="D150" s="201">
        <v>1618</v>
      </c>
      <c r="F150" s="201"/>
    </row>
    <row r="151" spans="4:6">
      <c r="D151" s="201">
        <v>1626</v>
      </c>
      <c r="F151" s="201"/>
    </row>
    <row r="152" spans="4:6">
      <c r="D152" s="201">
        <v>1701</v>
      </c>
      <c r="F152" s="201"/>
    </row>
    <row r="153" spans="4:6">
      <c r="D153" s="201">
        <v>1702</v>
      </c>
      <c r="F153" s="201"/>
    </row>
    <row r="154" spans="4:6">
      <c r="D154" s="201">
        <v>1704</v>
      </c>
      <c r="F154" s="201"/>
    </row>
    <row r="155" spans="4:6">
      <c r="D155" s="201">
        <v>1707</v>
      </c>
      <c r="F155" s="201"/>
    </row>
    <row r="156" spans="4:6">
      <c r="D156" s="201">
        <v>1708</v>
      </c>
      <c r="F156" s="201"/>
    </row>
    <row r="157" spans="4:6">
      <c r="D157" s="201">
        <v>1709</v>
      </c>
    </row>
    <row r="158" spans="4:6">
      <c r="D158" s="201">
        <v>1710</v>
      </c>
    </row>
    <row r="159" spans="4:6">
      <c r="D159" s="201">
        <v>1711</v>
      </c>
      <c r="F159" s="201"/>
    </row>
    <row r="160" spans="4:6">
      <c r="D160" s="201">
        <v>1712</v>
      </c>
    </row>
    <row r="161" spans="4:6">
      <c r="D161" s="201">
        <v>1713</v>
      </c>
      <c r="F161" s="201"/>
    </row>
    <row r="162" spans="4:6">
      <c r="D162" s="201">
        <v>1714</v>
      </c>
    </row>
    <row r="163" spans="4:6">
      <c r="D163" s="201">
        <v>1715</v>
      </c>
      <c r="F163" s="201"/>
    </row>
    <row r="164" spans="4:6">
      <c r="D164" s="201">
        <v>1717</v>
      </c>
    </row>
    <row r="165" spans="4:6">
      <c r="D165" s="201">
        <v>1720</v>
      </c>
    </row>
    <row r="166" spans="4:6">
      <c r="D166" s="201">
        <v>1721</v>
      </c>
      <c r="F166" s="201"/>
    </row>
    <row r="167" spans="4:6">
      <c r="D167" s="201">
        <v>1722</v>
      </c>
      <c r="F167" s="20"/>
    </row>
    <row r="168" spans="4:6">
      <c r="D168" s="201">
        <v>1723</v>
      </c>
      <c r="F168" s="201"/>
    </row>
    <row r="169" spans="4:6">
      <c r="D169" s="201">
        <v>1724</v>
      </c>
      <c r="F169" s="201"/>
    </row>
    <row r="170" spans="4:6">
      <c r="D170" s="201">
        <v>1725</v>
      </c>
      <c r="F170" s="201"/>
    </row>
    <row r="171" spans="4:6">
      <c r="D171" s="201">
        <v>1726</v>
      </c>
      <c r="F171" s="201"/>
    </row>
    <row r="172" spans="4:6">
      <c r="D172" s="201">
        <v>1727</v>
      </c>
      <c r="F172" s="20"/>
    </row>
    <row r="173" spans="4:6">
      <c r="D173" s="201">
        <v>1729</v>
      </c>
      <c r="F173" s="201"/>
    </row>
    <row r="174" spans="4:6">
      <c r="D174" s="201">
        <v>1730</v>
      </c>
      <c r="F174" s="201"/>
    </row>
    <row r="175" spans="4:6">
      <c r="D175" s="201">
        <v>1731</v>
      </c>
      <c r="F175" s="201"/>
    </row>
    <row r="176" spans="4:6">
      <c r="D176" s="201">
        <v>1732</v>
      </c>
      <c r="F176" s="201"/>
    </row>
    <row r="177" spans="4:6">
      <c r="D177" s="201">
        <v>1733</v>
      </c>
      <c r="F177" s="20"/>
    </row>
    <row r="178" spans="4:6">
      <c r="D178" s="201">
        <v>1734</v>
      </c>
      <c r="F178" s="201"/>
    </row>
    <row r="179" spans="4:6">
      <c r="D179" s="201">
        <v>1735</v>
      </c>
    </row>
    <row r="180" spans="4:6">
      <c r="D180" s="201">
        <v>1736</v>
      </c>
      <c r="F180" s="201"/>
    </row>
    <row r="181" spans="4:6">
      <c r="D181" s="201">
        <v>1737</v>
      </c>
      <c r="F181" s="201"/>
    </row>
    <row r="182" spans="4:6">
      <c r="D182" s="201">
        <v>1762</v>
      </c>
      <c r="F182" s="201"/>
    </row>
    <row r="183" spans="4:6">
      <c r="D183" s="201">
        <v>1773</v>
      </c>
    </row>
    <row r="184" spans="4:6">
      <c r="D184" s="201">
        <v>1783</v>
      </c>
      <c r="F184" s="201"/>
    </row>
    <row r="185" spans="4:6">
      <c r="D185" s="201">
        <v>1786</v>
      </c>
      <c r="F185" s="201"/>
    </row>
    <row r="186" spans="4:6">
      <c r="D186" s="201">
        <v>1789</v>
      </c>
      <c r="F186" s="201"/>
    </row>
    <row r="187" spans="4:6">
      <c r="D187" s="201">
        <v>1802</v>
      </c>
      <c r="F187" s="20"/>
    </row>
    <row r="188" spans="4:6">
      <c r="D188" s="201">
        <v>1805</v>
      </c>
      <c r="F188" s="20"/>
    </row>
    <row r="189" spans="4:6">
      <c r="D189" s="201">
        <v>1806</v>
      </c>
      <c r="F189" s="201"/>
    </row>
    <row r="190" spans="4:6">
      <c r="D190" s="201">
        <v>1808</v>
      </c>
      <c r="F190" s="20"/>
    </row>
    <row r="191" spans="4:6">
      <c r="D191" s="201">
        <v>1809</v>
      </c>
      <c r="F191" s="201"/>
    </row>
    <row r="192" spans="4:6">
      <c r="D192" s="201">
        <v>1810</v>
      </c>
      <c r="F192" s="201"/>
    </row>
    <row r="193" spans="4:6">
      <c r="D193" s="201">
        <v>1817</v>
      </c>
      <c r="F193" s="20"/>
    </row>
    <row r="194" spans="4:6">
      <c r="D194" s="201">
        <v>1902</v>
      </c>
      <c r="F194" s="20"/>
    </row>
    <row r="195" spans="4:6">
      <c r="D195" s="201">
        <v>1903</v>
      </c>
      <c r="F195" s="201"/>
    </row>
    <row r="196" spans="4:6">
      <c r="D196" s="201">
        <v>1904</v>
      </c>
      <c r="F196" s="20"/>
    </row>
    <row r="197" spans="4:6">
      <c r="D197" s="201">
        <v>1905</v>
      </c>
      <c r="F197" s="201"/>
    </row>
    <row r="198" spans="4:6">
      <c r="D198" s="201">
        <v>1906</v>
      </c>
    </row>
    <row r="199" spans="4:6">
      <c r="D199" s="201">
        <v>1907</v>
      </c>
      <c r="F199" s="20"/>
    </row>
    <row r="200" spans="4:6">
      <c r="D200" s="201">
        <v>1909</v>
      </c>
      <c r="F200" s="20"/>
    </row>
    <row r="201" spans="4:6">
      <c r="D201" s="201">
        <v>2002</v>
      </c>
      <c r="F201" s="201"/>
    </row>
    <row r="202" spans="4:6">
      <c r="D202" s="201">
        <v>2006</v>
      </c>
      <c r="F202" s="201"/>
    </row>
    <row r="203" spans="4:6">
      <c r="D203" s="201">
        <v>2007</v>
      </c>
      <c r="F203" s="20"/>
    </row>
    <row r="204" spans="4:6">
      <c r="D204" s="201">
        <v>2008</v>
      </c>
      <c r="F204" s="20"/>
    </row>
    <row r="205" spans="4:6">
      <c r="D205" s="201">
        <v>2009</v>
      </c>
      <c r="F205" s="20"/>
    </row>
    <row r="206" spans="4:6">
      <c r="D206" s="201">
        <v>2010</v>
      </c>
      <c r="F206" s="201"/>
    </row>
    <row r="207" spans="4:6">
      <c r="D207" s="201">
        <v>2012</v>
      </c>
      <c r="F207" s="201"/>
    </row>
    <row r="208" spans="4:6">
      <c r="D208" s="201">
        <v>2013</v>
      </c>
      <c r="F208" s="201"/>
    </row>
    <row r="209" spans="4:6">
      <c r="D209" s="201">
        <v>2014</v>
      </c>
      <c r="F209" s="20"/>
    </row>
    <row r="210" spans="4:6">
      <c r="D210" s="201">
        <v>2015</v>
      </c>
      <c r="F210" s="201"/>
    </row>
    <row r="211" spans="4:6">
      <c r="D211" s="201">
        <v>2017</v>
      </c>
      <c r="F211" s="201"/>
    </row>
    <row r="212" spans="4:6">
      <c r="D212" s="201">
        <v>2020</v>
      </c>
      <c r="F212" s="201"/>
    </row>
    <row r="213" spans="4:6">
      <c r="D213" s="201">
        <v>2022</v>
      </c>
      <c r="F213" s="201"/>
    </row>
    <row r="214" spans="4:6">
      <c r="D214" s="201">
        <v>2023</v>
      </c>
      <c r="F214" s="201"/>
    </row>
    <row r="215" spans="4:6">
      <c r="D215" s="201">
        <v>2024</v>
      </c>
      <c r="F215" s="201"/>
    </row>
    <row r="216" spans="4:6">
      <c r="D216" s="201">
        <v>2025</v>
      </c>
      <c r="F216" s="20"/>
    </row>
    <row r="217" spans="4:6">
      <c r="D217" s="201">
        <v>2027</v>
      </c>
      <c r="F217" s="20"/>
    </row>
    <row r="218" spans="4:6">
      <c r="D218" s="201">
        <v>2028</v>
      </c>
      <c r="F218" s="201"/>
    </row>
    <row r="219" spans="4:6">
      <c r="D219" s="201">
        <v>2029</v>
      </c>
      <c r="F219" s="20"/>
    </row>
    <row r="220" spans="4:6">
      <c r="D220" s="201">
        <v>2030</v>
      </c>
      <c r="F220" s="201"/>
    </row>
    <row r="221" spans="4:6">
      <c r="D221" s="201">
        <v>2031</v>
      </c>
      <c r="F221" s="201"/>
    </row>
    <row r="222" spans="4:6">
      <c r="D222" s="201">
        <v>2032</v>
      </c>
      <c r="F222" s="20"/>
    </row>
    <row r="223" spans="4:6">
      <c r="D223" s="201">
        <v>2033</v>
      </c>
      <c r="F223" s="20"/>
    </row>
    <row r="224" spans="4:6">
      <c r="D224" s="201">
        <v>2034</v>
      </c>
      <c r="F224" s="20"/>
    </row>
    <row r="225" spans="4:6">
      <c r="D225" s="201">
        <v>2038</v>
      </c>
      <c r="F225" s="20"/>
    </row>
    <row r="226" spans="4:6">
      <c r="D226" s="201">
        <v>2049</v>
      </c>
    </row>
    <row r="227" spans="4:6">
      <c r="D227" s="201">
        <v>2059</v>
      </c>
      <c r="F227" s="20"/>
    </row>
    <row r="228" spans="4:6">
      <c r="D228" s="201">
        <v>2062</v>
      </c>
      <c r="F228" s="20"/>
    </row>
    <row r="229" spans="4:6">
      <c r="D229" s="201">
        <v>2101</v>
      </c>
      <c r="F229" s="20"/>
    </row>
    <row r="230" spans="4:6">
      <c r="D230" s="201">
        <v>2102</v>
      </c>
      <c r="F230" s="20"/>
    </row>
    <row r="231" spans="4:6">
      <c r="D231" s="201">
        <v>2103</v>
      </c>
    </row>
    <row r="232" spans="4:6">
      <c r="D232" s="201">
        <v>2104</v>
      </c>
      <c r="F232" s="201"/>
    </row>
    <row r="233" spans="4:6">
      <c r="D233" s="201">
        <v>2105</v>
      </c>
      <c r="F233" s="20"/>
    </row>
    <row r="234" spans="4:6">
      <c r="D234" s="201">
        <v>2106</v>
      </c>
      <c r="F234" s="20"/>
    </row>
    <row r="235" spans="4:6">
      <c r="D235" s="201">
        <v>2107</v>
      </c>
      <c r="F235" s="201"/>
    </row>
    <row r="236" spans="4:6">
      <c r="D236" s="201">
        <v>2108</v>
      </c>
      <c r="F236" s="20"/>
    </row>
    <row r="237" spans="4:6">
      <c r="D237" s="201">
        <v>2109</v>
      </c>
    </row>
    <row r="238" spans="4:6">
      <c r="D238" s="201">
        <v>2114</v>
      </c>
      <c r="F238" s="20"/>
    </row>
    <row r="239" spans="4:6">
      <c r="D239" s="201">
        <v>2115</v>
      </c>
      <c r="F239" s="20"/>
    </row>
    <row r="240" spans="4:6">
      <c r="D240" s="201">
        <v>2201</v>
      </c>
      <c r="F240" s="20"/>
    </row>
    <row r="241" spans="4:6">
      <c r="D241" s="201">
        <v>2204</v>
      </c>
      <c r="F241" s="201"/>
    </row>
    <row r="242" spans="4:6">
      <c r="D242" s="201">
        <v>2206</v>
      </c>
      <c r="F242" s="201"/>
    </row>
    <row r="243" spans="4:6">
      <c r="D243" s="201">
        <v>2207</v>
      </c>
    </row>
    <row r="244" spans="4:6">
      <c r="D244" s="201">
        <v>2208</v>
      </c>
      <c r="F244" s="201"/>
    </row>
    <row r="245" spans="4:6">
      <c r="D245" s="201">
        <v>2227</v>
      </c>
      <c r="F245" s="201"/>
    </row>
    <row r="246" spans="4:6">
      <c r="D246" s="201">
        <v>2228</v>
      </c>
    </row>
    <row r="247" spans="4:6">
      <c r="D247" s="201">
        <v>2231</v>
      </c>
      <c r="F247" s="201"/>
    </row>
    <row r="248" spans="4:6">
      <c r="D248" s="201">
        <v>2236</v>
      </c>
    </row>
    <row r="249" spans="4:6">
      <c r="D249" s="201">
        <v>2301</v>
      </c>
      <c r="F249" s="20"/>
    </row>
    <row r="250" spans="4:6">
      <c r="D250" s="201">
        <v>2302</v>
      </c>
      <c r="F250" s="201"/>
    </row>
    <row r="251" spans="4:6">
      <c r="D251" s="201">
        <v>2303</v>
      </c>
      <c r="F251" s="201"/>
    </row>
    <row r="252" spans="4:6">
      <c r="D252" s="201">
        <v>2305</v>
      </c>
      <c r="F252" s="201"/>
    </row>
    <row r="253" spans="4:6">
      <c r="D253" s="201">
        <v>2308</v>
      </c>
      <c r="F253" s="20"/>
    </row>
    <row r="254" spans="4:6">
      <c r="D254" s="201">
        <v>2311</v>
      </c>
      <c r="F254" s="201"/>
    </row>
    <row r="255" spans="4:6">
      <c r="D255" s="201">
        <v>2312</v>
      </c>
      <c r="F255" s="201"/>
    </row>
    <row r="256" spans="4:6">
      <c r="D256" s="201">
        <v>2313</v>
      </c>
      <c r="F256" s="201"/>
    </row>
    <row r="257" spans="4:6">
      <c r="D257" s="201">
        <v>2314</v>
      </c>
      <c r="F257" s="201"/>
    </row>
    <row r="258" spans="4:6">
      <c r="D258" s="201">
        <v>2316</v>
      </c>
      <c r="F258" s="20"/>
    </row>
    <row r="259" spans="4:6">
      <c r="D259" s="201">
        <v>2317</v>
      </c>
    </row>
    <row r="260" spans="4:6">
      <c r="D260" s="201">
        <v>2321</v>
      </c>
      <c r="F260" s="201"/>
    </row>
    <row r="261" spans="4:6">
      <c r="D261" s="201">
        <v>2323</v>
      </c>
      <c r="F261" s="201"/>
    </row>
    <row r="262" spans="4:6">
      <c r="D262" s="201">
        <v>2324</v>
      </c>
      <c r="F262" s="201"/>
    </row>
    <row r="263" spans="4:6">
      <c r="D263" s="201">
        <v>2325</v>
      </c>
      <c r="F263" s="201"/>
    </row>
    <row r="264" spans="4:6">
      <c r="D264" s="201">
        <v>2327</v>
      </c>
    </row>
    <row r="265" spans="4:6">
      <c r="D265" s="201">
        <v>2328</v>
      </c>
      <c r="F265" s="201"/>
    </row>
    <row r="266" spans="4:6">
      <c r="D266" s="201">
        <v>2329</v>
      </c>
      <c r="F266" s="20"/>
    </row>
    <row r="267" spans="4:6">
      <c r="D267" s="201">
        <v>2330</v>
      </c>
      <c r="F267" s="201"/>
    </row>
    <row r="268" spans="4:6">
      <c r="D268" s="201">
        <v>2331</v>
      </c>
      <c r="F268" s="201"/>
    </row>
    <row r="269" spans="4:6">
      <c r="D269" s="201">
        <v>2332</v>
      </c>
      <c r="F269" s="201"/>
    </row>
    <row r="270" spans="4:6">
      <c r="D270" s="201">
        <v>2337</v>
      </c>
      <c r="F270" s="201"/>
    </row>
    <row r="271" spans="4:6">
      <c r="D271" s="201">
        <v>2338</v>
      </c>
      <c r="F271" s="201"/>
    </row>
    <row r="272" spans="4:6">
      <c r="D272" s="201">
        <v>2340</v>
      </c>
      <c r="F272" s="20"/>
    </row>
    <row r="273" spans="4:6">
      <c r="D273" s="201">
        <v>2342</v>
      </c>
      <c r="F273" s="201"/>
    </row>
    <row r="274" spans="4:6">
      <c r="D274" s="201">
        <v>2344</v>
      </c>
      <c r="F274" s="20"/>
    </row>
    <row r="275" spans="4:6">
      <c r="D275" s="201">
        <v>2345</v>
      </c>
      <c r="F275" s="20"/>
    </row>
    <row r="276" spans="4:6">
      <c r="D276" s="201">
        <v>2347</v>
      </c>
      <c r="F276" s="201"/>
    </row>
    <row r="277" spans="4:6">
      <c r="D277" s="201">
        <v>2348</v>
      </c>
      <c r="F277" s="20"/>
    </row>
    <row r="278" spans="4:6">
      <c r="D278" s="201">
        <v>2349</v>
      </c>
      <c r="F278" s="201"/>
    </row>
    <row r="279" spans="4:6">
      <c r="D279" s="201">
        <v>2351</v>
      </c>
      <c r="F279" s="201"/>
    </row>
    <row r="280" spans="4:6">
      <c r="D280" s="201">
        <v>2352</v>
      </c>
      <c r="F280" s="201"/>
    </row>
    <row r="281" spans="4:6">
      <c r="D281" s="201">
        <v>2353</v>
      </c>
      <c r="F281" s="20"/>
    </row>
    <row r="282" spans="4:6">
      <c r="D282" s="201">
        <v>2354</v>
      </c>
      <c r="F282" s="201"/>
    </row>
    <row r="283" spans="4:6">
      <c r="D283" s="201">
        <v>2355</v>
      </c>
      <c r="F283" s="201"/>
    </row>
    <row r="284" spans="4:6">
      <c r="D284" s="201">
        <v>2356</v>
      </c>
      <c r="F284" s="201"/>
    </row>
    <row r="285" spans="4:6">
      <c r="D285" s="201">
        <v>2357</v>
      </c>
      <c r="F285" s="20"/>
    </row>
    <row r="286" spans="4:6">
      <c r="D286" s="201">
        <v>2358</v>
      </c>
      <c r="F286" s="201"/>
    </row>
    <row r="287" spans="4:6">
      <c r="D287" s="201">
        <v>2359</v>
      </c>
      <c r="F287" s="201"/>
    </row>
    <row r="288" spans="4:6">
      <c r="D288" s="201">
        <v>2360</v>
      </c>
      <c r="F288" s="201"/>
    </row>
    <row r="289" spans="4:6">
      <c r="D289" s="201">
        <v>2361</v>
      </c>
      <c r="F289" s="201"/>
    </row>
    <row r="290" spans="4:6">
      <c r="D290" s="201">
        <v>2362</v>
      </c>
      <c r="F290" s="20"/>
    </row>
    <row r="291" spans="4:6">
      <c r="D291" s="201">
        <v>2363</v>
      </c>
      <c r="F291" s="20"/>
    </row>
    <row r="292" spans="4:6">
      <c r="D292" s="201">
        <v>2364</v>
      </c>
      <c r="F292" s="201"/>
    </row>
    <row r="293" spans="4:6">
      <c r="D293" s="201">
        <v>2365</v>
      </c>
      <c r="F293" s="201"/>
    </row>
    <row r="294" spans="4:6">
      <c r="D294" s="201">
        <v>2367</v>
      </c>
      <c r="F294" s="201"/>
    </row>
    <row r="295" spans="4:6">
      <c r="D295" s="201">
        <v>2368</v>
      </c>
      <c r="F295" s="201"/>
    </row>
    <row r="296" spans="4:6">
      <c r="D296" s="201">
        <v>2369</v>
      </c>
    </row>
    <row r="297" spans="4:6">
      <c r="D297" s="201">
        <v>2371</v>
      </c>
      <c r="F297" s="201"/>
    </row>
    <row r="298" spans="4:6">
      <c r="D298" s="201">
        <v>2373</v>
      </c>
      <c r="F298" s="20"/>
    </row>
    <row r="299" spans="4:6">
      <c r="D299" s="201">
        <v>2374</v>
      </c>
      <c r="F299" s="20"/>
    </row>
    <row r="300" spans="4:6">
      <c r="D300" s="201">
        <v>2375</v>
      </c>
      <c r="F300" s="20"/>
    </row>
    <row r="301" spans="4:6">
      <c r="D301" s="201">
        <v>2376</v>
      </c>
      <c r="F301" s="20"/>
    </row>
    <row r="302" spans="4:6">
      <c r="D302" s="201">
        <v>2377</v>
      </c>
      <c r="F302" s="201"/>
    </row>
    <row r="303" spans="4:6">
      <c r="D303" s="201">
        <v>2379</v>
      </c>
      <c r="F303" s="201"/>
    </row>
    <row r="304" spans="4:6">
      <c r="D304" s="201">
        <v>2380</v>
      </c>
      <c r="F304" s="201"/>
    </row>
    <row r="305" spans="4:6">
      <c r="D305" s="201">
        <v>2382</v>
      </c>
      <c r="F305" s="201"/>
    </row>
    <row r="306" spans="4:6">
      <c r="D306" s="201">
        <v>2383</v>
      </c>
      <c r="F306" s="201"/>
    </row>
    <row r="307" spans="4:6">
      <c r="D307" s="201">
        <v>2385</v>
      </c>
      <c r="F307" s="201"/>
    </row>
    <row r="308" spans="4:6">
      <c r="D308" s="201">
        <v>2387</v>
      </c>
      <c r="F308" s="20"/>
    </row>
    <row r="309" spans="4:6">
      <c r="D309" s="201">
        <v>2388</v>
      </c>
      <c r="F309" s="20"/>
    </row>
    <row r="310" spans="4:6">
      <c r="D310" s="201">
        <v>2390</v>
      </c>
      <c r="F310" s="20"/>
    </row>
    <row r="311" spans="4:6">
      <c r="D311" s="201">
        <v>2392</v>
      </c>
      <c r="F311" s="201"/>
    </row>
    <row r="312" spans="4:6">
      <c r="D312" s="201">
        <v>2393</v>
      </c>
      <c r="F312" s="201"/>
    </row>
    <row r="313" spans="4:6">
      <c r="D313" s="201">
        <v>2395</v>
      </c>
      <c r="F313" s="201"/>
    </row>
    <row r="314" spans="4:6">
      <c r="D314" s="201">
        <v>2397</v>
      </c>
      <c r="F314" s="201"/>
    </row>
    <row r="315" spans="4:6">
      <c r="D315" s="201">
        <v>2399</v>
      </c>
      <c r="F315" s="201"/>
    </row>
    <row r="316" spans="4:6">
      <c r="D316" s="201">
        <v>2401</v>
      </c>
    </row>
    <row r="317" spans="4:6">
      <c r="D317" s="201">
        <v>2402</v>
      </c>
    </row>
    <row r="318" spans="4:6">
      <c r="D318" s="201">
        <v>2404</v>
      </c>
      <c r="F318" s="20"/>
    </row>
    <row r="319" spans="4:6">
      <c r="D319" s="201">
        <v>2405</v>
      </c>
      <c r="F319" s="201"/>
    </row>
    <row r="320" spans="4:6">
      <c r="D320" s="201">
        <v>2406</v>
      </c>
      <c r="F320" s="201"/>
    </row>
    <row r="321" spans="4:6">
      <c r="D321" s="201">
        <v>2408</v>
      </c>
      <c r="F321" s="201"/>
    </row>
    <row r="322" spans="4:6">
      <c r="D322" s="201">
        <v>2409</v>
      </c>
    </row>
    <row r="323" spans="4:6">
      <c r="D323" s="201">
        <v>2412</v>
      </c>
      <c r="F323" s="201"/>
    </row>
    <row r="324" spans="4:6">
      <c r="D324" s="201">
        <v>2413</v>
      </c>
      <c r="F324" s="201"/>
    </row>
    <row r="325" spans="4:6">
      <c r="D325" s="201">
        <v>2414</v>
      </c>
      <c r="F325" s="201"/>
    </row>
    <row r="326" spans="4:6">
      <c r="D326" s="201">
        <v>2415</v>
      </c>
      <c r="F326" s="201"/>
    </row>
    <row r="327" spans="4:6">
      <c r="D327" s="201">
        <v>2417</v>
      </c>
      <c r="F327" s="201"/>
    </row>
    <row r="328" spans="4:6">
      <c r="D328" s="201">
        <v>2419</v>
      </c>
      <c r="F328" s="20"/>
    </row>
    <row r="329" spans="4:6">
      <c r="D329" s="201">
        <v>2420</v>
      </c>
      <c r="F329" s="201"/>
    </row>
    <row r="330" spans="4:6">
      <c r="D330" s="201">
        <v>2421</v>
      </c>
    </row>
    <row r="331" spans="4:6">
      <c r="D331" s="201">
        <v>2423</v>
      </c>
      <c r="F331" s="201"/>
    </row>
    <row r="332" spans="4:6">
      <c r="D332" s="201">
        <v>2424</v>
      </c>
      <c r="F332" s="201"/>
    </row>
    <row r="333" spans="4:6">
      <c r="D333" s="201">
        <v>2425</v>
      </c>
    </row>
    <row r="334" spans="4:6">
      <c r="D334" s="201">
        <v>2426</v>
      </c>
      <c r="F334" s="201"/>
    </row>
    <row r="335" spans="4:6">
      <c r="D335" s="201">
        <v>2427</v>
      </c>
      <c r="F335" s="20"/>
    </row>
    <row r="336" spans="4:6">
      <c r="D336" s="201">
        <v>2428</v>
      </c>
    </row>
    <row r="337" spans="4:6">
      <c r="D337" s="201">
        <v>2429</v>
      </c>
      <c r="F337" s="201"/>
    </row>
    <row r="338" spans="4:6">
      <c r="D338" s="201">
        <v>2430</v>
      </c>
    </row>
    <row r="339" spans="4:6">
      <c r="D339" s="201">
        <v>2431</v>
      </c>
      <c r="F339" s="201"/>
    </row>
    <row r="340" spans="4:6">
      <c r="D340" s="201">
        <v>2433</v>
      </c>
      <c r="F340" s="201"/>
    </row>
    <row r="341" spans="4:6">
      <c r="D341" s="201">
        <v>2434</v>
      </c>
      <c r="F341" s="201"/>
    </row>
    <row r="342" spans="4:6">
      <c r="D342" s="201">
        <v>2436</v>
      </c>
      <c r="F342" s="201"/>
    </row>
    <row r="343" spans="4:6">
      <c r="D343" s="201">
        <v>2437</v>
      </c>
      <c r="F343" s="201"/>
    </row>
    <row r="344" spans="4:6">
      <c r="D344" s="201">
        <v>2438</v>
      </c>
    </row>
    <row r="345" spans="4:6">
      <c r="D345" s="201">
        <v>2439</v>
      </c>
      <c r="F345" s="20"/>
    </row>
    <row r="346" spans="4:6">
      <c r="D346" s="201">
        <v>2440</v>
      </c>
      <c r="F346" s="201"/>
    </row>
    <row r="347" spans="4:6">
      <c r="D347" s="201">
        <v>2441</v>
      </c>
      <c r="F347" s="20"/>
    </row>
    <row r="348" spans="4:6">
      <c r="D348" s="201">
        <v>2442</v>
      </c>
      <c r="F348" s="201"/>
    </row>
    <row r="349" spans="4:6">
      <c r="D349" s="201">
        <v>2443</v>
      </c>
      <c r="F349" s="201"/>
    </row>
    <row r="350" spans="4:6">
      <c r="D350" s="201">
        <v>2444</v>
      </c>
      <c r="F350" s="20"/>
    </row>
    <row r="351" spans="4:6">
      <c r="D351" s="201">
        <v>2448</v>
      </c>
    </row>
    <row r="352" spans="4:6">
      <c r="D352" s="201">
        <v>2449</v>
      </c>
      <c r="F352" s="201"/>
    </row>
    <row r="353" spans="4:6">
      <c r="D353" s="201">
        <v>2450</v>
      </c>
      <c r="F353" s="20"/>
    </row>
    <row r="354" spans="4:6">
      <c r="D354" s="201">
        <v>2451</v>
      </c>
      <c r="F354" s="201"/>
    </row>
    <row r="355" spans="4:6">
      <c r="D355" s="201">
        <v>2453</v>
      </c>
    </row>
    <row r="356" spans="4:6">
      <c r="D356" s="201">
        <v>2454</v>
      </c>
      <c r="F356" s="201"/>
    </row>
    <row r="357" spans="4:6">
      <c r="D357" s="201">
        <v>2455</v>
      </c>
      <c r="F357" s="20"/>
    </row>
    <row r="358" spans="4:6">
      <c r="D358" s="201">
        <v>2456</v>
      </c>
      <c r="F358" s="20"/>
    </row>
    <row r="359" spans="4:6">
      <c r="D359" s="201">
        <v>2457</v>
      </c>
      <c r="F359" s="20"/>
    </row>
    <row r="360" spans="4:6">
      <c r="D360" s="201">
        <v>2458</v>
      </c>
      <c r="F360" s="201"/>
    </row>
    <row r="361" spans="4:6">
      <c r="D361" s="201">
        <v>2459</v>
      </c>
      <c r="F361" s="20"/>
    </row>
    <row r="362" spans="4:6">
      <c r="D362" s="201">
        <v>2460</v>
      </c>
      <c r="F362" s="201"/>
    </row>
    <row r="363" spans="4:6">
      <c r="D363" s="201">
        <v>2461</v>
      </c>
      <c r="F363" s="20"/>
    </row>
    <row r="364" spans="4:6">
      <c r="D364" s="201">
        <v>2462</v>
      </c>
      <c r="F364" s="20"/>
    </row>
    <row r="365" spans="4:6">
      <c r="D365" s="201">
        <v>2464</v>
      </c>
      <c r="F365" s="201"/>
    </row>
    <row r="366" spans="4:6">
      <c r="D366" s="201">
        <v>2465</v>
      </c>
      <c r="F366" s="201"/>
    </row>
    <row r="367" spans="4:6">
      <c r="D367" s="201">
        <v>2466</v>
      </c>
      <c r="F367" s="201"/>
    </row>
    <row r="368" spans="4:6">
      <c r="D368" s="201">
        <v>2467</v>
      </c>
      <c r="F368" s="201"/>
    </row>
    <row r="369" spans="4:6">
      <c r="D369" s="201">
        <v>2468</v>
      </c>
      <c r="F369" s="20"/>
    </row>
    <row r="370" spans="4:6">
      <c r="D370" s="201">
        <v>2471</v>
      </c>
      <c r="F370" s="201"/>
    </row>
    <row r="371" spans="4:6">
      <c r="D371" s="201">
        <v>2472</v>
      </c>
      <c r="F371" s="201"/>
    </row>
    <row r="372" spans="4:6">
      <c r="D372" s="201">
        <v>2474</v>
      </c>
    </row>
    <row r="373" spans="4:6">
      <c r="D373" s="201">
        <v>2475</v>
      </c>
      <c r="F373" s="20"/>
    </row>
    <row r="374" spans="4:6">
      <c r="D374" s="201">
        <v>2476</v>
      </c>
      <c r="F374" s="201"/>
    </row>
    <row r="375" spans="4:6">
      <c r="D375" s="201">
        <v>2477</v>
      </c>
      <c r="F375" s="20"/>
    </row>
    <row r="376" spans="4:6">
      <c r="D376" s="201">
        <v>2478</v>
      </c>
      <c r="F376" s="201"/>
    </row>
    <row r="377" spans="4:6">
      <c r="D377" s="201">
        <v>2480</v>
      </c>
    </row>
    <row r="378" spans="4:6">
      <c r="D378" s="201">
        <v>2481</v>
      </c>
      <c r="F378" s="201"/>
    </row>
    <row r="379" spans="4:6">
      <c r="D379" s="201">
        <v>2482</v>
      </c>
      <c r="F379" s="201"/>
    </row>
    <row r="380" spans="4:6">
      <c r="D380" s="201">
        <v>2483</v>
      </c>
      <c r="F380" s="201"/>
    </row>
    <row r="381" spans="4:6">
      <c r="D381" s="201">
        <v>2484</v>
      </c>
      <c r="F381" s="201"/>
    </row>
    <row r="382" spans="4:6">
      <c r="D382" s="201">
        <v>2485</v>
      </c>
      <c r="F382" s="20"/>
    </row>
    <row r="383" spans="4:6">
      <c r="D383" s="201">
        <v>2486</v>
      </c>
    </row>
    <row r="384" spans="4:6">
      <c r="D384" s="201">
        <v>2488</v>
      </c>
      <c r="F384" s="20"/>
    </row>
    <row r="385" spans="4:6">
      <c r="D385" s="201">
        <v>2489</v>
      </c>
      <c r="F385" s="20"/>
    </row>
    <row r="386" spans="4:6">
      <c r="D386" s="201">
        <v>2491</v>
      </c>
      <c r="F386" s="201"/>
    </row>
    <row r="387" spans="4:6">
      <c r="D387" s="201">
        <v>2492</v>
      </c>
      <c r="F387" s="201"/>
    </row>
    <row r="388" spans="4:6">
      <c r="D388" s="201">
        <v>2493</v>
      </c>
      <c r="F388" s="201"/>
    </row>
    <row r="389" spans="4:6">
      <c r="D389" s="201">
        <v>2495</v>
      </c>
      <c r="F389" s="201"/>
    </row>
    <row r="390" spans="4:6">
      <c r="D390" s="201">
        <v>2496</v>
      </c>
      <c r="F390" s="201"/>
    </row>
    <row r="391" spans="4:6">
      <c r="D391" s="201">
        <v>2497</v>
      </c>
      <c r="F391" s="201"/>
    </row>
    <row r="392" spans="4:6">
      <c r="D392" s="201">
        <v>2498</v>
      </c>
      <c r="F392" s="20"/>
    </row>
    <row r="393" spans="4:6">
      <c r="D393" s="201">
        <v>2499</v>
      </c>
      <c r="F393" s="201"/>
    </row>
    <row r="394" spans="4:6">
      <c r="D394" s="201">
        <v>2601</v>
      </c>
      <c r="F394" s="20"/>
    </row>
    <row r="395" spans="4:6">
      <c r="D395" s="201">
        <v>2603</v>
      </c>
      <c r="F395" s="201"/>
    </row>
    <row r="396" spans="4:6">
      <c r="D396" s="201">
        <v>2605</v>
      </c>
      <c r="F396" s="201"/>
    </row>
    <row r="397" spans="4:6">
      <c r="D397" s="201">
        <v>2606</v>
      </c>
      <c r="F397" s="201"/>
    </row>
    <row r="398" spans="4:6">
      <c r="D398" s="201">
        <v>2607</v>
      </c>
      <c r="F398" s="201"/>
    </row>
    <row r="399" spans="4:6">
      <c r="D399" s="201">
        <v>2608</v>
      </c>
      <c r="F399" s="20"/>
    </row>
    <row r="400" spans="4:6">
      <c r="D400" s="201">
        <v>2609</v>
      </c>
      <c r="F400" s="201"/>
    </row>
    <row r="401" spans="4:7">
      <c r="D401" s="201">
        <v>2610</v>
      </c>
      <c r="G401" s="187"/>
    </row>
    <row r="402" spans="4:7">
      <c r="D402" s="201">
        <v>2611</v>
      </c>
      <c r="F402" s="20"/>
      <c r="G402" s="187"/>
    </row>
    <row r="403" spans="4:7">
      <c r="D403" s="201">
        <v>2612</v>
      </c>
      <c r="F403" s="20"/>
      <c r="G403" s="187"/>
    </row>
    <row r="404" spans="4:7">
      <c r="D404" s="201">
        <v>2613</v>
      </c>
      <c r="F404" s="201"/>
      <c r="G404" s="187"/>
    </row>
    <row r="405" spans="4:7">
      <c r="D405" s="201">
        <v>2614</v>
      </c>
      <c r="F405" s="20"/>
      <c r="G405" s="187"/>
    </row>
    <row r="406" spans="4:7">
      <c r="D406" s="201">
        <v>2615</v>
      </c>
      <c r="F406" s="201"/>
      <c r="G406" s="187"/>
    </row>
    <row r="407" spans="4:7">
      <c r="D407" s="201">
        <v>2616</v>
      </c>
      <c r="F407" s="20"/>
      <c r="G407" s="187"/>
    </row>
    <row r="408" spans="4:7">
      <c r="D408" s="201">
        <v>2617</v>
      </c>
      <c r="F408" s="201"/>
      <c r="G408" s="187"/>
    </row>
    <row r="409" spans="4:7">
      <c r="D409" s="201">
        <v>2618</v>
      </c>
      <c r="F409" s="20"/>
      <c r="G409" s="187"/>
    </row>
    <row r="410" spans="4:7">
      <c r="D410" s="201">
        <v>2634</v>
      </c>
      <c r="F410" s="201"/>
      <c r="G410" s="187"/>
    </row>
    <row r="411" spans="4:7">
      <c r="D411" s="201">
        <v>2637</v>
      </c>
      <c r="F411" s="20"/>
      <c r="G411" s="187"/>
    </row>
    <row r="412" spans="4:7">
      <c r="D412" s="201">
        <v>2642</v>
      </c>
      <c r="F412" s="20"/>
      <c r="G412" s="187"/>
    </row>
    <row r="413" spans="4:7">
      <c r="D413" s="201">
        <v>2701</v>
      </c>
      <c r="F413" s="201"/>
      <c r="G413" s="187"/>
    </row>
    <row r="414" spans="4:7">
      <c r="D414" s="201">
        <v>2702</v>
      </c>
      <c r="F414" s="201"/>
      <c r="G414" s="187"/>
    </row>
    <row r="415" spans="4:7">
      <c r="D415" s="201">
        <v>2704</v>
      </c>
      <c r="G415" s="187"/>
    </row>
    <row r="416" spans="4:7">
      <c r="D416" s="201">
        <v>2705</v>
      </c>
      <c r="F416" s="201"/>
      <c r="G416" s="187"/>
    </row>
    <row r="417" spans="4:7">
      <c r="D417" s="201">
        <v>2706</v>
      </c>
      <c r="F417" s="201"/>
      <c r="G417" s="187"/>
    </row>
    <row r="418" spans="4:7">
      <c r="D418" s="201">
        <v>2707</v>
      </c>
      <c r="F418" s="201"/>
      <c r="G418" s="187"/>
    </row>
    <row r="419" spans="4:7">
      <c r="D419" s="201">
        <v>2712</v>
      </c>
      <c r="F419" s="20"/>
      <c r="G419" s="187"/>
    </row>
    <row r="420" spans="4:7">
      <c r="D420" s="201">
        <v>2722</v>
      </c>
      <c r="F420" s="201"/>
      <c r="G420" s="187"/>
    </row>
    <row r="421" spans="4:7">
      <c r="D421" s="201">
        <v>2723</v>
      </c>
      <c r="F421" s="201"/>
      <c r="G421" s="187"/>
    </row>
    <row r="422" spans="4:7">
      <c r="D422" s="201">
        <v>2727</v>
      </c>
      <c r="F422" s="201"/>
      <c r="G422" s="187"/>
    </row>
    <row r="423" spans="4:7">
      <c r="D423" s="201">
        <v>2731</v>
      </c>
      <c r="G423" s="187"/>
    </row>
    <row r="424" spans="4:7">
      <c r="D424" s="201">
        <v>2841</v>
      </c>
      <c r="F424" s="201"/>
      <c r="G424" s="187"/>
    </row>
    <row r="425" spans="4:7">
      <c r="D425" s="201">
        <v>2901</v>
      </c>
      <c r="G425" s="187"/>
    </row>
    <row r="426" spans="4:7">
      <c r="D426" s="201">
        <v>2903</v>
      </c>
      <c r="F426" s="20"/>
      <c r="G426" s="187"/>
    </row>
    <row r="427" spans="4:7">
      <c r="D427" s="201">
        <v>2904</v>
      </c>
      <c r="F427" s="20"/>
      <c r="G427" s="187"/>
    </row>
    <row r="428" spans="4:7">
      <c r="D428" s="201">
        <v>2906</v>
      </c>
      <c r="F428" s="201"/>
      <c r="G428" s="187"/>
    </row>
    <row r="429" spans="4:7">
      <c r="D429" s="201">
        <v>2908</v>
      </c>
      <c r="F429" s="201"/>
      <c r="G429" s="187"/>
    </row>
    <row r="430" spans="4:7">
      <c r="D430" s="201">
        <v>2910</v>
      </c>
      <c r="F430" s="20"/>
      <c r="G430" s="187"/>
    </row>
    <row r="431" spans="4:7">
      <c r="D431" s="201">
        <v>2911</v>
      </c>
      <c r="F431" s="20"/>
      <c r="G431" s="187"/>
    </row>
    <row r="432" spans="4:7">
      <c r="D432" s="201">
        <v>2912</v>
      </c>
      <c r="F432" s="201"/>
      <c r="G432" s="187"/>
    </row>
    <row r="433" spans="4:7">
      <c r="D433" s="201">
        <v>2913</v>
      </c>
      <c r="F433" s="20"/>
      <c r="G433" s="187"/>
    </row>
    <row r="434" spans="4:7">
      <c r="D434" s="201">
        <v>2915</v>
      </c>
      <c r="G434" s="187"/>
    </row>
    <row r="435" spans="4:7">
      <c r="D435" s="201">
        <v>2923</v>
      </c>
      <c r="F435" s="201"/>
      <c r="G435" s="187"/>
    </row>
    <row r="436" spans="4:7">
      <c r="D436" s="201">
        <v>2929</v>
      </c>
      <c r="F436" s="201"/>
      <c r="G436" s="187"/>
    </row>
    <row r="437" spans="4:7">
      <c r="D437" s="201">
        <v>3002</v>
      </c>
      <c r="F437" s="20"/>
      <c r="G437" s="187"/>
    </row>
    <row r="438" spans="4:7">
      <c r="D438" s="201">
        <v>3003</v>
      </c>
      <c r="F438" s="201"/>
      <c r="G438" s="187"/>
    </row>
    <row r="439" spans="4:7">
      <c r="D439" s="201">
        <v>3004</v>
      </c>
      <c r="G439" s="187"/>
    </row>
    <row r="440" spans="4:7">
      <c r="D440" s="201">
        <v>3005</v>
      </c>
      <c r="F440" s="20"/>
      <c r="G440" s="187"/>
    </row>
    <row r="441" spans="4:7">
      <c r="D441" s="201">
        <v>3006</v>
      </c>
      <c r="F441" s="201"/>
      <c r="G441" s="187"/>
    </row>
    <row r="442" spans="4:7">
      <c r="D442" s="201">
        <v>3008</v>
      </c>
      <c r="F442" s="201"/>
      <c r="G442" s="187"/>
    </row>
    <row r="443" spans="4:7">
      <c r="D443" s="201">
        <v>3010</v>
      </c>
      <c r="F443" s="20"/>
      <c r="G443" s="187"/>
    </row>
    <row r="444" spans="4:7">
      <c r="D444" s="201">
        <v>3011</v>
      </c>
      <c r="F444" s="201"/>
      <c r="G444" s="187"/>
    </row>
    <row r="445" spans="4:7">
      <c r="D445" s="201">
        <v>3013</v>
      </c>
      <c r="F445" s="201"/>
      <c r="G445" s="187"/>
    </row>
    <row r="446" spans="4:7">
      <c r="D446" s="201">
        <v>3014</v>
      </c>
      <c r="F446" s="201"/>
      <c r="G446" s="187"/>
    </row>
    <row r="447" spans="4:7">
      <c r="D447" s="201">
        <v>3015</v>
      </c>
      <c r="F447" s="201"/>
      <c r="G447" s="187"/>
    </row>
    <row r="448" spans="4:7">
      <c r="D448" s="201">
        <v>3016</v>
      </c>
      <c r="F448" s="20"/>
      <c r="G448" s="187"/>
    </row>
    <row r="449" spans="4:7">
      <c r="D449" s="201">
        <v>3017</v>
      </c>
      <c r="F449" s="201"/>
      <c r="G449" s="187"/>
    </row>
    <row r="450" spans="4:7">
      <c r="D450" s="201">
        <v>3018</v>
      </c>
      <c r="F450" s="20"/>
      <c r="G450" s="187"/>
    </row>
    <row r="451" spans="4:7">
      <c r="D451" s="201">
        <v>3019</v>
      </c>
      <c r="G451" s="187"/>
    </row>
    <row r="452" spans="4:7">
      <c r="D452" s="201">
        <v>3021</v>
      </c>
      <c r="F452" s="201"/>
      <c r="G452" s="187"/>
    </row>
    <row r="453" spans="4:7">
      <c r="D453" s="201">
        <v>3022</v>
      </c>
      <c r="F453" s="20"/>
      <c r="G453" s="187"/>
    </row>
    <row r="454" spans="4:7">
      <c r="D454" s="201">
        <v>3023</v>
      </c>
      <c r="G454" s="187"/>
    </row>
    <row r="455" spans="4:7">
      <c r="D455" s="201">
        <v>3024</v>
      </c>
      <c r="F455" s="201"/>
      <c r="G455" s="187"/>
    </row>
    <row r="456" spans="4:7">
      <c r="D456" s="201">
        <v>3025</v>
      </c>
      <c r="F456" s="201"/>
      <c r="G456" s="187"/>
    </row>
    <row r="457" spans="4:7">
      <c r="D457" s="201">
        <v>3026</v>
      </c>
      <c r="F457" s="201"/>
      <c r="G457" s="187"/>
    </row>
    <row r="458" spans="4:7">
      <c r="D458" s="201">
        <v>3027</v>
      </c>
      <c r="F458" s="201"/>
      <c r="G458" s="187"/>
    </row>
    <row r="459" spans="4:7">
      <c r="D459" s="201">
        <v>3028</v>
      </c>
      <c r="F459" s="20"/>
      <c r="G459" s="187"/>
    </row>
    <row r="460" spans="4:7">
      <c r="D460" s="201">
        <v>3029</v>
      </c>
      <c r="F460" s="201"/>
      <c r="G460" s="187"/>
    </row>
    <row r="461" spans="4:7">
      <c r="D461" s="201">
        <v>3030</v>
      </c>
      <c r="F461" s="20"/>
      <c r="G461" s="187"/>
    </row>
    <row r="462" spans="4:7">
      <c r="D462" s="201">
        <v>3031</v>
      </c>
      <c r="G462" s="187"/>
    </row>
    <row r="463" spans="4:7">
      <c r="D463" s="201">
        <v>3032</v>
      </c>
      <c r="F463" s="201"/>
      <c r="G463" s="187"/>
    </row>
    <row r="464" spans="4:7">
      <c r="D464" s="201">
        <v>3033</v>
      </c>
      <c r="F464" s="20"/>
      <c r="G464" s="187"/>
    </row>
    <row r="465" spans="4:7">
      <c r="D465" s="201">
        <v>3034</v>
      </c>
      <c r="F465" s="201"/>
      <c r="G465" s="187"/>
    </row>
    <row r="466" spans="4:7">
      <c r="D466" s="201">
        <v>3035</v>
      </c>
      <c r="F466" s="201"/>
      <c r="G466" s="187"/>
    </row>
    <row r="467" spans="4:7">
      <c r="D467" s="201">
        <v>3036</v>
      </c>
      <c r="G467" s="187"/>
    </row>
    <row r="468" spans="4:7">
      <c r="D468" s="201">
        <v>3037</v>
      </c>
      <c r="F468" s="20"/>
      <c r="G468" s="187"/>
    </row>
    <row r="469" spans="4:7">
      <c r="D469" s="201">
        <v>3038</v>
      </c>
      <c r="F469" s="201"/>
      <c r="G469" s="187"/>
    </row>
    <row r="470" spans="4:7">
      <c r="D470" s="201">
        <v>3040</v>
      </c>
      <c r="F470" s="201"/>
      <c r="G470" s="187"/>
    </row>
    <row r="471" spans="4:7">
      <c r="D471" s="201">
        <v>3041</v>
      </c>
      <c r="F471" s="201"/>
      <c r="G471" s="187"/>
    </row>
    <row r="472" spans="4:7">
      <c r="D472" s="201">
        <v>3042</v>
      </c>
      <c r="F472" s="201"/>
      <c r="G472" s="187"/>
    </row>
    <row r="473" spans="4:7">
      <c r="D473" s="201">
        <v>3043</v>
      </c>
      <c r="F473" s="201"/>
      <c r="G473" s="187"/>
    </row>
    <row r="474" spans="4:7">
      <c r="D474" s="201">
        <v>3044</v>
      </c>
      <c r="F474" s="201"/>
      <c r="G474" s="187"/>
    </row>
    <row r="475" spans="4:7">
      <c r="D475" s="201">
        <v>3045</v>
      </c>
      <c r="F475" s="201"/>
      <c r="G475" s="187"/>
    </row>
    <row r="476" spans="4:7">
      <c r="D476" s="201">
        <v>3046</v>
      </c>
      <c r="F476" s="201"/>
      <c r="G476" s="187"/>
    </row>
    <row r="477" spans="4:7">
      <c r="D477" s="201">
        <v>3047</v>
      </c>
      <c r="F477" s="20"/>
      <c r="G477" s="187"/>
    </row>
    <row r="478" spans="4:7">
      <c r="D478" s="201">
        <v>3048</v>
      </c>
      <c r="F478" s="187"/>
      <c r="G478" s="187"/>
    </row>
    <row r="479" spans="4:7">
      <c r="D479" s="201">
        <v>3049</v>
      </c>
      <c r="F479" s="20"/>
      <c r="G479" s="187"/>
    </row>
    <row r="480" spans="4:7">
      <c r="D480" s="201">
        <v>3050</v>
      </c>
      <c r="F480" s="201"/>
      <c r="G480" s="187"/>
    </row>
    <row r="481" spans="4:7">
      <c r="D481" s="201">
        <v>3051</v>
      </c>
      <c r="F481" s="20"/>
      <c r="G481" s="187"/>
    </row>
    <row r="482" spans="4:7">
      <c r="D482" s="201">
        <v>3052</v>
      </c>
      <c r="F482" s="201"/>
      <c r="G482" s="187"/>
    </row>
    <row r="483" spans="4:7">
      <c r="D483" s="201">
        <v>3054</v>
      </c>
      <c r="F483" s="201"/>
      <c r="G483" s="187"/>
    </row>
    <row r="484" spans="4:7">
      <c r="D484" s="201">
        <v>3055</v>
      </c>
      <c r="F484" s="201"/>
      <c r="G484" s="187"/>
    </row>
    <row r="485" spans="4:7">
      <c r="D485" s="201">
        <v>3056</v>
      </c>
      <c r="F485" s="201"/>
      <c r="G485" s="187"/>
    </row>
    <row r="486" spans="4:7">
      <c r="D486" s="201">
        <v>3057</v>
      </c>
      <c r="F486" s="20"/>
      <c r="G486" s="187"/>
    </row>
    <row r="487" spans="4:7">
      <c r="D487" s="201">
        <v>3058</v>
      </c>
      <c r="F487" s="20"/>
      <c r="G487" s="187"/>
    </row>
    <row r="488" spans="4:7">
      <c r="D488" s="201">
        <v>3059</v>
      </c>
      <c r="F488" s="20"/>
      <c r="G488" s="187"/>
    </row>
    <row r="489" spans="4:7">
      <c r="D489" s="201">
        <v>3060</v>
      </c>
      <c r="G489" s="187"/>
    </row>
    <row r="490" spans="4:7">
      <c r="D490" s="201">
        <v>3062</v>
      </c>
      <c r="F490" s="187"/>
      <c r="G490" s="187"/>
    </row>
    <row r="491" spans="4:7">
      <c r="D491" s="201">
        <v>3090</v>
      </c>
      <c r="F491" s="20"/>
      <c r="G491" s="187"/>
    </row>
    <row r="492" spans="4:7">
      <c r="D492" s="201">
        <v>3094</v>
      </c>
      <c r="F492" s="187"/>
      <c r="G492" s="187"/>
    </row>
    <row r="493" spans="4:7">
      <c r="D493" s="201">
        <v>3130</v>
      </c>
      <c r="F493" s="187"/>
      <c r="G493" s="187"/>
    </row>
    <row r="494" spans="4:7">
      <c r="D494" s="201">
        <v>3149</v>
      </c>
      <c r="F494" s="201"/>
      <c r="G494" s="187"/>
    </row>
    <row r="495" spans="4:7">
      <c r="D495" s="201">
        <v>3164</v>
      </c>
      <c r="F495" s="201"/>
      <c r="G495" s="187"/>
    </row>
    <row r="496" spans="4:7">
      <c r="D496" s="201">
        <v>3167</v>
      </c>
      <c r="F496" s="201"/>
      <c r="G496" s="187"/>
    </row>
    <row r="497" spans="4:7">
      <c r="D497" s="201">
        <v>3189</v>
      </c>
      <c r="F497" s="187"/>
      <c r="G497" s="187"/>
    </row>
    <row r="498" spans="4:7">
      <c r="D498" s="201">
        <v>3209</v>
      </c>
      <c r="F498" s="201"/>
      <c r="G498" s="187"/>
    </row>
    <row r="499" spans="4:7">
      <c r="D499" s="201">
        <v>3229</v>
      </c>
      <c r="F499" s="201"/>
      <c r="G499" s="187"/>
    </row>
    <row r="500" spans="4:7">
      <c r="D500" s="201">
        <v>3231</v>
      </c>
      <c r="F500" s="201"/>
      <c r="G500" s="187"/>
    </row>
    <row r="501" spans="4:7">
      <c r="D501" s="201">
        <v>3257</v>
      </c>
      <c r="F501" s="201"/>
      <c r="G501" s="187"/>
    </row>
    <row r="502" spans="4:7">
      <c r="D502" s="201">
        <v>3266</v>
      </c>
      <c r="F502" s="20"/>
      <c r="G502" s="187"/>
    </row>
    <row r="503" spans="4:7">
      <c r="D503" s="201">
        <v>3296</v>
      </c>
      <c r="F503" s="201"/>
      <c r="G503" s="187"/>
    </row>
    <row r="504" spans="4:7">
      <c r="D504" s="201">
        <v>3305</v>
      </c>
      <c r="G504" s="187"/>
    </row>
    <row r="505" spans="4:7">
      <c r="D505" s="201">
        <v>3308</v>
      </c>
      <c r="F505" s="187"/>
      <c r="G505" s="187"/>
    </row>
    <row r="506" spans="4:7">
      <c r="D506" s="201">
        <v>3311</v>
      </c>
      <c r="F506" s="20"/>
      <c r="G506" s="187"/>
    </row>
    <row r="507" spans="4:7">
      <c r="D507" s="201">
        <v>3312</v>
      </c>
      <c r="F507" s="201"/>
      <c r="G507" s="187"/>
    </row>
    <row r="508" spans="4:7">
      <c r="D508" s="201">
        <v>3315</v>
      </c>
      <c r="F508" s="20"/>
      <c r="G508" s="187"/>
    </row>
    <row r="509" spans="4:7">
      <c r="D509" s="201">
        <v>3338</v>
      </c>
      <c r="F509" s="20"/>
      <c r="G509" s="187"/>
    </row>
    <row r="510" spans="4:7">
      <c r="D510" s="201">
        <v>3356</v>
      </c>
      <c r="F510" s="201"/>
      <c r="G510" s="187"/>
    </row>
    <row r="511" spans="4:7">
      <c r="D511" s="201">
        <v>3376</v>
      </c>
      <c r="F511" s="201"/>
      <c r="G511" s="187"/>
    </row>
    <row r="512" spans="4:7">
      <c r="D512" s="201">
        <v>3380</v>
      </c>
      <c r="F512" s="187"/>
      <c r="G512" s="187"/>
    </row>
    <row r="513" spans="4:7">
      <c r="D513" s="201">
        <v>3383</v>
      </c>
      <c r="F513" s="201"/>
      <c r="G513" s="187"/>
    </row>
    <row r="514" spans="4:7">
      <c r="D514" s="201">
        <v>3406</v>
      </c>
      <c r="F514" s="201"/>
      <c r="G514" s="187"/>
    </row>
    <row r="515" spans="4:7">
      <c r="D515" s="201">
        <v>3413</v>
      </c>
      <c r="F515" s="187"/>
      <c r="G515" s="187"/>
    </row>
    <row r="516" spans="4:7">
      <c r="D516" s="201">
        <v>3416</v>
      </c>
      <c r="F516" s="20"/>
      <c r="G516" s="187"/>
    </row>
    <row r="517" spans="4:7">
      <c r="D517" s="201">
        <v>3419</v>
      </c>
      <c r="F517" s="201"/>
      <c r="G517" s="187"/>
    </row>
    <row r="518" spans="4:7">
      <c r="D518" s="201">
        <v>3432</v>
      </c>
      <c r="F518" s="201"/>
      <c r="G518" s="187"/>
    </row>
    <row r="519" spans="4:7">
      <c r="D519" s="201">
        <v>3437</v>
      </c>
      <c r="G519" s="187"/>
    </row>
    <row r="520" spans="4:7">
      <c r="D520" s="201">
        <v>3443</v>
      </c>
      <c r="G520" s="187"/>
    </row>
    <row r="521" spans="4:7">
      <c r="D521" s="201">
        <v>3450</v>
      </c>
      <c r="F521" s="201"/>
      <c r="G521" s="187"/>
    </row>
    <row r="522" spans="4:7">
      <c r="D522" s="201">
        <v>3454</v>
      </c>
      <c r="F522" s="187"/>
      <c r="G522" s="187"/>
    </row>
    <row r="523" spans="4:7">
      <c r="D523" s="201">
        <v>3474</v>
      </c>
      <c r="F523" s="187"/>
      <c r="G523" s="187"/>
    </row>
    <row r="524" spans="4:7">
      <c r="D524" s="201">
        <v>3481</v>
      </c>
      <c r="F524" s="20"/>
      <c r="G524" s="187"/>
    </row>
    <row r="525" spans="4:7">
      <c r="D525" s="201">
        <v>3494</v>
      </c>
      <c r="F525" s="201"/>
      <c r="G525" s="187"/>
    </row>
    <row r="526" spans="4:7">
      <c r="D526" s="201">
        <v>3501</v>
      </c>
      <c r="G526" s="187"/>
    </row>
    <row r="527" spans="4:7">
      <c r="D527" s="201">
        <v>3504</v>
      </c>
      <c r="F527" s="201"/>
      <c r="G527" s="187"/>
    </row>
    <row r="528" spans="4:7">
      <c r="D528" s="201">
        <v>3514</v>
      </c>
      <c r="F528" s="20"/>
      <c r="G528" s="187"/>
    </row>
    <row r="529" spans="4:7">
      <c r="D529" s="201">
        <v>3515</v>
      </c>
      <c r="F529" s="201"/>
      <c r="G529" s="187"/>
    </row>
    <row r="530" spans="4:7">
      <c r="D530" s="201">
        <v>3518</v>
      </c>
      <c r="F530" s="201"/>
      <c r="G530" s="187"/>
    </row>
    <row r="531" spans="4:7">
      <c r="D531" s="201">
        <v>3519</v>
      </c>
      <c r="F531" s="20"/>
      <c r="G531" s="187"/>
    </row>
    <row r="532" spans="4:7">
      <c r="D532" s="201">
        <v>3532</v>
      </c>
      <c r="F532" s="20"/>
      <c r="G532" s="187"/>
    </row>
    <row r="533" spans="4:7">
      <c r="D533" s="201">
        <v>3533</v>
      </c>
      <c r="F533" s="187"/>
      <c r="G533" s="187"/>
    </row>
    <row r="534" spans="4:7">
      <c r="D534" s="201">
        <v>3535</v>
      </c>
      <c r="F534" s="20"/>
      <c r="G534" s="187"/>
    </row>
    <row r="535" spans="4:7">
      <c r="D535" s="201">
        <v>3536</v>
      </c>
      <c r="F535" s="201"/>
      <c r="G535" s="187"/>
    </row>
    <row r="536" spans="4:7">
      <c r="D536" s="201">
        <v>3545</v>
      </c>
      <c r="F536" s="201"/>
      <c r="G536" s="187"/>
    </row>
    <row r="537" spans="4:7">
      <c r="D537" s="201">
        <v>3550</v>
      </c>
      <c r="G537" s="187"/>
    </row>
    <row r="538" spans="4:7">
      <c r="D538" s="201">
        <v>3557</v>
      </c>
      <c r="F538" s="187"/>
      <c r="G538" s="187"/>
    </row>
    <row r="539" spans="4:7">
      <c r="D539" s="201">
        <v>3559</v>
      </c>
      <c r="F539" s="20"/>
      <c r="G539" s="187"/>
    </row>
    <row r="540" spans="4:7">
      <c r="D540" s="201">
        <v>3561</v>
      </c>
      <c r="F540" s="201"/>
      <c r="G540" s="187"/>
    </row>
    <row r="541" spans="4:7">
      <c r="D541" s="201">
        <v>3573</v>
      </c>
      <c r="F541" s="20"/>
      <c r="G541" s="187"/>
    </row>
    <row r="542" spans="4:7">
      <c r="D542" s="201">
        <v>3576</v>
      </c>
      <c r="F542" s="201"/>
      <c r="G542" s="187"/>
    </row>
    <row r="543" spans="4:7">
      <c r="D543" s="201">
        <v>3579</v>
      </c>
      <c r="F543" s="20"/>
      <c r="G543" s="187"/>
    </row>
    <row r="544" spans="4:7">
      <c r="D544" s="201">
        <v>3583</v>
      </c>
      <c r="F544" s="187"/>
      <c r="G544" s="187"/>
    </row>
    <row r="545" spans="4:7">
      <c r="D545" s="201">
        <v>3584</v>
      </c>
      <c r="F545" s="20"/>
      <c r="G545" s="187"/>
    </row>
    <row r="546" spans="4:7">
      <c r="D546" s="201">
        <v>3588</v>
      </c>
      <c r="F546" s="187"/>
      <c r="G546" s="187"/>
    </row>
    <row r="547" spans="4:7">
      <c r="D547" s="201">
        <v>3591</v>
      </c>
      <c r="F547" s="20"/>
      <c r="G547" s="187"/>
    </row>
    <row r="548" spans="4:7">
      <c r="D548" s="201">
        <v>3593</v>
      </c>
      <c r="F548" s="187"/>
      <c r="G548" s="187"/>
    </row>
    <row r="549" spans="4:7">
      <c r="D549" s="201">
        <v>3596</v>
      </c>
      <c r="G549" s="187"/>
    </row>
    <row r="550" spans="4:7">
      <c r="D550" s="201">
        <v>3598</v>
      </c>
      <c r="F550" s="201"/>
      <c r="G550" s="187"/>
    </row>
    <row r="551" spans="4:7">
      <c r="D551" s="201">
        <v>3605</v>
      </c>
      <c r="F551" s="20"/>
      <c r="G551" s="187"/>
    </row>
    <row r="552" spans="4:7">
      <c r="D552" s="201">
        <v>3607</v>
      </c>
      <c r="F552" s="201"/>
      <c r="G552" s="187"/>
    </row>
    <row r="553" spans="4:7">
      <c r="D553" s="201">
        <v>3617</v>
      </c>
      <c r="F553" s="187"/>
      <c r="G553" s="187"/>
    </row>
    <row r="554" spans="4:7">
      <c r="D554" s="201">
        <v>3622</v>
      </c>
      <c r="F554" s="20"/>
      <c r="G554" s="187"/>
    </row>
    <row r="555" spans="4:7">
      <c r="D555" s="201">
        <v>3645</v>
      </c>
      <c r="G555" s="187"/>
    </row>
    <row r="556" spans="4:7">
      <c r="D556" s="201">
        <v>3653</v>
      </c>
      <c r="F556" s="187"/>
      <c r="G556" s="187"/>
    </row>
    <row r="557" spans="4:7">
      <c r="D557" s="201">
        <v>3661</v>
      </c>
      <c r="F557" s="20"/>
      <c r="G557" s="187"/>
    </row>
    <row r="558" spans="4:7">
      <c r="D558" s="201">
        <v>3665</v>
      </c>
      <c r="F558" s="201"/>
      <c r="G558" s="187"/>
    </row>
    <row r="559" spans="4:7">
      <c r="D559" s="201">
        <v>3669</v>
      </c>
      <c r="F559" s="201"/>
      <c r="G559" s="187"/>
    </row>
    <row r="560" spans="4:7">
      <c r="D560" s="201">
        <v>3673</v>
      </c>
      <c r="F560" s="187"/>
      <c r="G560" s="187"/>
    </row>
    <row r="561" spans="4:7">
      <c r="D561" s="201">
        <v>3679</v>
      </c>
      <c r="F561" s="187"/>
      <c r="G561" s="187"/>
    </row>
    <row r="562" spans="4:7">
      <c r="D562" s="201">
        <v>3682</v>
      </c>
      <c r="F562" s="20"/>
      <c r="G562" s="187"/>
    </row>
    <row r="563" spans="4:7">
      <c r="D563" s="201">
        <v>3686</v>
      </c>
      <c r="F563" s="20"/>
      <c r="G563" s="187"/>
    </row>
    <row r="564" spans="4:7">
      <c r="D564" s="201">
        <v>3694</v>
      </c>
      <c r="F564" s="201"/>
      <c r="G564" s="187"/>
    </row>
    <row r="565" spans="4:7">
      <c r="D565" s="201">
        <v>3698</v>
      </c>
      <c r="F565" s="20"/>
      <c r="G565" s="187"/>
    </row>
    <row r="566" spans="4:7">
      <c r="D566" s="201">
        <v>3701</v>
      </c>
      <c r="F566" s="187"/>
      <c r="G566" s="187"/>
    </row>
    <row r="567" spans="4:7">
      <c r="D567" s="201">
        <v>3702</v>
      </c>
      <c r="F567" s="201"/>
      <c r="G567" s="187"/>
    </row>
    <row r="568" spans="4:7">
      <c r="D568" s="201">
        <v>3703</v>
      </c>
      <c r="F568" s="187"/>
      <c r="G568" s="187"/>
    </row>
    <row r="569" spans="4:7">
      <c r="D569" s="201">
        <v>3704</v>
      </c>
      <c r="F569" s="201"/>
      <c r="G569" s="187"/>
    </row>
    <row r="570" spans="4:7">
      <c r="D570" s="201">
        <v>3705</v>
      </c>
      <c r="F570" s="187"/>
      <c r="G570" s="187"/>
    </row>
    <row r="571" spans="4:7">
      <c r="D571" s="201">
        <v>3706</v>
      </c>
      <c r="F571" s="20"/>
      <c r="G571" s="187"/>
    </row>
    <row r="572" spans="4:7">
      <c r="D572" s="201">
        <v>4104</v>
      </c>
      <c r="G572" s="187"/>
    </row>
    <row r="573" spans="4:7">
      <c r="D573" s="201">
        <v>4106</v>
      </c>
      <c r="F573" s="20"/>
      <c r="G573" s="187"/>
    </row>
    <row r="574" spans="4:7">
      <c r="D574" s="201">
        <v>4108</v>
      </c>
      <c r="F574" s="20"/>
      <c r="G574" s="187"/>
    </row>
    <row r="575" spans="4:7">
      <c r="D575" s="201">
        <v>4119</v>
      </c>
      <c r="F575" s="187"/>
      <c r="G575" s="187"/>
    </row>
    <row r="576" spans="4:7">
      <c r="D576" s="201">
        <v>4133</v>
      </c>
      <c r="F576" s="20"/>
      <c r="G576" s="187"/>
    </row>
    <row r="577" spans="4:7">
      <c r="D577" s="201">
        <v>4137</v>
      </c>
      <c r="G577" s="187"/>
    </row>
    <row r="578" spans="4:7">
      <c r="D578" s="201">
        <v>4141</v>
      </c>
      <c r="G578" s="187"/>
    </row>
    <row r="579" spans="4:7">
      <c r="D579" s="201">
        <v>4142</v>
      </c>
      <c r="F579" s="201"/>
      <c r="G579" s="187"/>
    </row>
    <row r="580" spans="4:7">
      <c r="D580" s="201">
        <v>4144</v>
      </c>
      <c r="F580" s="187"/>
      <c r="G580" s="187"/>
    </row>
    <row r="581" spans="4:7">
      <c r="D581" s="201">
        <v>4164</v>
      </c>
      <c r="F581" s="187"/>
      <c r="G581" s="187"/>
    </row>
    <row r="582" spans="4:7">
      <c r="D582" s="201">
        <v>4190</v>
      </c>
      <c r="F582" s="20"/>
      <c r="G582" s="187"/>
    </row>
    <row r="583" spans="4:7">
      <c r="D583" s="201">
        <v>4306</v>
      </c>
      <c r="F583" s="20"/>
      <c r="G583" s="187"/>
    </row>
    <row r="584" spans="4:7">
      <c r="D584" s="201">
        <v>4414</v>
      </c>
      <c r="F584" s="201"/>
      <c r="G584" s="187"/>
    </row>
    <row r="585" spans="4:7">
      <c r="D585" s="201">
        <v>4426</v>
      </c>
      <c r="F585" s="201"/>
      <c r="G585" s="187"/>
    </row>
    <row r="586" spans="4:7">
      <c r="D586" s="201">
        <v>4526</v>
      </c>
      <c r="F586" s="20"/>
      <c r="G586" s="187"/>
    </row>
    <row r="587" spans="4:7">
      <c r="D587" s="201">
        <v>4532</v>
      </c>
      <c r="F587" s="20"/>
      <c r="G587" s="187"/>
    </row>
    <row r="588" spans="4:7">
      <c r="D588" s="201">
        <v>4536</v>
      </c>
      <c r="F588" s="201"/>
      <c r="G588" s="187"/>
    </row>
    <row r="589" spans="4:7">
      <c r="D589" s="201">
        <v>4551</v>
      </c>
      <c r="F589" s="187"/>
      <c r="G589" s="187"/>
    </row>
    <row r="590" spans="4:7">
      <c r="D590" s="201">
        <v>4555</v>
      </c>
      <c r="F590" s="20"/>
      <c r="G590" s="187"/>
    </row>
    <row r="591" spans="4:7">
      <c r="D591" s="201">
        <v>4557</v>
      </c>
      <c r="F591" s="20"/>
      <c r="G591" s="187"/>
    </row>
    <row r="592" spans="4:7">
      <c r="D592" s="201">
        <v>4720</v>
      </c>
      <c r="F592" s="187"/>
      <c r="G592" s="187"/>
    </row>
    <row r="593" spans="4:7">
      <c r="D593" s="201">
        <v>4722</v>
      </c>
      <c r="F593" s="20"/>
      <c r="G593" s="187"/>
    </row>
    <row r="594" spans="4:7">
      <c r="D594" s="201">
        <v>4725</v>
      </c>
      <c r="F594" s="201"/>
      <c r="G594" s="187"/>
    </row>
    <row r="595" spans="4:7">
      <c r="D595" s="201">
        <v>4733</v>
      </c>
      <c r="F595" s="201"/>
      <c r="G595" s="187"/>
    </row>
    <row r="596" spans="4:7">
      <c r="D596" s="201">
        <v>4737</v>
      </c>
      <c r="F596" s="20"/>
      <c r="G596" s="187"/>
    </row>
    <row r="597" spans="4:7">
      <c r="D597" s="201">
        <v>4746</v>
      </c>
      <c r="F597" s="20"/>
      <c r="G597" s="187"/>
    </row>
    <row r="598" spans="4:7">
      <c r="D598" s="201">
        <v>4755</v>
      </c>
      <c r="F598" s="201"/>
      <c r="G598" s="187"/>
    </row>
    <row r="599" spans="4:7">
      <c r="D599" s="201">
        <v>4904</v>
      </c>
      <c r="F599" s="201"/>
      <c r="G599" s="187"/>
    </row>
    <row r="600" spans="4:7">
      <c r="D600" s="201">
        <v>4906</v>
      </c>
      <c r="F600" s="20"/>
      <c r="G600" s="187"/>
    </row>
    <row r="601" spans="4:7">
      <c r="D601" s="201">
        <v>4912</v>
      </c>
      <c r="F601" s="187"/>
      <c r="G601" s="187"/>
    </row>
    <row r="602" spans="4:7">
      <c r="D602" s="201">
        <v>4915</v>
      </c>
      <c r="F602" s="187"/>
      <c r="G602" s="187"/>
    </row>
    <row r="603" spans="4:7">
      <c r="D603" s="201">
        <v>4916</v>
      </c>
      <c r="F603" s="201"/>
      <c r="G603" s="187"/>
    </row>
    <row r="604" spans="4:7">
      <c r="D604" s="201">
        <v>4919</v>
      </c>
      <c r="F604" s="187"/>
      <c r="G604" s="187"/>
    </row>
    <row r="605" spans="4:7">
      <c r="D605" s="201">
        <v>4927</v>
      </c>
      <c r="F605" s="201"/>
      <c r="G605" s="187"/>
    </row>
    <row r="606" spans="4:7">
      <c r="D606" s="201">
        <v>4930</v>
      </c>
      <c r="F606" s="201"/>
      <c r="G606" s="187"/>
    </row>
    <row r="607" spans="4:7">
      <c r="D607" s="201">
        <v>4934</v>
      </c>
      <c r="G607" s="187"/>
    </row>
    <row r="608" spans="4:7">
      <c r="D608" s="201">
        <v>4935</v>
      </c>
      <c r="F608" s="20"/>
      <c r="G608" s="187"/>
    </row>
    <row r="609" spans="4:7">
      <c r="D609" s="201">
        <v>4938</v>
      </c>
      <c r="F609" s="201"/>
      <c r="G609" s="187"/>
    </row>
    <row r="610" spans="4:7">
      <c r="D610" s="201">
        <v>4942</v>
      </c>
      <c r="F610" s="20"/>
      <c r="G610" s="187"/>
    </row>
    <row r="611" spans="4:7">
      <c r="D611" s="201">
        <v>4952</v>
      </c>
      <c r="F611" s="201"/>
      <c r="G611" s="187"/>
    </row>
    <row r="612" spans="4:7">
      <c r="D612" s="201">
        <v>4956</v>
      </c>
      <c r="F612" s="20"/>
      <c r="G612" s="187"/>
    </row>
    <row r="613" spans="4:7">
      <c r="D613" s="201">
        <v>4958</v>
      </c>
      <c r="F613" s="20"/>
      <c r="G613" s="187"/>
    </row>
    <row r="614" spans="4:7">
      <c r="D614" s="201">
        <v>4960</v>
      </c>
      <c r="F614" s="201"/>
      <c r="G614" s="187"/>
    </row>
    <row r="615" spans="4:7">
      <c r="D615" s="201">
        <v>4976</v>
      </c>
      <c r="F615" s="20"/>
      <c r="G615" s="187"/>
    </row>
    <row r="616" spans="4:7">
      <c r="D616" s="201">
        <v>4977</v>
      </c>
      <c r="F616" s="201"/>
      <c r="G616" s="187"/>
    </row>
    <row r="617" spans="4:7">
      <c r="D617" s="201">
        <v>4984</v>
      </c>
      <c r="F617" s="187"/>
      <c r="G617" s="187"/>
    </row>
    <row r="618" spans="4:7">
      <c r="D618" s="201">
        <v>4994</v>
      </c>
      <c r="F618" s="20"/>
      <c r="G618" s="187"/>
    </row>
    <row r="619" spans="4:7">
      <c r="D619" s="201">
        <v>4999</v>
      </c>
      <c r="F619" s="201"/>
      <c r="G619" s="187"/>
    </row>
    <row r="620" spans="4:7">
      <c r="D620" s="201">
        <v>5007</v>
      </c>
      <c r="F620" s="20"/>
      <c r="G620" s="187"/>
    </row>
    <row r="621" spans="4:7">
      <c r="D621" s="201">
        <v>5203</v>
      </c>
      <c r="G621" s="187"/>
    </row>
    <row r="622" spans="4:7">
      <c r="D622" s="201">
        <v>5215</v>
      </c>
      <c r="F622" s="201"/>
      <c r="G622" s="187"/>
    </row>
    <row r="623" spans="4:7">
      <c r="D623" s="201">
        <v>5225</v>
      </c>
      <c r="G623" s="187"/>
    </row>
    <row r="624" spans="4:7">
      <c r="D624" s="201">
        <v>5234</v>
      </c>
      <c r="F624" s="201"/>
      <c r="G624" s="187"/>
    </row>
    <row r="625" spans="4:7">
      <c r="D625" s="201">
        <v>5243</v>
      </c>
      <c r="F625" s="201"/>
      <c r="G625" s="187"/>
    </row>
    <row r="626" spans="4:7">
      <c r="D626" s="201">
        <v>5259</v>
      </c>
      <c r="F626" s="20"/>
      <c r="G626" s="187"/>
    </row>
    <row r="627" spans="4:7">
      <c r="D627" s="201">
        <v>5264</v>
      </c>
      <c r="G627" s="187"/>
    </row>
    <row r="628" spans="4:7">
      <c r="D628" s="201">
        <v>5269</v>
      </c>
      <c r="F628" s="20"/>
      <c r="G628" s="187"/>
    </row>
    <row r="629" spans="4:7">
      <c r="D629" s="201">
        <v>5285</v>
      </c>
      <c r="F629" s="187"/>
      <c r="G629" s="187"/>
    </row>
    <row r="630" spans="4:7">
      <c r="D630" s="201">
        <v>5288</v>
      </c>
      <c r="F630" s="201"/>
      <c r="G630" s="187"/>
    </row>
    <row r="631" spans="4:7">
      <c r="D631" s="201">
        <v>5305</v>
      </c>
      <c r="F631" s="201"/>
      <c r="G631" s="187"/>
    </row>
    <row r="632" spans="4:7">
      <c r="D632" s="201">
        <v>5388</v>
      </c>
      <c r="F632" s="187"/>
      <c r="G632" s="187"/>
    </row>
    <row r="633" spans="4:7">
      <c r="D633" s="201">
        <v>5434</v>
      </c>
      <c r="F633" s="20"/>
      <c r="G633" s="187"/>
    </row>
    <row r="634" spans="4:7">
      <c r="D634" s="201">
        <v>5469</v>
      </c>
      <c r="F634" s="20"/>
      <c r="G634" s="187"/>
    </row>
    <row r="635" spans="4:7">
      <c r="D635" s="201">
        <v>5471</v>
      </c>
      <c r="F635" s="20"/>
      <c r="G635" s="187"/>
    </row>
    <row r="636" spans="4:7">
      <c r="D636" s="201">
        <v>5484</v>
      </c>
      <c r="F636" s="201"/>
      <c r="G636" s="187"/>
    </row>
    <row r="637" spans="4:7">
      <c r="D637" s="201">
        <v>5515</v>
      </c>
      <c r="F637" s="20"/>
      <c r="G637" s="187"/>
    </row>
    <row r="638" spans="4:7">
      <c r="D638" s="201">
        <v>5519</v>
      </c>
      <c r="F638" s="20"/>
      <c r="G638" s="187"/>
    </row>
    <row r="639" spans="4:7">
      <c r="D639" s="201">
        <v>5521</v>
      </c>
      <c r="F639" s="20"/>
      <c r="G639" s="187"/>
    </row>
    <row r="640" spans="4:7">
      <c r="D640" s="201">
        <v>5522</v>
      </c>
      <c r="F640" s="187"/>
      <c r="G640" s="187"/>
    </row>
    <row r="641" spans="4:7">
      <c r="D641" s="201">
        <v>5525</v>
      </c>
      <c r="F641" s="201"/>
      <c r="G641" s="187"/>
    </row>
    <row r="642" spans="4:7">
      <c r="D642" s="201">
        <v>5531</v>
      </c>
      <c r="F642" s="20"/>
      <c r="G642" s="187"/>
    </row>
    <row r="643" spans="4:7">
      <c r="D643" s="201">
        <v>5533</v>
      </c>
      <c r="F643" s="20"/>
      <c r="G643" s="187"/>
    </row>
    <row r="644" spans="4:7">
      <c r="D644" s="201">
        <v>5534</v>
      </c>
      <c r="F644" s="201"/>
      <c r="G644" s="187"/>
    </row>
    <row r="645" spans="4:7">
      <c r="D645" s="201">
        <v>5538</v>
      </c>
      <c r="F645" s="20"/>
      <c r="G645" s="187"/>
    </row>
    <row r="646" spans="4:7">
      <c r="D646" s="201">
        <v>5607</v>
      </c>
      <c r="F646" s="20"/>
      <c r="G646" s="187"/>
    </row>
    <row r="647" spans="4:7">
      <c r="D647" s="201">
        <v>5608</v>
      </c>
      <c r="F647" s="201"/>
      <c r="G647" s="187"/>
    </row>
    <row r="648" spans="4:7">
      <c r="D648" s="201">
        <v>5706</v>
      </c>
      <c r="F648" s="201"/>
      <c r="G648" s="187"/>
    </row>
    <row r="649" spans="4:7">
      <c r="D649" s="201">
        <v>5871</v>
      </c>
      <c r="F649" s="201"/>
      <c r="G649" s="187"/>
    </row>
    <row r="650" spans="4:7">
      <c r="D650" s="201">
        <v>5906</v>
      </c>
      <c r="F650" s="20"/>
      <c r="G650" s="187"/>
    </row>
    <row r="651" spans="4:7">
      <c r="D651" s="201">
        <v>5907</v>
      </c>
      <c r="F651" s="201"/>
      <c r="G651" s="187"/>
    </row>
    <row r="652" spans="4:7">
      <c r="D652" s="201">
        <v>6108</v>
      </c>
      <c r="F652" s="201"/>
      <c r="G652" s="187"/>
    </row>
    <row r="653" spans="4:7">
      <c r="D653" s="201">
        <v>6112</v>
      </c>
      <c r="G653" s="187"/>
    </row>
    <row r="654" spans="4:7">
      <c r="D654" s="201">
        <v>6115</v>
      </c>
      <c r="F654" s="187"/>
      <c r="G654" s="187"/>
    </row>
    <row r="655" spans="4:7">
      <c r="D655" s="201">
        <v>6116</v>
      </c>
      <c r="F655" s="201"/>
      <c r="G655" s="187"/>
    </row>
    <row r="656" spans="4:7">
      <c r="D656" s="201">
        <v>6117</v>
      </c>
      <c r="F656" s="201"/>
      <c r="G656" s="187"/>
    </row>
    <row r="657" spans="4:7">
      <c r="D657" s="201">
        <v>6120</v>
      </c>
      <c r="F657" s="187"/>
      <c r="G657" s="187"/>
    </row>
    <row r="658" spans="4:7">
      <c r="D658" s="201">
        <v>6128</v>
      </c>
      <c r="F658" s="201"/>
      <c r="G658" s="187"/>
    </row>
    <row r="659" spans="4:7">
      <c r="D659" s="201">
        <v>6131</v>
      </c>
      <c r="F659" s="201"/>
      <c r="G659" s="187"/>
    </row>
    <row r="660" spans="4:7">
      <c r="D660" s="201">
        <v>6133</v>
      </c>
      <c r="F660" s="20"/>
      <c r="G660" s="187"/>
    </row>
    <row r="661" spans="4:7">
      <c r="D661" s="201">
        <v>6136</v>
      </c>
      <c r="F661" s="20"/>
      <c r="G661" s="187"/>
    </row>
    <row r="662" spans="4:7">
      <c r="D662" s="201">
        <v>6139</v>
      </c>
      <c r="F662" s="201"/>
      <c r="G662" s="187"/>
    </row>
    <row r="663" spans="4:7">
      <c r="D663" s="201">
        <v>6141</v>
      </c>
      <c r="G663" s="187"/>
    </row>
    <row r="664" spans="4:7">
      <c r="D664" s="201">
        <v>6142</v>
      </c>
      <c r="F664" s="187"/>
      <c r="G664" s="187"/>
    </row>
    <row r="665" spans="4:7">
      <c r="D665" s="201">
        <v>6145</v>
      </c>
      <c r="F665" s="20"/>
      <c r="G665" s="187"/>
    </row>
    <row r="666" spans="4:7">
      <c r="D666" s="201">
        <v>6152</v>
      </c>
      <c r="F666" s="20"/>
      <c r="G666" s="187"/>
    </row>
    <row r="667" spans="4:7">
      <c r="D667" s="201">
        <v>6153</v>
      </c>
      <c r="F667" s="20"/>
      <c r="G667" s="187"/>
    </row>
    <row r="668" spans="4:7">
      <c r="D668" s="201">
        <v>6155</v>
      </c>
      <c r="F668" s="187"/>
      <c r="G668" s="187"/>
    </row>
    <row r="669" spans="4:7">
      <c r="D669" s="201">
        <v>6164</v>
      </c>
      <c r="F669" s="20"/>
      <c r="G669" s="187"/>
    </row>
    <row r="670" spans="4:7">
      <c r="D670" s="201">
        <v>6165</v>
      </c>
      <c r="F670" s="187"/>
      <c r="G670" s="187"/>
    </row>
    <row r="671" spans="4:7">
      <c r="D671" s="201">
        <v>6166</v>
      </c>
      <c r="F671" s="187"/>
      <c r="G671" s="187"/>
    </row>
    <row r="672" spans="4:7">
      <c r="D672" s="201">
        <v>6168</v>
      </c>
      <c r="F672" s="20"/>
      <c r="G672" s="187"/>
    </row>
    <row r="673" spans="4:8">
      <c r="D673" s="201">
        <v>6172</v>
      </c>
      <c r="F673" s="20"/>
      <c r="G673" s="187"/>
    </row>
    <row r="674" spans="4:8">
      <c r="D674" s="201">
        <v>6176</v>
      </c>
      <c r="G674" s="187"/>
    </row>
    <row r="675" spans="4:8">
      <c r="D675" s="201">
        <v>6177</v>
      </c>
      <c r="F675" s="187"/>
      <c r="G675" s="187"/>
    </row>
    <row r="676" spans="4:8">
      <c r="D676" s="201">
        <v>6183</v>
      </c>
      <c r="F676" s="201"/>
      <c r="G676" s="187"/>
    </row>
    <row r="677" spans="4:8">
      <c r="D677" s="201">
        <v>6184</v>
      </c>
      <c r="F677" s="20"/>
      <c r="G677" s="187"/>
    </row>
    <row r="678" spans="4:8">
      <c r="D678" s="201">
        <v>6189</v>
      </c>
      <c r="F678" s="187"/>
      <c r="G678" s="187"/>
    </row>
    <row r="679" spans="4:8">
      <c r="D679" s="201">
        <v>6191</v>
      </c>
      <c r="F679" s="201"/>
      <c r="G679" s="187"/>
    </row>
    <row r="680" spans="4:8">
      <c r="D680" s="201">
        <v>6192</v>
      </c>
      <c r="F680" s="20"/>
      <c r="G680" s="187"/>
    </row>
    <row r="681" spans="4:8">
      <c r="D681" s="201">
        <v>6196</v>
      </c>
      <c r="F681" s="20"/>
      <c r="G681" s="187"/>
    </row>
    <row r="682" spans="4:8">
      <c r="D682" s="201">
        <v>6197</v>
      </c>
      <c r="F682" s="20"/>
      <c r="G682" s="187"/>
      <c r="H682" s="187"/>
    </row>
    <row r="683" spans="4:8">
      <c r="D683" s="201">
        <v>6201</v>
      </c>
      <c r="F683" s="20"/>
      <c r="G683" s="187"/>
      <c r="H683" s="187"/>
    </row>
    <row r="684" spans="4:8">
      <c r="D684" s="201">
        <v>6202</v>
      </c>
      <c r="F684" s="20"/>
      <c r="G684" s="187"/>
      <c r="H684" s="187"/>
    </row>
    <row r="685" spans="4:8">
      <c r="D685" s="201">
        <v>6205</v>
      </c>
      <c r="F685" s="20"/>
      <c r="G685" s="187"/>
      <c r="H685" s="187"/>
    </row>
    <row r="686" spans="4:8">
      <c r="D686" s="201">
        <v>6206</v>
      </c>
      <c r="F686" s="20"/>
      <c r="G686" s="187"/>
      <c r="H686" s="187"/>
    </row>
    <row r="687" spans="4:8">
      <c r="D687" s="201">
        <v>6209</v>
      </c>
      <c r="F687" s="20"/>
      <c r="G687" s="187"/>
      <c r="H687" s="187"/>
    </row>
    <row r="688" spans="4:8">
      <c r="D688" s="201">
        <v>6213</v>
      </c>
      <c r="F688" s="20"/>
      <c r="G688" s="187"/>
      <c r="H688" s="187"/>
    </row>
    <row r="689" spans="4:8">
      <c r="D689" s="201">
        <v>6214</v>
      </c>
      <c r="F689" s="20"/>
      <c r="G689" s="187"/>
      <c r="H689" s="187"/>
    </row>
    <row r="690" spans="4:8">
      <c r="D690" s="201">
        <v>6215</v>
      </c>
      <c r="F690" s="20"/>
      <c r="G690" s="187"/>
      <c r="H690" s="187"/>
    </row>
    <row r="691" spans="4:8">
      <c r="D691" s="201">
        <v>6216</v>
      </c>
      <c r="F691" s="20"/>
      <c r="G691" s="187"/>
      <c r="H691" s="187"/>
    </row>
    <row r="692" spans="4:8">
      <c r="D692" s="201">
        <v>6224</v>
      </c>
      <c r="F692" s="20"/>
      <c r="G692" s="187"/>
      <c r="H692" s="187"/>
    </row>
    <row r="693" spans="4:8">
      <c r="D693" s="201">
        <v>6225</v>
      </c>
      <c r="F693" s="20"/>
      <c r="G693" s="187"/>
    </row>
    <row r="694" spans="4:8">
      <c r="D694" s="201">
        <v>6226</v>
      </c>
      <c r="F694" s="20"/>
      <c r="G694" s="187"/>
    </row>
    <row r="695" spans="4:8">
      <c r="D695" s="201">
        <v>6230</v>
      </c>
      <c r="F695" s="20"/>
      <c r="G695" s="187"/>
    </row>
    <row r="696" spans="4:8">
      <c r="D696" s="201">
        <v>6235</v>
      </c>
      <c r="F696" s="20"/>
      <c r="G696" s="187"/>
    </row>
    <row r="697" spans="4:8">
      <c r="D697" s="201">
        <v>6239</v>
      </c>
      <c r="F697" s="20"/>
      <c r="G697" s="187"/>
    </row>
    <row r="698" spans="4:8">
      <c r="D698" s="201">
        <v>6243</v>
      </c>
      <c r="F698" s="20"/>
      <c r="G698" s="187"/>
    </row>
    <row r="699" spans="4:8">
      <c r="D699" s="201">
        <v>6251</v>
      </c>
      <c r="F699" s="20"/>
      <c r="G699" s="187"/>
    </row>
    <row r="700" spans="4:8">
      <c r="D700" s="201">
        <v>6257</v>
      </c>
      <c r="F700" s="20"/>
      <c r="G700" s="187"/>
    </row>
    <row r="701" spans="4:8">
      <c r="D701" s="201">
        <v>6269</v>
      </c>
      <c r="F701" s="20"/>
      <c r="G701" s="187"/>
    </row>
    <row r="702" spans="4:8">
      <c r="D702" s="201">
        <v>6271</v>
      </c>
      <c r="F702" s="20"/>
      <c r="G702" s="187"/>
    </row>
    <row r="703" spans="4:8">
      <c r="D703" s="201">
        <v>6277</v>
      </c>
      <c r="F703" s="20"/>
      <c r="G703" s="187"/>
    </row>
    <row r="704" spans="4:8">
      <c r="D704" s="201">
        <v>6278</v>
      </c>
      <c r="F704" s="20"/>
      <c r="G704" s="187"/>
    </row>
    <row r="705" spans="4:8">
      <c r="D705" s="201">
        <v>6281</v>
      </c>
      <c r="F705" s="20"/>
      <c r="G705" s="187"/>
    </row>
    <row r="706" spans="4:8">
      <c r="D706" s="201">
        <v>6282</v>
      </c>
      <c r="F706" s="20"/>
      <c r="G706" s="187"/>
    </row>
    <row r="707" spans="4:8">
      <c r="D707" s="201">
        <v>6283</v>
      </c>
      <c r="F707" s="20"/>
      <c r="G707" s="187"/>
    </row>
    <row r="708" spans="4:8">
      <c r="D708" s="201">
        <v>6285</v>
      </c>
      <c r="F708" s="20"/>
      <c r="G708" s="187"/>
    </row>
    <row r="709" spans="4:8">
      <c r="D709" s="201">
        <v>6286</v>
      </c>
      <c r="F709" s="20"/>
      <c r="G709" s="187"/>
    </row>
    <row r="710" spans="4:8">
      <c r="D710" s="201">
        <v>6289</v>
      </c>
      <c r="F710" s="20"/>
      <c r="G710" s="187"/>
    </row>
    <row r="711" spans="4:8">
      <c r="D711" s="201">
        <v>6405</v>
      </c>
      <c r="F711" s="20"/>
      <c r="G711" s="187"/>
    </row>
    <row r="712" spans="4:8">
      <c r="D712" s="201">
        <v>6409</v>
      </c>
      <c r="F712" s="20"/>
      <c r="G712" s="187"/>
    </row>
    <row r="713" spans="4:8">
      <c r="D713" s="201">
        <v>6412</v>
      </c>
      <c r="F713" s="20"/>
      <c r="G713" s="187"/>
    </row>
    <row r="714" spans="4:8">
      <c r="D714" s="201">
        <v>6414</v>
      </c>
      <c r="F714" s="20"/>
      <c r="G714" s="187"/>
    </row>
    <row r="715" spans="4:8">
      <c r="D715" s="201">
        <v>6415</v>
      </c>
      <c r="F715" s="20"/>
      <c r="G715" s="187"/>
    </row>
    <row r="716" spans="4:8">
      <c r="D716" s="201">
        <v>6422</v>
      </c>
      <c r="F716" s="20"/>
      <c r="G716" s="187"/>
    </row>
    <row r="717" spans="4:8">
      <c r="D717" s="201">
        <v>6431</v>
      </c>
      <c r="F717" s="20"/>
      <c r="G717" s="187"/>
      <c r="H717" s="187"/>
    </row>
    <row r="718" spans="4:8">
      <c r="D718" s="201">
        <v>6442</v>
      </c>
      <c r="F718" s="20"/>
      <c r="G718" s="187"/>
      <c r="H718" s="187"/>
    </row>
    <row r="719" spans="4:8">
      <c r="D719" s="201">
        <v>6443</v>
      </c>
      <c r="F719" s="20"/>
      <c r="G719" s="187"/>
      <c r="H719" s="187"/>
    </row>
    <row r="720" spans="4:8">
      <c r="D720" s="201">
        <v>6449</v>
      </c>
      <c r="F720" s="20"/>
      <c r="G720" s="187"/>
      <c r="H720" s="187"/>
    </row>
    <row r="721" spans="4:8">
      <c r="D721" s="201">
        <v>6451</v>
      </c>
      <c r="F721" s="20"/>
      <c r="G721" s="187"/>
      <c r="H721" s="187"/>
    </row>
    <row r="722" spans="4:8">
      <c r="D722" s="201">
        <v>6452</v>
      </c>
      <c r="F722" s="20"/>
      <c r="G722" s="187"/>
      <c r="H722" s="187"/>
    </row>
    <row r="723" spans="4:8">
      <c r="D723" s="201">
        <v>6456</v>
      </c>
      <c r="F723" s="20"/>
      <c r="G723" s="187"/>
      <c r="H723" s="187"/>
    </row>
    <row r="724" spans="4:8">
      <c r="D724" s="201">
        <v>6504</v>
      </c>
      <c r="F724" s="20"/>
      <c r="G724" s="187"/>
      <c r="H724" s="187"/>
    </row>
    <row r="725" spans="4:8">
      <c r="D725" s="201">
        <v>6505</v>
      </c>
      <c r="F725" s="20"/>
      <c r="G725" s="187"/>
      <c r="H725" s="187"/>
    </row>
    <row r="726" spans="4:8">
      <c r="D726" s="201">
        <v>6605</v>
      </c>
      <c r="F726" s="20"/>
      <c r="G726" s="187"/>
      <c r="H726" s="187"/>
    </row>
    <row r="727" spans="4:8">
      <c r="D727" s="201">
        <v>6702</v>
      </c>
      <c r="F727" s="20"/>
      <c r="G727" s="187"/>
      <c r="H727" s="187"/>
    </row>
    <row r="728" spans="4:8">
      <c r="D728" s="201">
        <v>8011</v>
      </c>
      <c r="F728" s="20"/>
      <c r="G728" s="187"/>
      <c r="H728" s="187"/>
    </row>
    <row r="729" spans="4:8">
      <c r="D729" s="201">
        <v>8016</v>
      </c>
      <c r="F729" s="20"/>
      <c r="G729" s="187"/>
    </row>
    <row r="730" spans="4:8">
      <c r="D730" s="201">
        <v>8021</v>
      </c>
      <c r="F730" s="20"/>
      <c r="G730" s="187"/>
    </row>
    <row r="731" spans="4:8">
      <c r="D731" s="201">
        <v>8033</v>
      </c>
      <c r="F731" s="20"/>
      <c r="G731" s="187"/>
    </row>
    <row r="732" spans="4:8">
      <c r="D732" s="201">
        <v>8039</v>
      </c>
      <c r="F732" s="20"/>
      <c r="G732" s="187"/>
    </row>
    <row r="733" spans="4:8">
      <c r="D733" s="201">
        <v>8046</v>
      </c>
      <c r="F733" s="20"/>
      <c r="G733" s="187"/>
    </row>
    <row r="734" spans="4:8">
      <c r="D734" s="201">
        <v>8070</v>
      </c>
      <c r="F734" s="20"/>
      <c r="G734" s="187"/>
    </row>
    <row r="735" spans="4:8">
      <c r="D735" s="201">
        <v>8072</v>
      </c>
      <c r="F735" s="20"/>
      <c r="G735" s="187"/>
    </row>
    <row r="736" spans="4:8">
      <c r="D736" s="201">
        <v>8081</v>
      </c>
      <c r="F736" s="20"/>
      <c r="G736" s="187"/>
    </row>
    <row r="737" spans="4:7">
      <c r="D737" s="201">
        <v>8101</v>
      </c>
      <c r="F737" s="20"/>
      <c r="G737" s="187"/>
    </row>
    <row r="738" spans="4:7">
      <c r="D738" s="201">
        <v>8103</v>
      </c>
      <c r="F738" s="20"/>
      <c r="G738" s="187"/>
    </row>
    <row r="739" spans="4:7">
      <c r="D739" s="201">
        <v>8105</v>
      </c>
      <c r="F739" s="20"/>
      <c r="G739" s="187"/>
    </row>
    <row r="740" spans="4:7">
      <c r="D740" s="201">
        <v>8110</v>
      </c>
      <c r="F740" s="20"/>
      <c r="G740" s="187"/>
    </row>
    <row r="741" spans="4:7">
      <c r="D741" s="201">
        <v>8112</v>
      </c>
      <c r="F741" s="20"/>
      <c r="G741" s="187"/>
    </row>
    <row r="742" spans="4:7">
      <c r="D742" s="201">
        <v>8114</v>
      </c>
      <c r="F742" s="20"/>
      <c r="G742" s="187"/>
    </row>
    <row r="743" spans="4:7">
      <c r="D743" s="201">
        <v>8131</v>
      </c>
      <c r="F743" s="20"/>
      <c r="G743" s="187"/>
    </row>
    <row r="744" spans="4:7">
      <c r="D744" s="201">
        <v>8150</v>
      </c>
      <c r="F744" s="20"/>
      <c r="G744" s="187"/>
    </row>
    <row r="745" spans="4:7">
      <c r="D745" s="201">
        <v>8163</v>
      </c>
      <c r="F745" s="20"/>
      <c r="G745" s="187"/>
    </row>
    <row r="746" spans="4:7">
      <c r="D746" s="201">
        <v>8201</v>
      </c>
      <c r="F746" s="20"/>
      <c r="G746" s="187"/>
    </row>
    <row r="747" spans="4:7">
      <c r="D747" s="201">
        <v>8210</v>
      </c>
      <c r="F747" s="20"/>
      <c r="G747" s="187"/>
    </row>
    <row r="748" spans="4:7">
      <c r="D748" s="201">
        <v>8213</v>
      </c>
      <c r="F748" s="20"/>
      <c r="G748" s="187"/>
    </row>
    <row r="749" spans="4:7">
      <c r="D749" s="201">
        <v>8215</v>
      </c>
      <c r="F749" s="20"/>
      <c r="G749" s="187"/>
    </row>
    <row r="750" spans="4:7">
      <c r="D750" s="201">
        <v>8222</v>
      </c>
      <c r="F750" s="20"/>
      <c r="G750" s="187"/>
    </row>
    <row r="751" spans="4:7">
      <c r="D751" s="201">
        <v>8249</v>
      </c>
      <c r="F751" s="20"/>
      <c r="G751" s="187"/>
    </row>
    <row r="752" spans="4:7">
      <c r="D752" s="201">
        <v>8261</v>
      </c>
      <c r="F752" s="20"/>
      <c r="G752" s="187"/>
    </row>
    <row r="753" spans="4:7">
      <c r="D753" s="201">
        <v>8271</v>
      </c>
      <c r="F753" s="20"/>
      <c r="G753" s="187"/>
    </row>
    <row r="754" spans="4:7">
      <c r="D754" s="201">
        <v>8341</v>
      </c>
      <c r="F754" s="20"/>
      <c r="G754" s="187"/>
    </row>
    <row r="755" spans="4:7">
      <c r="D755" s="201">
        <v>8374</v>
      </c>
      <c r="F755" s="20"/>
      <c r="G755" s="187"/>
    </row>
    <row r="756" spans="4:7">
      <c r="D756" s="201">
        <v>8404</v>
      </c>
      <c r="F756" s="20"/>
      <c r="G756" s="187"/>
    </row>
    <row r="757" spans="4:7">
      <c r="D757" s="201">
        <v>8411</v>
      </c>
      <c r="F757" s="20"/>
      <c r="G757" s="187"/>
    </row>
    <row r="758" spans="4:7">
      <c r="D758" s="201">
        <v>8422</v>
      </c>
      <c r="F758" s="20"/>
      <c r="G758" s="187"/>
    </row>
    <row r="759" spans="4:7">
      <c r="D759" s="201">
        <v>8427</v>
      </c>
      <c r="F759" s="20"/>
      <c r="G759" s="187"/>
    </row>
    <row r="760" spans="4:7">
      <c r="D760" s="201">
        <v>8429</v>
      </c>
      <c r="F760" s="20"/>
      <c r="G760" s="187"/>
    </row>
    <row r="761" spans="4:7">
      <c r="D761" s="201">
        <v>8443</v>
      </c>
      <c r="F761" s="20"/>
      <c r="G761" s="187"/>
    </row>
    <row r="762" spans="4:7">
      <c r="D762" s="201">
        <v>8454</v>
      </c>
      <c r="F762" s="20"/>
      <c r="G762" s="187"/>
    </row>
    <row r="763" spans="4:7">
      <c r="D763" s="201">
        <v>8463</v>
      </c>
      <c r="F763" s="20"/>
      <c r="G763" s="187"/>
    </row>
    <row r="764" spans="4:7">
      <c r="D764" s="201">
        <v>8926</v>
      </c>
      <c r="F764" s="20"/>
      <c r="G764" s="187"/>
    </row>
    <row r="765" spans="4:7">
      <c r="D765" s="201">
        <v>8940</v>
      </c>
      <c r="F765" s="20"/>
      <c r="G765" s="187"/>
    </row>
    <row r="766" spans="4:7">
      <c r="D766" s="201">
        <v>8996</v>
      </c>
      <c r="F766" s="20"/>
      <c r="G766" s="187"/>
    </row>
    <row r="767" spans="4:7">
      <c r="D767" s="201">
        <v>9802</v>
      </c>
      <c r="F767" s="20"/>
      <c r="G767" s="187"/>
    </row>
    <row r="768" spans="4:7">
      <c r="D768" s="201">
        <v>9902</v>
      </c>
      <c r="F768" s="20"/>
      <c r="G768" s="187"/>
    </row>
    <row r="769" spans="4:7">
      <c r="D769" s="201">
        <v>9904</v>
      </c>
      <c r="F769" s="20"/>
      <c r="G769" s="187"/>
    </row>
    <row r="770" spans="4:7">
      <c r="D770" s="201">
        <v>9905</v>
      </c>
      <c r="F770" s="20"/>
      <c r="G770" s="187"/>
    </row>
    <row r="771" spans="4:7">
      <c r="D771" s="201">
        <v>9906</v>
      </c>
      <c r="F771" s="20"/>
      <c r="G771" s="187"/>
    </row>
    <row r="772" spans="4:7">
      <c r="D772" s="201">
        <v>9907</v>
      </c>
      <c r="F772" s="20"/>
      <c r="G772" s="187"/>
    </row>
    <row r="773" spans="4:7">
      <c r="D773" s="201">
        <v>9908</v>
      </c>
      <c r="F773" s="20"/>
      <c r="G773" s="187"/>
    </row>
    <row r="774" spans="4:7">
      <c r="D774" s="201">
        <v>9910</v>
      </c>
      <c r="F774" s="20"/>
      <c r="G774" s="187"/>
    </row>
    <row r="775" spans="4:7">
      <c r="D775" s="201">
        <v>9911</v>
      </c>
      <c r="F775" s="20"/>
      <c r="G775" s="187"/>
    </row>
    <row r="776" spans="4:7">
      <c r="D776" s="201">
        <v>9912</v>
      </c>
      <c r="F776" s="20"/>
      <c r="G776" s="187"/>
    </row>
    <row r="777" spans="4:7">
      <c r="D777" s="201">
        <v>9914</v>
      </c>
      <c r="F777" s="20"/>
      <c r="G777" s="187"/>
    </row>
    <row r="778" spans="4:7">
      <c r="D778" s="201">
        <v>9917</v>
      </c>
      <c r="F778" s="20"/>
      <c r="G778" s="187"/>
    </row>
    <row r="779" spans="4:7">
      <c r="D779" s="201">
        <v>9918</v>
      </c>
      <c r="F779" s="20"/>
      <c r="G779" s="187"/>
    </row>
    <row r="780" spans="4:7">
      <c r="D780" s="201">
        <v>9919</v>
      </c>
      <c r="F780" s="20"/>
      <c r="G780" s="187"/>
    </row>
    <row r="781" spans="4:7">
      <c r="D781" s="201">
        <v>9921</v>
      </c>
      <c r="F781" s="20"/>
      <c r="G781" s="187"/>
    </row>
    <row r="782" spans="4:7">
      <c r="D782" s="201">
        <v>9924</v>
      </c>
      <c r="F782" s="20"/>
      <c r="G782" s="187"/>
    </row>
    <row r="783" spans="4:7">
      <c r="D783" s="201">
        <v>9925</v>
      </c>
      <c r="F783" s="20"/>
      <c r="G783" s="187"/>
    </row>
    <row r="784" spans="4:7">
      <c r="D784" s="201">
        <v>9926</v>
      </c>
      <c r="F784" s="20"/>
      <c r="G784" s="187"/>
    </row>
    <row r="785" spans="4:7">
      <c r="D785" s="201">
        <v>9927</v>
      </c>
      <c r="F785" s="20"/>
      <c r="G785" s="187"/>
    </row>
    <row r="786" spans="4:7">
      <c r="D786" s="201">
        <v>9928</v>
      </c>
      <c r="F786" s="20"/>
      <c r="G786" s="187"/>
    </row>
    <row r="787" spans="4:7">
      <c r="D787" s="201">
        <v>9929</v>
      </c>
      <c r="F787" s="20"/>
      <c r="G787" s="187"/>
    </row>
    <row r="788" spans="4:7">
      <c r="D788" s="201">
        <v>9930</v>
      </c>
      <c r="F788" s="20"/>
      <c r="G788" s="187"/>
    </row>
    <row r="789" spans="4:7">
      <c r="D789" s="201">
        <v>9931</v>
      </c>
      <c r="F789" s="20"/>
      <c r="G789" s="187"/>
    </row>
    <row r="790" spans="4:7">
      <c r="D790" s="201">
        <v>9933</v>
      </c>
      <c r="F790" s="20"/>
      <c r="G790" s="187"/>
    </row>
    <row r="791" spans="4:7">
      <c r="D791" s="201">
        <v>9934</v>
      </c>
      <c r="F791" s="20"/>
      <c r="G791" s="187"/>
    </row>
    <row r="792" spans="4:7">
      <c r="D792" s="201">
        <v>9935</v>
      </c>
      <c r="F792" s="20"/>
      <c r="G792" s="187"/>
    </row>
    <row r="793" spans="4:7">
      <c r="D793" s="201">
        <v>9937</v>
      </c>
      <c r="F793" s="20"/>
      <c r="G793" s="187"/>
    </row>
    <row r="794" spans="4:7">
      <c r="D794" s="201">
        <v>9938</v>
      </c>
      <c r="F794" s="20"/>
      <c r="G794" s="187"/>
    </row>
    <row r="795" spans="4:7">
      <c r="D795" s="201">
        <v>9939</v>
      </c>
      <c r="F795" s="20"/>
      <c r="G795" s="187"/>
    </row>
    <row r="796" spans="4:7">
      <c r="D796" s="201">
        <v>9940</v>
      </c>
      <c r="F796" s="20"/>
      <c r="G796" s="187"/>
    </row>
    <row r="797" spans="4:7">
      <c r="D797" s="201">
        <v>9941</v>
      </c>
      <c r="F797" s="20"/>
      <c r="G797" s="187"/>
    </row>
    <row r="798" spans="4:7">
      <c r="D798" s="201">
        <v>9942</v>
      </c>
      <c r="F798" s="20"/>
      <c r="G798" s="187"/>
    </row>
    <row r="799" spans="4:7">
      <c r="D799" s="201">
        <v>9943</v>
      </c>
      <c r="F799" s="20"/>
      <c r="G799" s="187"/>
    </row>
    <row r="800" spans="4:7">
      <c r="D800" s="201">
        <v>9944</v>
      </c>
      <c r="F800" s="20"/>
      <c r="G800" s="187"/>
    </row>
    <row r="801" spans="4:7">
      <c r="D801" s="201">
        <v>9945</v>
      </c>
      <c r="F801" s="20"/>
      <c r="G801" s="187"/>
    </row>
    <row r="802" spans="4:7">
      <c r="D802" s="201">
        <v>9946</v>
      </c>
      <c r="F802" s="20"/>
      <c r="G802" s="187"/>
    </row>
    <row r="803" spans="4:7">
      <c r="D803" s="201">
        <v>9955</v>
      </c>
      <c r="F803" s="20"/>
      <c r="G803" s="187"/>
    </row>
    <row r="804" spans="4:7">
      <c r="D804" s="201">
        <v>9958</v>
      </c>
      <c r="F804" s="20"/>
      <c r="G804" s="187"/>
    </row>
    <row r="805" spans="4:7">
      <c r="D805" s="201">
        <v>1256</v>
      </c>
      <c r="F805" s="20"/>
      <c r="G805" s="187"/>
    </row>
    <row r="806" spans="4:7">
      <c r="D806" s="201">
        <v>1258</v>
      </c>
      <c r="F806" s="20"/>
      <c r="G806" s="187"/>
    </row>
    <row r="807" spans="4:7">
      <c r="D807" s="201">
        <v>1259</v>
      </c>
      <c r="F807" s="20"/>
      <c r="G807" s="187"/>
    </row>
    <row r="808" spans="4:7">
      <c r="D808" s="201">
        <v>1264</v>
      </c>
      <c r="F808" s="20"/>
      <c r="G808" s="187"/>
    </row>
    <row r="809" spans="4:7">
      <c r="D809" s="201">
        <v>1333</v>
      </c>
      <c r="F809" s="20"/>
      <c r="G809" s="187"/>
    </row>
    <row r="810" spans="4:7">
      <c r="D810" s="201">
        <v>1336</v>
      </c>
      <c r="F810" s="20"/>
      <c r="G810" s="187"/>
    </row>
    <row r="811" spans="4:7">
      <c r="D811" s="201">
        <v>1565</v>
      </c>
      <c r="F811" s="20"/>
      <c r="G811" s="187"/>
    </row>
    <row r="812" spans="4:7">
      <c r="D812" s="201">
        <v>1566</v>
      </c>
      <c r="F812" s="20"/>
      <c r="G812" s="187"/>
    </row>
    <row r="813" spans="4:7">
      <c r="D813" s="201">
        <v>1569</v>
      </c>
      <c r="F813" s="20"/>
      <c r="G813" s="187"/>
    </row>
    <row r="814" spans="4:7">
      <c r="D814" s="201">
        <v>1570</v>
      </c>
      <c r="F814" s="20"/>
      <c r="G814" s="187"/>
    </row>
    <row r="815" spans="4:7">
      <c r="D815" s="201">
        <v>1580</v>
      </c>
      <c r="F815" s="20"/>
      <c r="G815" s="187"/>
    </row>
    <row r="816" spans="4:7">
      <c r="D816" s="201">
        <v>1584</v>
      </c>
      <c r="F816" s="20"/>
      <c r="G816" s="187"/>
    </row>
    <row r="817" spans="4:7">
      <c r="D817" s="201">
        <v>1586</v>
      </c>
      <c r="F817" s="20"/>
      <c r="G817" s="187"/>
    </row>
    <row r="818" spans="4:7">
      <c r="D818" s="201">
        <v>1591</v>
      </c>
      <c r="F818" s="20"/>
      <c r="G818" s="187"/>
    </row>
    <row r="819" spans="4:7">
      <c r="D819" s="201">
        <v>1593</v>
      </c>
      <c r="F819" s="20"/>
      <c r="G819" s="187"/>
    </row>
    <row r="820" spans="4:7">
      <c r="D820" s="201">
        <v>1595</v>
      </c>
      <c r="F820" s="20"/>
      <c r="G820" s="187"/>
    </row>
    <row r="821" spans="4:7">
      <c r="D821" s="201">
        <v>1597</v>
      </c>
      <c r="F821" s="20"/>
      <c r="G821" s="187"/>
    </row>
    <row r="822" spans="4:7">
      <c r="D822" s="201">
        <v>1599</v>
      </c>
      <c r="F822" s="20"/>
      <c r="G822" s="187"/>
    </row>
    <row r="823" spans="4:7">
      <c r="D823" s="201">
        <v>1742</v>
      </c>
      <c r="F823" s="20"/>
      <c r="G823" s="187"/>
    </row>
    <row r="824" spans="4:7">
      <c r="D824" s="201">
        <v>1752</v>
      </c>
      <c r="F824" s="20"/>
      <c r="G824" s="187"/>
    </row>
    <row r="825" spans="4:7">
      <c r="D825" s="201">
        <v>1777</v>
      </c>
      <c r="F825" s="20"/>
      <c r="G825" s="187"/>
    </row>
    <row r="826" spans="4:7">
      <c r="D826" s="201">
        <v>1781</v>
      </c>
      <c r="F826" s="20"/>
      <c r="G826" s="187"/>
    </row>
    <row r="827" spans="4:7">
      <c r="D827" s="201">
        <v>1784</v>
      </c>
      <c r="F827" s="20"/>
      <c r="G827" s="187"/>
    </row>
    <row r="828" spans="4:7">
      <c r="D828" s="201">
        <v>1785</v>
      </c>
      <c r="F828" s="20"/>
      <c r="G828" s="187"/>
    </row>
    <row r="829" spans="4:7">
      <c r="D829" s="201">
        <v>1787</v>
      </c>
      <c r="F829" s="20"/>
      <c r="G829" s="187"/>
    </row>
    <row r="830" spans="4:7">
      <c r="D830" s="201">
        <v>1788</v>
      </c>
      <c r="F830" s="20"/>
      <c r="G830" s="187"/>
    </row>
    <row r="831" spans="4:7">
      <c r="D831" s="201">
        <v>1795</v>
      </c>
      <c r="F831" s="20"/>
      <c r="G831" s="187"/>
    </row>
    <row r="832" spans="4:7">
      <c r="D832" s="201">
        <v>1799</v>
      </c>
      <c r="F832" s="20"/>
      <c r="G832" s="187"/>
    </row>
    <row r="833" spans="4:7">
      <c r="D833" s="201">
        <v>1813</v>
      </c>
      <c r="F833" s="20"/>
      <c r="G833" s="187"/>
    </row>
    <row r="834" spans="4:7">
      <c r="D834" s="201">
        <v>1815</v>
      </c>
      <c r="F834" s="20"/>
      <c r="G834" s="187"/>
    </row>
    <row r="835" spans="4:7">
      <c r="D835" s="201">
        <v>2035</v>
      </c>
      <c r="F835" s="20"/>
      <c r="G835" s="187"/>
    </row>
    <row r="836" spans="4:7">
      <c r="D836" s="201">
        <v>2061</v>
      </c>
      <c r="F836" s="20"/>
      <c r="G836" s="187"/>
    </row>
    <row r="837" spans="4:7">
      <c r="D837" s="201">
        <v>2063</v>
      </c>
      <c r="F837" s="20"/>
      <c r="G837" s="187"/>
    </row>
    <row r="838" spans="4:7">
      <c r="D838" s="201">
        <v>2064</v>
      </c>
      <c r="F838" s="20"/>
      <c r="G838" s="187"/>
    </row>
    <row r="839" spans="4:7">
      <c r="D839" s="201">
        <v>2066</v>
      </c>
      <c r="F839" s="20"/>
      <c r="G839" s="187"/>
    </row>
    <row r="840" spans="4:7">
      <c r="D840" s="201">
        <v>2067</v>
      </c>
      <c r="F840" s="20"/>
      <c r="G840" s="187"/>
    </row>
    <row r="841" spans="4:7">
      <c r="D841" s="201">
        <v>2221</v>
      </c>
      <c r="F841" s="20"/>
      <c r="G841" s="187"/>
    </row>
    <row r="842" spans="4:7">
      <c r="D842" s="201">
        <v>2230</v>
      </c>
      <c r="F842" s="20"/>
      <c r="G842" s="187"/>
    </row>
    <row r="843" spans="4:7">
      <c r="D843" s="201">
        <v>2233</v>
      </c>
      <c r="F843" s="20"/>
      <c r="G843" s="187"/>
    </row>
    <row r="844" spans="4:7">
      <c r="D844" s="201">
        <v>2235</v>
      </c>
      <c r="F844" s="20"/>
      <c r="G844" s="187"/>
    </row>
    <row r="845" spans="4:7">
      <c r="D845" s="201">
        <v>2636</v>
      </c>
      <c r="F845" s="20"/>
      <c r="G845" s="187"/>
    </row>
    <row r="846" spans="4:7">
      <c r="D846" s="201">
        <v>2640</v>
      </c>
      <c r="F846" s="20"/>
      <c r="G846" s="187"/>
    </row>
    <row r="847" spans="4:7">
      <c r="D847" s="201">
        <v>2641</v>
      </c>
      <c r="F847" s="20"/>
      <c r="G847" s="187"/>
    </row>
    <row r="848" spans="4:7">
      <c r="D848" s="201">
        <v>2718</v>
      </c>
      <c r="F848" s="20"/>
      <c r="G848" s="187"/>
    </row>
    <row r="849" spans="4:7">
      <c r="D849" s="201">
        <v>2719</v>
      </c>
      <c r="F849" s="20"/>
      <c r="G849" s="187"/>
    </row>
    <row r="850" spans="4:7">
      <c r="D850" s="201">
        <v>2724</v>
      </c>
      <c r="F850" s="20"/>
      <c r="G850" s="187"/>
    </row>
    <row r="851" spans="4:7">
      <c r="D851" s="201">
        <v>2726</v>
      </c>
      <c r="F851" s="20"/>
      <c r="G851" s="187"/>
    </row>
    <row r="852" spans="4:7">
      <c r="D852" s="201">
        <v>2729</v>
      </c>
      <c r="F852" s="20"/>
      <c r="G852" s="187"/>
    </row>
    <row r="853" spans="4:7">
      <c r="D853" s="201">
        <v>2732</v>
      </c>
      <c r="F853" s="20"/>
      <c r="G853" s="187"/>
    </row>
    <row r="854" spans="4:7">
      <c r="D854" s="201">
        <v>2734</v>
      </c>
      <c r="F854" s="20"/>
      <c r="G854" s="187"/>
    </row>
    <row r="855" spans="4:7">
      <c r="D855" s="201">
        <v>2916</v>
      </c>
      <c r="F855" s="20"/>
      <c r="G855" s="187"/>
    </row>
    <row r="856" spans="4:7">
      <c r="D856" s="201">
        <v>2924</v>
      </c>
      <c r="F856" s="20"/>
      <c r="G856" s="187"/>
    </row>
    <row r="857" spans="4:7">
      <c r="D857" s="201">
        <v>2926</v>
      </c>
      <c r="F857" s="20"/>
      <c r="G857" s="187"/>
    </row>
    <row r="858" spans="4:7">
      <c r="D858" s="201">
        <v>3064</v>
      </c>
      <c r="F858" s="20"/>
      <c r="G858" s="187"/>
    </row>
    <row r="859" spans="4:7">
      <c r="D859" s="201">
        <v>3066</v>
      </c>
      <c r="F859" s="20"/>
      <c r="G859" s="187"/>
    </row>
    <row r="860" spans="4:7">
      <c r="D860" s="201">
        <v>3067</v>
      </c>
      <c r="F860" s="20"/>
      <c r="G860" s="187"/>
    </row>
    <row r="861" spans="4:7">
      <c r="D861" s="201">
        <v>3068</v>
      </c>
      <c r="F861" s="20"/>
      <c r="G861" s="187"/>
    </row>
    <row r="862" spans="4:7">
      <c r="D862" s="201">
        <v>3071</v>
      </c>
      <c r="F862" s="20"/>
      <c r="G862" s="187"/>
    </row>
    <row r="863" spans="4:7">
      <c r="D863" s="201">
        <v>3073</v>
      </c>
      <c r="F863" s="20"/>
      <c r="G863" s="187"/>
    </row>
    <row r="864" spans="4:7">
      <c r="D864" s="201">
        <v>3078</v>
      </c>
      <c r="F864" s="20"/>
      <c r="G864" s="187"/>
    </row>
    <row r="865" spans="4:7">
      <c r="D865" s="201">
        <v>3081</v>
      </c>
      <c r="F865" s="20"/>
      <c r="G865" s="187"/>
    </row>
    <row r="866" spans="4:7">
      <c r="D866" s="201">
        <v>3083</v>
      </c>
      <c r="F866" s="20"/>
      <c r="G866" s="187"/>
    </row>
    <row r="867" spans="4:7">
      <c r="D867" s="201">
        <v>3085</v>
      </c>
      <c r="F867" s="20"/>
      <c r="G867" s="187"/>
    </row>
    <row r="868" spans="4:7">
      <c r="D868" s="201">
        <v>3086</v>
      </c>
      <c r="F868" s="20"/>
      <c r="G868" s="187"/>
    </row>
    <row r="869" spans="4:7">
      <c r="D869" s="201">
        <v>3088</v>
      </c>
      <c r="F869" s="20"/>
      <c r="G869" s="187"/>
    </row>
    <row r="870" spans="4:7">
      <c r="D870" s="201">
        <v>3089</v>
      </c>
      <c r="F870" s="20"/>
      <c r="G870" s="187"/>
    </row>
    <row r="871" spans="4:7">
      <c r="D871" s="201">
        <v>3092</v>
      </c>
      <c r="F871" s="20"/>
      <c r="G871" s="187"/>
    </row>
    <row r="872" spans="4:7">
      <c r="D872" s="201">
        <v>3093</v>
      </c>
      <c r="F872" s="20"/>
      <c r="G872" s="187"/>
    </row>
    <row r="873" spans="4:7">
      <c r="D873" s="201">
        <v>3095</v>
      </c>
      <c r="F873" s="20"/>
      <c r="G873" s="187"/>
    </row>
    <row r="874" spans="4:7">
      <c r="D874" s="201">
        <v>3105</v>
      </c>
      <c r="F874" s="20"/>
      <c r="G874" s="187"/>
    </row>
    <row r="875" spans="4:7">
      <c r="D875" s="201">
        <v>3114</v>
      </c>
      <c r="F875" s="20"/>
      <c r="G875" s="187"/>
    </row>
    <row r="876" spans="4:7">
      <c r="D876" s="201">
        <v>3115</v>
      </c>
      <c r="F876" s="20"/>
      <c r="G876" s="187"/>
    </row>
    <row r="877" spans="4:7">
      <c r="D877" s="201">
        <v>3118</v>
      </c>
      <c r="F877" s="20"/>
      <c r="G877" s="187"/>
    </row>
    <row r="878" spans="4:7">
      <c r="D878" s="201">
        <v>3122</v>
      </c>
      <c r="F878" s="20"/>
      <c r="G878" s="187"/>
    </row>
    <row r="879" spans="4:7">
      <c r="D879" s="201">
        <v>3126</v>
      </c>
      <c r="F879" s="20"/>
      <c r="G879" s="187"/>
    </row>
    <row r="880" spans="4:7">
      <c r="D880" s="201">
        <v>3128</v>
      </c>
      <c r="F880" s="20"/>
      <c r="G880" s="187"/>
    </row>
    <row r="881" spans="4:7">
      <c r="D881" s="201">
        <v>3131</v>
      </c>
      <c r="F881" s="20"/>
      <c r="G881" s="187"/>
    </row>
    <row r="882" spans="4:7">
      <c r="D882" s="201">
        <v>3141</v>
      </c>
      <c r="F882" s="20"/>
      <c r="G882" s="187"/>
    </row>
    <row r="883" spans="4:7">
      <c r="D883" s="201">
        <v>3144</v>
      </c>
      <c r="F883" s="20"/>
      <c r="G883" s="187"/>
    </row>
    <row r="884" spans="4:7">
      <c r="D884" s="201">
        <v>3152</v>
      </c>
      <c r="F884" s="20"/>
      <c r="G884" s="187"/>
    </row>
    <row r="885" spans="4:7">
      <c r="D885" s="201">
        <v>3162</v>
      </c>
      <c r="F885" s="20"/>
      <c r="G885" s="187"/>
    </row>
    <row r="886" spans="4:7">
      <c r="D886" s="201">
        <v>3163</v>
      </c>
      <c r="F886" s="20"/>
      <c r="G886" s="187"/>
    </row>
    <row r="887" spans="4:7">
      <c r="D887" s="201">
        <v>3169</v>
      </c>
      <c r="F887" s="20"/>
      <c r="G887" s="187"/>
    </row>
    <row r="888" spans="4:7">
      <c r="D888" s="201">
        <v>3171</v>
      </c>
      <c r="F888" s="20"/>
      <c r="G888" s="187"/>
    </row>
    <row r="889" spans="4:7">
      <c r="D889" s="201">
        <v>3176</v>
      </c>
      <c r="F889" s="20"/>
      <c r="G889" s="187"/>
    </row>
    <row r="890" spans="4:7">
      <c r="D890" s="201">
        <v>3188</v>
      </c>
      <c r="F890" s="20"/>
      <c r="G890" s="187"/>
    </row>
    <row r="891" spans="4:7">
      <c r="D891" s="201">
        <v>3191</v>
      </c>
      <c r="F891" s="20"/>
      <c r="G891" s="187"/>
    </row>
    <row r="892" spans="4:7">
      <c r="D892" s="201">
        <v>3202</v>
      </c>
      <c r="F892" s="20"/>
      <c r="G892" s="187"/>
    </row>
    <row r="893" spans="4:7">
      <c r="D893" s="201">
        <v>3205</v>
      </c>
      <c r="F893" s="20"/>
      <c r="G893" s="187"/>
    </row>
    <row r="894" spans="4:7">
      <c r="D894" s="201">
        <v>3206</v>
      </c>
      <c r="F894" s="20"/>
      <c r="G894" s="187"/>
    </row>
    <row r="895" spans="4:7">
      <c r="D895" s="201">
        <v>3207</v>
      </c>
      <c r="F895" s="20"/>
      <c r="G895" s="187"/>
    </row>
    <row r="896" spans="4:7">
      <c r="D896" s="201">
        <v>3211</v>
      </c>
      <c r="F896" s="20"/>
      <c r="G896" s="187"/>
    </row>
    <row r="897" spans="4:7">
      <c r="D897" s="201">
        <v>3213</v>
      </c>
      <c r="F897" s="20"/>
      <c r="G897" s="187"/>
    </row>
    <row r="898" spans="4:7">
      <c r="D898" s="201">
        <v>3217</v>
      </c>
      <c r="F898" s="20"/>
      <c r="G898" s="187"/>
    </row>
    <row r="899" spans="4:7">
      <c r="D899" s="201">
        <v>3218</v>
      </c>
      <c r="F899" s="20"/>
      <c r="G899" s="187"/>
    </row>
    <row r="900" spans="4:7">
      <c r="D900" s="201">
        <v>3219</v>
      </c>
      <c r="F900" s="20"/>
      <c r="G900" s="187"/>
    </row>
    <row r="901" spans="4:7">
      <c r="D901" s="201">
        <v>3221</v>
      </c>
      <c r="F901" s="20"/>
      <c r="G901" s="187"/>
    </row>
    <row r="902" spans="4:7">
      <c r="D902" s="201">
        <v>3224</v>
      </c>
      <c r="F902" s="20"/>
      <c r="G902" s="187"/>
    </row>
    <row r="903" spans="4:7">
      <c r="D903" s="201">
        <v>3226</v>
      </c>
      <c r="F903" s="20"/>
      <c r="G903" s="187"/>
    </row>
    <row r="904" spans="4:7">
      <c r="D904" s="201">
        <v>3227</v>
      </c>
      <c r="F904" s="20"/>
      <c r="G904" s="187"/>
    </row>
    <row r="905" spans="4:7">
      <c r="D905" s="201">
        <v>3228</v>
      </c>
      <c r="F905" s="20"/>
      <c r="G905" s="187"/>
    </row>
    <row r="906" spans="4:7">
      <c r="D906" s="201">
        <v>3230</v>
      </c>
      <c r="F906" s="20"/>
      <c r="G906" s="187"/>
    </row>
    <row r="907" spans="4:7">
      <c r="D907" s="201">
        <v>3232</v>
      </c>
      <c r="F907" s="20"/>
      <c r="G907" s="187"/>
    </row>
    <row r="908" spans="4:7">
      <c r="D908" s="201">
        <v>3234</v>
      </c>
      <c r="F908" s="20"/>
      <c r="G908" s="187"/>
    </row>
    <row r="909" spans="4:7">
      <c r="D909" s="201">
        <v>3236</v>
      </c>
      <c r="F909" s="20"/>
      <c r="G909" s="187"/>
    </row>
    <row r="910" spans="4:7">
      <c r="D910" s="201">
        <v>3252</v>
      </c>
      <c r="F910" s="20"/>
      <c r="G910" s="187"/>
    </row>
    <row r="911" spans="4:7">
      <c r="D911" s="201">
        <v>3259</v>
      </c>
      <c r="F911" s="20"/>
      <c r="G911" s="187"/>
    </row>
    <row r="912" spans="4:7">
      <c r="D912" s="201">
        <v>3260</v>
      </c>
      <c r="F912" s="20"/>
      <c r="G912" s="187"/>
    </row>
    <row r="913" spans="4:7">
      <c r="D913" s="201">
        <v>3264</v>
      </c>
      <c r="F913" s="20"/>
      <c r="G913" s="187"/>
    </row>
    <row r="914" spans="4:7">
      <c r="D914" s="201">
        <v>3265</v>
      </c>
      <c r="F914" s="20"/>
      <c r="G914" s="187"/>
    </row>
    <row r="915" spans="4:7">
      <c r="D915" s="201">
        <v>3268</v>
      </c>
      <c r="F915" s="20"/>
      <c r="G915" s="187"/>
    </row>
    <row r="916" spans="4:7">
      <c r="D916" s="201">
        <v>3272</v>
      </c>
      <c r="F916" s="20"/>
      <c r="G916" s="187"/>
    </row>
    <row r="917" spans="4:7">
      <c r="D917" s="201">
        <v>3276</v>
      </c>
      <c r="F917" s="20"/>
      <c r="G917" s="187"/>
    </row>
    <row r="918" spans="4:7">
      <c r="D918" s="201">
        <v>3284</v>
      </c>
      <c r="F918" s="20"/>
      <c r="G918" s="187"/>
    </row>
    <row r="919" spans="4:7">
      <c r="D919" s="201">
        <v>3285</v>
      </c>
      <c r="F919" s="20"/>
      <c r="G919" s="187"/>
    </row>
    <row r="920" spans="4:7">
      <c r="D920" s="201">
        <v>3287</v>
      </c>
      <c r="F920" s="20"/>
      <c r="G920" s="187"/>
    </row>
    <row r="921" spans="4:7">
      <c r="D921" s="201">
        <v>3288</v>
      </c>
      <c r="F921" s="20"/>
      <c r="G921" s="187"/>
    </row>
    <row r="922" spans="4:7">
      <c r="D922" s="201">
        <v>3289</v>
      </c>
      <c r="F922" s="20"/>
      <c r="G922" s="187"/>
    </row>
    <row r="923" spans="4:7">
      <c r="D923" s="201">
        <v>3290</v>
      </c>
      <c r="F923" s="20"/>
      <c r="G923" s="187"/>
    </row>
    <row r="924" spans="4:7">
      <c r="D924" s="201">
        <v>3291</v>
      </c>
      <c r="F924" s="20"/>
      <c r="G924" s="187"/>
    </row>
    <row r="925" spans="4:7">
      <c r="D925" s="201">
        <v>3293</v>
      </c>
      <c r="F925" s="20"/>
      <c r="G925" s="187"/>
    </row>
    <row r="926" spans="4:7">
      <c r="D926" s="201">
        <v>3294</v>
      </c>
      <c r="F926" s="20"/>
      <c r="G926" s="187"/>
    </row>
    <row r="927" spans="4:7">
      <c r="D927" s="201">
        <v>3297</v>
      </c>
      <c r="F927" s="20"/>
      <c r="G927" s="187"/>
    </row>
    <row r="928" spans="4:7">
      <c r="D928" s="201">
        <v>3299</v>
      </c>
      <c r="F928" s="20"/>
      <c r="G928" s="187"/>
    </row>
    <row r="929" spans="4:7">
      <c r="D929" s="201">
        <v>3303</v>
      </c>
      <c r="F929" s="20"/>
      <c r="G929" s="187"/>
    </row>
    <row r="930" spans="4:7">
      <c r="D930" s="201">
        <v>3306</v>
      </c>
      <c r="F930" s="20"/>
      <c r="G930" s="187"/>
    </row>
    <row r="931" spans="4:7">
      <c r="D931" s="201">
        <v>3310</v>
      </c>
      <c r="F931" s="20"/>
      <c r="G931" s="187"/>
    </row>
    <row r="932" spans="4:7">
      <c r="D932" s="201">
        <v>3313</v>
      </c>
      <c r="F932" s="20"/>
      <c r="G932" s="187"/>
    </row>
    <row r="933" spans="4:7">
      <c r="D933" s="201">
        <v>3317</v>
      </c>
      <c r="F933" s="20"/>
      <c r="G933" s="187"/>
    </row>
    <row r="934" spans="4:7">
      <c r="D934" s="201">
        <v>3322</v>
      </c>
      <c r="F934" s="20"/>
      <c r="G934" s="187"/>
    </row>
    <row r="935" spans="4:7">
      <c r="D935" s="201">
        <v>3323</v>
      </c>
      <c r="F935" s="20"/>
      <c r="G935" s="187"/>
    </row>
    <row r="936" spans="4:7">
      <c r="D936" s="201">
        <v>3324</v>
      </c>
      <c r="F936" s="20"/>
      <c r="G936" s="187"/>
    </row>
    <row r="937" spans="4:7">
      <c r="D937" s="201">
        <v>3325</v>
      </c>
      <c r="F937" s="20"/>
      <c r="G937" s="187"/>
    </row>
    <row r="938" spans="4:7">
      <c r="D938" s="201">
        <v>3332</v>
      </c>
      <c r="F938" s="20"/>
      <c r="G938" s="187"/>
    </row>
    <row r="939" spans="4:7">
      <c r="D939" s="201">
        <v>3339</v>
      </c>
      <c r="F939" s="20"/>
      <c r="G939" s="187"/>
    </row>
    <row r="940" spans="4:7">
      <c r="D940" s="201">
        <v>3354</v>
      </c>
      <c r="F940" s="20"/>
      <c r="G940" s="187"/>
    </row>
    <row r="941" spans="4:7">
      <c r="D941" s="201">
        <v>3360</v>
      </c>
      <c r="F941" s="20"/>
      <c r="G941" s="187"/>
    </row>
    <row r="942" spans="4:7">
      <c r="D942" s="201">
        <v>3362</v>
      </c>
      <c r="F942" s="20"/>
      <c r="G942" s="187"/>
    </row>
    <row r="943" spans="4:7">
      <c r="D943" s="201">
        <v>3363</v>
      </c>
      <c r="F943" s="20"/>
      <c r="G943" s="187"/>
    </row>
    <row r="944" spans="4:7">
      <c r="D944" s="201">
        <v>3372</v>
      </c>
      <c r="F944" s="20"/>
      <c r="G944" s="187"/>
    </row>
    <row r="945" spans="4:7">
      <c r="D945" s="201">
        <v>3373</v>
      </c>
      <c r="F945" s="20"/>
      <c r="G945" s="187"/>
    </row>
    <row r="946" spans="4:7">
      <c r="D946" s="201">
        <v>3374</v>
      </c>
      <c r="F946" s="20"/>
      <c r="G946" s="187"/>
    </row>
    <row r="947" spans="4:7">
      <c r="D947" s="201">
        <v>3379</v>
      </c>
      <c r="F947" s="20"/>
      <c r="G947" s="187"/>
    </row>
    <row r="948" spans="4:7">
      <c r="D948" s="201">
        <v>3388</v>
      </c>
      <c r="F948" s="20"/>
      <c r="G948" s="187"/>
    </row>
    <row r="949" spans="4:7">
      <c r="D949" s="201">
        <v>3390</v>
      </c>
      <c r="F949" s="20"/>
      <c r="G949" s="187"/>
    </row>
    <row r="950" spans="4:7">
      <c r="D950" s="201">
        <v>3402</v>
      </c>
      <c r="F950" s="20"/>
      <c r="G950" s="187"/>
    </row>
    <row r="951" spans="4:7">
      <c r="D951" s="201">
        <v>3428</v>
      </c>
      <c r="F951" s="20"/>
      <c r="G951" s="187"/>
    </row>
    <row r="952" spans="4:7">
      <c r="D952" s="201">
        <v>3431</v>
      </c>
      <c r="F952" s="20"/>
      <c r="G952" s="187"/>
    </row>
    <row r="953" spans="4:7">
      <c r="D953" s="201">
        <v>3434</v>
      </c>
      <c r="F953" s="20"/>
      <c r="G953" s="187"/>
    </row>
    <row r="954" spans="4:7">
      <c r="D954" s="201">
        <v>3438</v>
      </c>
      <c r="F954" s="20"/>
      <c r="G954" s="187"/>
    </row>
    <row r="955" spans="4:7">
      <c r="D955" s="201">
        <v>3441</v>
      </c>
      <c r="F955" s="20"/>
      <c r="G955" s="187"/>
    </row>
    <row r="956" spans="4:7">
      <c r="D956" s="201">
        <v>3444</v>
      </c>
      <c r="F956" s="20"/>
      <c r="G956" s="187"/>
    </row>
    <row r="957" spans="4:7">
      <c r="D957" s="201">
        <v>3452</v>
      </c>
      <c r="F957" s="20"/>
      <c r="G957" s="187"/>
    </row>
    <row r="958" spans="4:7">
      <c r="D958" s="201">
        <v>3455</v>
      </c>
      <c r="F958" s="20"/>
      <c r="G958" s="187"/>
    </row>
    <row r="959" spans="4:7">
      <c r="D959" s="201">
        <v>3465</v>
      </c>
      <c r="F959" s="20"/>
      <c r="G959" s="187"/>
    </row>
    <row r="960" spans="4:7">
      <c r="D960" s="201">
        <v>3466</v>
      </c>
      <c r="F960" s="20"/>
      <c r="G960" s="187"/>
    </row>
    <row r="961" spans="4:7">
      <c r="D961" s="201">
        <v>3479</v>
      </c>
      <c r="F961" s="20"/>
      <c r="G961" s="187"/>
    </row>
    <row r="962" spans="4:7">
      <c r="D962" s="201">
        <v>3483</v>
      </c>
      <c r="F962" s="20"/>
      <c r="G962" s="187"/>
    </row>
    <row r="963" spans="4:7">
      <c r="D963" s="201">
        <v>3484</v>
      </c>
      <c r="F963" s="20"/>
      <c r="G963" s="187"/>
    </row>
    <row r="964" spans="4:7">
      <c r="D964" s="201">
        <v>3489</v>
      </c>
      <c r="F964" s="20"/>
      <c r="G964" s="187"/>
    </row>
    <row r="965" spans="4:7">
      <c r="D965" s="201">
        <v>3490</v>
      </c>
      <c r="F965" s="20"/>
      <c r="G965" s="187"/>
    </row>
    <row r="966" spans="4:7">
      <c r="D966" s="201">
        <v>3491</v>
      </c>
      <c r="F966" s="20"/>
      <c r="G966" s="187"/>
    </row>
    <row r="967" spans="4:7">
      <c r="D967" s="201">
        <v>3492</v>
      </c>
      <c r="F967" s="20"/>
      <c r="G967" s="187"/>
    </row>
    <row r="968" spans="4:7">
      <c r="D968" s="201">
        <v>3498</v>
      </c>
      <c r="F968" s="20"/>
      <c r="G968" s="187"/>
    </row>
    <row r="969" spans="4:7">
      <c r="D969" s="201">
        <v>3499</v>
      </c>
      <c r="F969" s="20"/>
      <c r="G969" s="187"/>
    </row>
    <row r="970" spans="4:7">
      <c r="D970" s="201">
        <v>3508</v>
      </c>
      <c r="F970" s="20"/>
      <c r="G970" s="187"/>
    </row>
    <row r="971" spans="4:7">
      <c r="D971" s="201">
        <v>3511</v>
      </c>
      <c r="F971" s="20"/>
      <c r="G971" s="187"/>
    </row>
    <row r="972" spans="4:7">
      <c r="D972" s="201">
        <v>3512</v>
      </c>
      <c r="F972" s="20"/>
      <c r="G972" s="187"/>
    </row>
    <row r="973" spans="4:7">
      <c r="D973" s="201">
        <v>3516</v>
      </c>
      <c r="F973" s="20"/>
      <c r="G973" s="187"/>
    </row>
    <row r="974" spans="4:7">
      <c r="D974" s="201">
        <v>3520</v>
      </c>
      <c r="F974" s="20"/>
      <c r="G974" s="187"/>
    </row>
    <row r="975" spans="4:7">
      <c r="D975" s="201">
        <v>3521</v>
      </c>
      <c r="F975" s="20"/>
      <c r="G975" s="187"/>
    </row>
    <row r="976" spans="4:7">
      <c r="D976" s="201">
        <v>3522</v>
      </c>
      <c r="F976" s="20"/>
      <c r="G976" s="187"/>
    </row>
    <row r="977" spans="4:7">
      <c r="D977" s="201">
        <v>3523</v>
      </c>
      <c r="F977" s="20"/>
      <c r="G977" s="187"/>
    </row>
    <row r="978" spans="4:7">
      <c r="D978" s="201">
        <v>3526</v>
      </c>
      <c r="F978" s="20"/>
      <c r="G978" s="187"/>
    </row>
    <row r="979" spans="4:7">
      <c r="D979" s="201">
        <v>3527</v>
      </c>
      <c r="F979" s="20"/>
      <c r="G979" s="187"/>
    </row>
    <row r="980" spans="4:7">
      <c r="D980" s="201">
        <v>3528</v>
      </c>
      <c r="F980" s="20"/>
      <c r="G980" s="187"/>
    </row>
    <row r="981" spans="4:7">
      <c r="D981" s="201">
        <v>3529</v>
      </c>
      <c r="F981" s="20"/>
      <c r="G981" s="187"/>
    </row>
    <row r="982" spans="4:7">
      <c r="D982" s="201">
        <v>3531</v>
      </c>
      <c r="F982" s="20"/>
      <c r="G982" s="187"/>
    </row>
    <row r="983" spans="4:7">
      <c r="D983" s="201">
        <v>3537</v>
      </c>
      <c r="F983" s="20"/>
      <c r="G983" s="187"/>
    </row>
    <row r="984" spans="4:7">
      <c r="D984" s="201">
        <v>3540</v>
      </c>
      <c r="F984" s="20"/>
      <c r="G984" s="187"/>
    </row>
    <row r="985" spans="4:7">
      <c r="D985" s="201">
        <v>3541</v>
      </c>
      <c r="F985" s="20"/>
      <c r="G985" s="187"/>
    </row>
    <row r="986" spans="4:7">
      <c r="D986" s="201">
        <v>3546</v>
      </c>
      <c r="F986" s="20"/>
      <c r="G986" s="187"/>
    </row>
    <row r="987" spans="4:7">
      <c r="D987" s="201">
        <v>3548</v>
      </c>
      <c r="F987" s="20"/>
      <c r="G987" s="187"/>
    </row>
    <row r="988" spans="4:7">
      <c r="D988" s="201">
        <v>3551</v>
      </c>
      <c r="F988" s="20"/>
      <c r="G988" s="187"/>
    </row>
    <row r="989" spans="4:7">
      <c r="D989" s="201">
        <v>3552</v>
      </c>
      <c r="F989" s="20"/>
      <c r="G989" s="187"/>
    </row>
    <row r="990" spans="4:7">
      <c r="D990" s="201">
        <v>3553</v>
      </c>
      <c r="F990" s="20"/>
      <c r="G990" s="187"/>
    </row>
    <row r="991" spans="4:7">
      <c r="D991" s="201">
        <v>3555</v>
      </c>
      <c r="F991" s="20"/>
      <c r="G991" s="187"/>
    </row>
    <row r="992" spans="4:7">
      <c r="D992" s="201">
        <v>3556</v>
      </c>
      <c r="F992" s="20"/>
      <c r="G992" s="187"/>
    </row>
    <row r="993" spans="4:7">
      <c r="D993" s="201">
        <v>3558</v>
      </c>
      <c r="F993" s="20"/>
      <c r="G993" s="187"/>
    </row>
    <row r="994" spans="4:7">
      <c r="D994" s="201">
        <v>3562</v>
      </c>
      <c r="F994" s="20"/>
      <c r="G994" s="187"/>
    </row>
    <row r="995" spans="4:7">
      <c r="D995" s="201">
        <v>3563</v>
      </c>
      <c r="F995" s="20"/>
      <c r="G995" s="187"/>
    </row>
    <row r="996" spans="4:7">
      <c r="D996" s="201">
        <v>3564</v>
      </c>
      <c r="F996" s="20"/>
      <c r="G996" s="187"/>
    </row>
    <row r="997" spans="4:7">
      <c r="D997" s="201">
        <v>3567</v>
      </c>
      <c r="F997" s="20"/>
      <c r="G997" s="187"/>
    </row>
    <row r="998" spans="4:7">
      <c r="D998" s="201">
        <v>3570</v>
      </c>
      <c r="F998" s="20"/>
      <c r="G998" s="187"/>
    </row>
    <row r="999" spans="4:7">
      <c r="D999" s="201">
        <v>3577</v>
      </c>
      <c r="F999" s="20"/>
      <c r="G999" s="187"/>
    </row>
    <row r="1000" spans="4:7">
      <c r="D1000" s="201">
        <v>3580</v>
      </c>
      <c r="F1000" s="20"/>
      <c r="G1000" s="187"/>
    </row>
    <row r="1001" spans="4:7">
      <c r="D1001" s="201">
        <v>3581</v>
      </c>
      <c r="F1001" s="20"/>
      <c r="G1001" s="187"/>
    </row>
    <row r="1002" spans="4:7">
      <c r="D1002" s="201">
        <v>3587</v>
      </c>
      <c r="F1002" s="20"/>
      <c r="G1002" s="187"/>
    </row>
    <row r="1003" spans="4:7">
      <c r="D1003" s="201">
        <v>3594</v>
      </c>
      <c r="F1003" s="20"/>
      <c r="G1003" s="187"/>
    </row>
    <row r="1004" spans="4:7">
      <c r="D1004" s="201">
        <v>3609</v>
      </c>
      <c r="F1004" s="20"/>
      <c r="G1004" s="187"/>
    </row>
    <row r="1005" spans="4:7">
      <c r="D1005" s="201">
        <v>3611</v>
      </c>
      <c r="F1005" s="20"/>
      <c r="G1005" s="187"/>
    </row>
    <row r="1006" spans="4:7">
      <c r="D1006" s="201">
        <v>3615</v>
      </c>
      <c r="F1006" s="20"/>
      <c r="G1006" s="187"/>
    </row>
    <row r="1007" spans="4:7">
      <c r="D1007" s="201">
        <v>3623</v>
      </c>
      <c r="F1007" s="20"/>
      <c r="G1007" s="187"/>
    </row>
    <row r="1008" spans="4:7">
      <c r="D1008" s="201">
        <v>3624</v>
      </c>
      <c r="F1008" s="20"/>
      <c r="G1008" s="187"/>
    </row>
    <row r="1009" spans="4:7">
      <c r="D1009" s="201">
        <v>3625</v>
      </c>
      <c r="F1009" s="20"/>
      <c r="G1009" s="187"/>
    </row>
    <row r="1010" spans="4:7">
      <c r="D1010" s="201">
        <v>3628</v>
      </c>
      <c r="F1010" s="20"/>
      <c r="G1010" s="187"/>
    </row>
    <row r="1011" spans="4:7">
      <c r="D1011" s="201">
        <v>3629</v>
      </c>
      <c r="F1011" s="20"/>
      <c r="G1011" s="187"/>
    </row>
    <row r="1012" spans="4:7">
      <c r="D1012" s="201">
        <v>3630</v>
      </c>
      <c r="F1012" s="20"/>
      <c r="G1012" s="187"/>
    </row>
    <row r="1013" spans="4:7">
      <c r="D1013" s="201">
        <v>3631</v>
      </c>
      <c r="F1013" s="20"/>
      <c r="G1013" s="187"/>
    </row>
    <row r="1014" spans="4:7">
      <c r="D1014" s="201">
        <v>3632</v>
      </c>
      <c r="F1014" s="20"/>
      <c r="G1014" s="187"/>
    </row>
    <row r="1015" spans="4:7">
      <c r="D1015" s="201">
        <v>3642</v>
      </c>
      <c r="F1015" s="20"/>
      <c r="G1015" s="187"/>
    </row>
    <row r="1016" spans="4:7">
      <c r="D1016" s="201">
        <v>3646</v>
      </c>
      <c r="F1016" s="20"/>
      <c r="G1016" s="187"/>
    </row>
    <row r="1017" spans="4:7">
      <c r="D1017" s="201">
        <v>3652</v>
      </c>
      <c r="F1017" s="20"/>
      <c r="G1017" s="187"/>
    </row>
    <row r="1018" spans="4:7">
      <c r="D1018" s="201">
        <v>3658</v>
      </c>
      <c r="F1018" s="20"/>
      <c r="G1018" s="187"/>
    </row>
    <row r="1019" spans="4:7">
      <c r="D1019" s="201">
        <v>3662</v>
      </c>
      <c r="F1019" s="20"/>
      <c r="G1019" s="187"/>
    </row>
    <row r="1020" spans="4:7">
      <c r="D1020" s="201">
        <v>3663</v>
      </c>
      <c r="F1020" s="20"/>
      <c r="G1020" s="187"/>
    </row>
    <row r="1021" spans="4:7">
      <c r="D1021" s="201">
        <v>3664</v>
      </c>
      <c r="F1021" s="20"/>
      <c r="G1021" s="187"/>
    </row>
    <row r="1022" spans="4:7">
      <c r="D1022" s="201">
        <v>3666</v>
      </c>
      <c r="F1022" s="20"/>
      <c r="G1022" s="187"/>
    </row>
    <row r="1023" spans="4:7">
      <c r="D1023" s="201">
        <v>3672</v>
      </c>
      <c r="F1023" s="20"/>
      <c r="G1023" s="187"/>
    </row>
    <row r="1024" spans="4:7">
      <c r="D1024" s="201">
        <v>3675</v>
      </c>
      <c r="F1024" s="20"/>
      <c r="G1024" s="187"/>
    </row>
    <row r="1025" spans="4:7">
      <c r="D1025" s="201">
        <v>3680</v>
      </c>
      <c r="F1025" s="20"/>
      <c r="G1025" s="187"/>
    </row>
    <row r="1026" spans="4:7">
      <c r="D1026" s="201">
        <v>3684</v>
      </c>
      <c r="F1026" s="20"/>
      <c r="G1026" s="187"/>
    </row>
    <row r="1027" spans="4:7">
      <c r="D1027" s="201">
        <v>3685</v>
      </c>
      <c r="F1027" s="20"/>
      <c r="G1027" s="187"/>
    </row>
    <row r="1028" spans="4:7">
      <c r="D1028" s="201">
        <v>3687</v>
      </c>
      <c r="F1028" s="20"/>
      <c r="G1028" s="187"/>
    </row>
    <row r="1029" spans="4:7">
      <c r="D1029" s="201">
        <v>3689</v>
      </c>
      <c r="F1029" s="20"/>
      <c r="G1029" s="187"/>
    </row>
    <row r="1030" spans="4:7">
      <c r="D1030" s="201">
        <v>3691</v>
      </c>
      <c r="F1030" s="20"/>
      <c r="G1030" s="187"/>
    </row>
    <row r="1031" spans="4:7">
      <c r="D1031" s="201">
        <v>3693</v>
      </c>
      <c r="F1031" s="20"/>
      <c r="G1031" s="187"/>
    </row>
    <row r="1032" spans="4:7">
      <c r="D1032" s="201">
        <v>3707</v>
      </c>
      <c r="F1032" s="20"/>
      <c r="G1032" s="187"/>
    </row>
    <row r="1033" spans="4:7">
      <c r="D1033" s="201">
        <v>4102</v>
      </c>
      <c r="F1033" s="20"/>
      <c r="G1033" s="187"/>
    </row>
    <row r="1034" spans="4:7">
      <c r="D1034" s="201">
        <v>4103</v>
      </c>
      <c r="F1034" s="20"/>
      <c r="G1034" s="187"/>
    </row>
    <row r="1035" spans="4:7">
      <c r="D1035" s="201">
        <v>4105</v>
      </c>
      <c r="F1035" s="20"/>
      <c r="G1035" s="187"/>
    </row>
    <row r="1036" spans="4:7">
      <c r="D1036" s="201">
        <v>4107</v>
      </c>
      <c r="F1036" s="20"/>
      <c r="G1036" s="187"/>
    </row>
    <row r="1037" spans="4:7">
      <c r="D1037" s="201">
        <v>4109</v>
      </c>
      <c r="F1037" s="20"/>
      <c r="G1037" s="187"/>
    </row>
    <row r="1038" spans="4:7">
      <c r="D1038" s="201">
        <v>4111</v>
      </c>
      <c r="F1038" s="20"/>
      <c r="G1038" s="187"/>
    </row>
    <row r="1039" spans="4:7">
      <c r="D1039" s="201">
        <v>4113</v>
      </c>
      <c r="F1039" s="20"/>
      <c r="G1039" s="187"/>
    </row>
    <row r="1040" spans="4:7">
      <c r="D1040" s="201">
        <v>4114</v>
      </c>
      <c r="F1040" s="20"/>
      <c r="G1040" s="187"/>
    </row>
    <row r="1041" spans="4:7">
      <c r="D1041" s="201">
        <v>4120</v>
      </c>
      <c r="F1041" s="20"/>
      <c r="G1041" s="187"/>
    </row>
    <row r="1042" spans="4:7">
      <c r="D1042" s="201">
        <v>4121</v>
      </c>
      <c r="F1042" s="20"/>
      <c r="G1042" s="187"/>
    </row>
    <row r="1043" spans="4:7">
      <c r="D1043" s="201">
        <v>4123</v>
      </c>
      <c r="F1043" s="20"/>
      <c r="G1043" s="187"/>
    </row>
    <row r="1044" spans="4:7">
      <c r="D1044" s="201">
        <v>4126</v>
      </c>
      <c r="F1044" s="20"/>
      <c r="G1044" s="187"/>
    </row>
    <row r="1045" spans="4:7">
      <c r="D1045" s="201">
        <v>4127</v>
      </c>
      <c r="F1045" s="20"/>
      <c r="G1045" s="187"/>
    </row>
    <row r="1046" spans="4:7">
      <c r="D1046" s="201">
        <v>4128</v>
      </c>
      <c r="F1046" s="20"/>
      <c r="G1046" s="187"/>
    </row>
    <row r="1047" spans="4:7">
      <c r="D1047" s="201">
        <v>4129</v>
      </c>
      <c r="F1047" s="20"/>
      <c r="G1047" s="187"/>
    </row>
    <row r="1048" spans="4:7">
      <c r="D1048" s="201">
        <v>4130</v>
      </c>
      <c r="F1048" s="20"/>
      <c r="G1048" s="187"/>
    </row>
    <row r="1049" spans="4:7">
      <c r="D1049" s="201">
        <v>4131</v>
      </c>
      <c r="F1049" s="20"/>
      <c r="G1049" s="187"/>
    </row>
    <row r="1050" spans="4:7">
      <c r="D1050" s="201">
        <v>4138</v>
      </c>
      <c r="F1050" s="20"/>
      <c r="G1050" s="187"/>
    </row>
    <row r="1051" spans="4:7">
      <c r="D1051" s="201">
        <v>4139</v>
      </c>
      <c r="F1051" s="20"/>
      <c r="G1051" s="187"/>
    </row>
    <row r="1052" spans="4:7">
      <c r="D1052" s="201">
        <v>4152</v>
      </c>
      <c r="F1052" s="20"/>
      <c r="G1052" s="187"/>
    </row>
    <row r="1053" spans="4:7">
      <c r="D1053" s="201">
        <v>4153</v>
      </c>
      <c r="F1053" s="20"/>
      <c r="G1053" s="187"/>
    </row>
    <row r="1054" spans="4:7">
      <c r="D1054" s="201">
        <v>4154</v>
      </c>
      <c r="F1054" s="20"/>
      <c r="G1054" s="187"/>
    </row>
    <row r="1055" spans="4:7">
      <c r="D1055" s="201">
        <v>4157</v>
      </c>
      <c r="F1055" s="20"/>
      <c r="G1055" s="187"/>
    </row>
    <row r="1056" spans="4:7">
      <c r="D1056" s="201">
        <v>4160</v>
      </c>
      <c r="F1056" s="20"/>
      <c r="G1056" s="187"/>
    </row>
    <row r="1057" spans="4:7">
      <c r="D1057" s="201">
        <v>4161</v>
      </c>
      <c r="F1057" s="20"/>
      <c r="G1057" s="187"/>
    </row>
    <row r="1058" spans="4:7">
      <c r="D1058" s="201">
        <v>4162</v>
      </c>
      <c r="F1058" s="20"/>
      <c r="G1058" s="187"/>
    </row>
    <row r="1059" spans="4:7">
      <c r="D1059" s="201">
        <v>4163</v>
      </c>
      <c r="F1059" s="20"/>
      <c r="G1059" s="187"/>
    </row>
    <row r="1060" spans="4:7">
      <c r="D1060" s="201">
        <v>4167</v>
      </c>
      <c r="F1060" s="20"/>
      <c r="G1060" s="187"/>
    </row>
    <row r="1061" spans="4:7">
      <c r="D1061" s="201">
        <v>4168</v>
      </c>
      <c r="F1061" s="20"/>
      <c r="G1061" s="187"/>
    </row>
    <row r="1062" spans="4:7">
      <c r="D1062" s="201">
        <v>4171</v>
      </c>
      <c r="F1062" s="20"/>
      <c r="G1062" s="187"/>
    </row>
    <row r="1063" spans="4:7">
      <c r="D1063" s="201">
        <v>4173</v>
      </c>
      <c r="F1063" s="20"/>
      <c r="G1063" s="187"/>
    </row>
    <row r="1064" spans="4:7">
      <c r="D1064" s="201">
        <v>4174</v>
      </c>
      <c r="F1064" s="20"/>
      <c r="G1064" s="187"/>
    </row>
    <row r="1065" spans="4:7">
      <c r="D1065" s="201">
        <v>4175</v>
      </c>
      <c r="F1065" s="20"/>
      <c r="G1065" s="187"/>
    </row>
    <row r="1066" spans="4:7">
      <c r="D1066" s="201">
        <v>4180</v>
      </c>
      <c r="F1066" s="20"/>
      <c r="G1066" s="187"/>
    </row>
    <row r="1067" spans="4:7">
      <c r="D1067" s="201">
        <v>4188</v>
      </c>
      <c r="F1067" s="20"/>
      <c r="G1067" s="187"/>
    </row>
    <row r="1068" spans="4:7">
      <c r="D1068" s="201">
        <v>4192</v>
      </c>
      <c r="F1068" s="20"/>
      <c r="G1068" s="187"/>
    </row>
    <row r="1069" spans="4:7">
      <c r="D1069" s="201">
        <v>4198</v>
      </c>
      <c r="F1069" s="20"/>
      <c r="G1069" s="187"/>
    </row>
    <row r="1070" spans="4:7">
      <c r="D1070" s="201">
        <v>4205</v>
      </c>
      <c r="F1070" s="20"/>
      <c r="G1070" s="187"/>
    </row>
    <row r="1071" spans="4:7">
      <c r="D1071" s="201">
        <v>4207</v>
      </c>
      <c r="F1071" s="20"/>
      <c r="G1071" s="187"/>
    </row>
    <row r="1072" spans="4:7">
      <c r="D1072" s="201">
        <v>4303</v>
      </c>
      <c r="F1072" s="20"/>
      <c r="G1072" s="187"/>
    </row>
    <row r="1073" spans="4:7">
      <c r="D1073" s="201">
        <v>4304</v>
      </c>
      <c r="F1073" s="20"/>
      <c r="G1073" s="187"/>
    </row>
    <row r="1074" spans="4:7">
      <c r="D1074" s="201">
        <v>4305</v>
      </c>
      <c r="F1074" s="20"/>
      <c r="G1074" s="187"/>
    </row>
    <row r="1075" spans="4:7">
      <c r="D1075" s="201">
        <v>4401</v>
      </c>
      <c r="F1075" s="20"/>
      <c r="G1075" s="187"/>
    </row>
    <row r="1076" spans="4:7">
      <c r="D1076" s="201">
        <v>4402</v>
      </c>
      <c r="F1076" s="20"/>
      <c r="G1076" s="187"/>
    </row>
    <row r="1077" spans="4:7">
      <c r="D1077" s="201">
        <v>4406</v>
      </c>
      <c r="F1077" s="20"/>
      <c r="G1077" s="187"/>
    </row>
    <row r="1078" spans="4:7">
      <c r="D1078" s="201">
        <v>4413</v>
      </c>
      <c r="F1078" s="20"/>
      <c r="G1078" s="187"/>
    </row>
    <row r="1079" spans="4:7">
      <c r="D1079" s="201">
        <v>4415</v>
      </c>
      <c r="F1079" s="20"/>
      <c r="G1079" s="187"/>
    </row>
    <row r="1080" spans="4:7">
      <c r="D1080" s="201">
        <v>4416</v>
      </c>
      <c r="F1080" s="20"/>
      <c r="G1080" s="187"/>
    </row>
    <row r="1081" spans="4:7">
      <c r="D1081" s="201">
        <v>4417</v>
      </c>
      <c r="F1081" s="20"/>
      <c r="G1081" s="187"/>
    </row>
    <row r="1082" spans="4:7">
      <c r="D1082" s="201">
        <v>4419</v>
      </c>
      <c r="F1082" s="20"/>
      <c r="G1082" s="187"/>
    </row>
    <row r="1083" spans="4:7">
      <c r="D1083" s="201">
        <v>4420</v>
      </c>
      <c r="F1083" s="20"/>
      <c r="G1083" s="187"/>
    </row>
    <row r="1084" spans="4:7">
      <c r="D1084" s="201">
        <v>4429</v>
      </c>
      <c r="F1084" s="20"/>
      <c r="G1084" s="187"/>
    </row>
    <row r="1085" spans="4:7">
      <c r="D1085" s="201">
        <v>4430</v>
      </c>
      <c r="F1085" s="20"/>
      <c r="G1085" s="187"/>
    </row>
    <row r="1086" spans="4:7">
      <c r="D1086" s="201">
        <v>4432</v>
      </c>
      <c r="F1086" s="20"/>
      <c r="G1086" s="187"/>
    </row>
    <row r="1087" spans="4:7">
      <c r="D1087" s="201">
        <v>4433</v>
      </c>
      <c r="F1087" s="20"/>
      <c r="G1087" s="187"/>
    </row>
    <row r="1088" spans="4:7">
      <c r="D1088" s="201">
        <v>4502</v>
      </c>
      <c r="F1088" s="20"/>
      <c r="G1088" s="187"/>
    </row>
    <row r="1089" spans="4:7">
      <c r="D1089" s="201">
        <v>4503</v>
      </c>
      <c r="F1089" s="20"/>
      <c r="G1089" s="187"/>
    </row>
    <row r="1090" spans="4:7">
      <c r="D1090" s="201">
        <v>4506</v>
      </c>
      <c r="F1090" s="20"/>
      <c r="G1090" s="187"/>
    </row>
    <row r="1091" spans="4:7">
      <c r="D1091" s="201">
        <v>4510</v>
      </c>
      <c r="F1091" s="20"/>
      <c r="G1091" s="187"/>
    </row>
    <row r="1092" spans="4:7">
      <c r="D1092" s="201">
        <v>4513</v>
      </c>
      <c r="F1092" s="20"/>
      <c r="G1092" s="187"/>
    </row>
    <row r="1093" spans="4:7">
      <c r="D1093" s="201">
        <v>4523</v>
      </c>
      <c r="F1093" s="20"/>
      <c r="G1093" s="187"/>
    </row>
    <row r="1094" spans="4:7">
      <c r="D1094" s="201">
        <v>4527</v>
      </c>
      <c r="F1094" s="20"/>
      <c r="G1094" s="187"/>
    </row>
    <row r="1095" spans="4:7">
      <c r="D1095" s="201">
        <v>4528</v>
      </c>
      <c r="F1095" s="20"/>
      <c r="G1095" s="187"/>
    </row>
    <row r="1096" spans="4:7">
      <c r="D1096" s="201">
        <v>4529</v>
      </c>
      <c r="F1096" s="20"/>
      <c r="G1096" s="187"/>
    </row>
    <row r="1097" spans="4:7">
      <c r="D1097" s="201">
        <v>4530</v>
      </c>
      <c r="F1097" s="20"/>
      <c r="G1097" s="187"/>
    </row>
    <row r="1098" spans="4:7">
      <c r="D1098" s="201">
        <v>4533</v>
      </c>
      <c r="F1098" s="20"/>
      <c r="G1098" s="187"/>
    </row>
    <row r="1099" spans="4:7">
      <c r="D1099" s="201">
        <v>4534</v>
      </c>
      <c r="F1099" s="20"/>
      <c r="G1099" s="187"/>
    </row>
    <row r="1100" spans="4:7">
      <c r="D1100" s="201">
        <v>4535</v>
      </c>
      <c r="F1100" s="20"/>
      <c r="G1100" s="187"/>
    </row>
    <row r="1101" spans="4:7">
      <c r="D1101" s="201">
        <v>4541</v>
      </c>
      <c r="F1101" s="20"/>
      <c r="G1101" s="187"/>
    </row>
    <row r="1102" spans="4:7">
      <c r="D1102" s="201">
        <v>4542</v>
      </c>
      <c r="F1102" s="20"/>
      <c r="G1102" s="187"/>
    </row>
    <row r="1103" spans="4:7">
      <c r="D1103" s="201">
        <v>4549</v>
      </c>
      <c r="F1103" s="20"/>
      <c r="G1103" s="187"/>
    </row>
    <row r="1104" spans="4:7">
      <c r="D1104" s="201">
        <v>4550</v>
      </c>
      <c r="F1104" s="20"/>
      <c r="G1104" s="187"/>
    </row>
    <row r="1105" spans="4:7">
      <c r="D1105" s="201">
        <v>4609</v>
      </c>
      <c r="F1105" s="20"/>
      <c r="G1105" s="187"/>
    </row>
    <row r="1106" spans="4:7">
      <c r="D1106" s="201">
        <v>4702</v>
      </c>
      <c r="F1106" s="20"/>
      <c r="G1106" s="187"/>
    </row>
    <row r="1107" spans="4:7">
      <c r="D1107" s="201">
        <v>4706</v>
      </c>
      <c r="F1107" s="20"/>
      <c r="G1107" s="187"/>
    </row>
    <row r="1108" spans="4:7">
      <c r="D1108" s="201">
        <v>4711</v>
      </c>
      <c r="F1108" s="20"/>
      <c r="G1108" s="187"/>
    </row>
    <row r="1109" spans="4:7">
      <c r="D1109" s="201">
        <v>4712</v>
      </c>
      <c r="F1109" s="20"/>
      <c r="G1109" s="187"/>
    </row>
    <row r="1110" spans="4:7">
      <c r="D1110" s="201">
        <v>4714</v>
      </c>
      <c r="F1110" s="20"/>
      <c r="G1110" s="187"/>
    </row>
    <row r="1111" spans="4:7">
      <c r="D1111" s="201">
        <v>4716</v>
      </c>
      <c r="F1111" s="20"/>
      <c r="G1111" s="187"/>
    </row>
    <row r="1112" spans="4:7">
      <c r="D1112" s="201">
        <v>4721</v>
      </c>
      <c r="F1112" s="20"/>
      <c r="G1112" s="187"/>
    </row>
    <row r="1113" spans="4:7">
      <c r="D1113" s="201">
        <v>4726</v>
      </c>
      <c r="F1113" s="20"/>
      <c r="G1113" s="187"/>
    </row>
    <row r="1114" spans="4:7">
      <c r="D1114" s="201">
        <v>4728</v>
      </c>
      <c r="F1114" s="20"/>
      <c r="G1114" s="187"/>
    </row>
    <row r="1115" spans="4:7">
      <c r="D1115" s="201">
        <v>4729</v>
      </c>
      <c r="F1115" s="20"/>
      <c r="G1115" s="187"/>
    </row>
    <row r="1116" spans="4:7">
      <c r="D1116" s="201">
        <v>4735</v>
      </c>
      <c r="F1116" s="20"/>
      <c r="G1116" s="187"/>
    </row>
    <row r="1117" spans="4:7">
      <c r="D1117" s="201">
        <v>4736</v>
      </c>
      <c r="F1117" s="20"/>
      <c r="G1117" s="187"/>
    </row>
    <row r="1118" spans="4:7">
      <c r="D1118" s="201">
        <v>4739</v>
      </c>
      <c r="F1118" s="20"/>
      <c r="G1118" s="187"/>
    </row>
    <row r="1119" spans="4:7">
      <c r="D1119" s="201">
        <v>4743</v>
      </c>
      <c r="F1119" s="20"/>
      <c r="G1119" s="187"/>
    </row>
    <row r="1120" spans="4:7">
      <c r="D1120" s="201">
        <v>4745</v>
      </c>
      <c r="F1120" s="20"/>
      <c r="G1120" s="187"/>
    </row>
    <row r="1121" spans="4:7">
      <c r="D1121" s="201">
        <v>4747</v>
      </c>
      <c r="F1121" s="20"/>
      <c r="G1121" s="187"/>
    </row>
    <row r="1122" spans="4:7">
      <c r="D1122" s="201">
        <v>4903</v>
      </c>
      <c r="F1122" s="20"/>
      <c r="G1122" s="187"/>
    </row>
    <row r="1123" spans="4:7">
      <c r="D1123" s="201">
        <v>4905</v>
      </c>
      <c r="F1123" s="20"/>
      <c r="G1123" s="187"/>
    </row>
    <row r="1124" spans="4:7">
      <c r="D1124" s="201">
        <v>4907</v>
      </c>
      <c r="F1124" s="20"/>
      <c r="G1124" s="187"/>
    </row>
    <row r="1125" spans="4:7">
      <c r="D1125" s="201">
        <v>4908</v>
      </c>
      <c r="F1125" s="20"/>
      <c r="G1125" s="187"/>
    </row>
    <row r="1126" spans="4:7">
      <c r="D1126" s="201">
        <v>4909</v>
      </c>
      <c r="F1126" s="20"/>
      <c r="G1126" s="187"/>
    </row>
    <row r="1127" spans="4:7">
      <c r="D1127" s="201">
        <v>4911</v>
      </c>
      <c r="F1127" s="20"/>
      <c r="G1127" s="187"/>
    </row>
    <row r="1128" spans="4:7">
      <c r="D1128" s="201">
        <v>4924</v>
      </c>
      <c r="F1128" s="20"/>
      <c r="G1128" s="187"/>
    </row>
    <row r="1129" spans="4:7">
      <c r="D1129" s="201">
        <v>4933</v>
      </c>
      <c r="F1129" s="20"/>
      <c r="G1129" s="187"/>
    </row>
    <row r="1130" spans="4:7">
      <c r="D1130" s="201">
        <v>4939</v>
      </c>
      <c r="F1130" s="20"/>
      <c r="G1130" s="187"/>
    </row>
    <row r="1131" spans="4:7">
      <c r="D1131" s="201">
        <v>4944</v>
      </c>
      <c r="F1131" s="20"/>
      <c r="G1131" s="187"/>
    </row>
    <row r="1132" spans="4:7">
      <c r="D1132" s="201">
        <v>4946</v>
      </c>
      <c r="F1132" s="20"/>
      <c r="G1132" s="187"/>
    </row>
    <row r="1133" spans="4:7">
      <c r="D1133" s="201">
        <v>4947</v>
      </c>
      <c r="F1133" s="20"/>
      <c r="G1133" s="187"/>
    </row>
    <row r="1134" spans="4:7">
      <c r="D1134" s="201">
        <v>4950</v>
      </c>
      <c r="F1134" s="20"/>
      <c r="G1134" s="187"/>
    </row>
    <row r="1135" spans="4:7">
      <c r="D1135" s="201">
        <v>4953</v>
      </c>
      <c r="F1135" s="20"/>
      <c r="G1135" s="187"/>
    </row>
    <row r="1136" spans="4:7">
      <c r="D1136" s="201">
        <v>4965</v>
      </c>
      <c r="F1136" s="20"/>
      <c r="G1136" s="187"/>
    </row>
    <row r="1137" spans="4:7">
      <c r="D1137" s="201">
        <v>4966</v>
      </c>
      <c r="F1137" s="20"/>
      <c r="G1137" s="187"/>
    </row>
    <row r="1138" spans="4:7">
      <c r="D1138" s="201">
        <v>4971</v>
      </c>
      <c r="F1138" s="20"/>
      <c r="G1138" s="187"/>
    </row>
    <row r="1139" spans="4:7">
      <c r="D1139" s="201">
        <v>4972</v>
      </c>
      <c r="F1139" s="20"/>
      <c r="G1139" s="187"/>
    </row>
    <row r="1140" spans="4:7">
      <c r="D1140" s="201">
        <v>4973</v>
      </c>
      <c r="F1140" s="20"/>
      <c r="G1140" s="187"/>
    </row>
    <row r="1141" spans="4:7">
      <c r="D1141" s="201">
        <v>4974</v>
      </c>
      <c r="F1141" s="20"/>
      <c r="G1141" s="187"/>
    </row>
    <row r="1142" spans="4:7">
      <c r="D1142" s="201">
        <v>4979</v>
      </c>
      <c r="F1142" s="20"/>
      <c r="G1142" s="187"/>
    </row>
    <row r="1143" spans="4:7">
      <c r="D1143" s="201">
        <v>4987</v>
      </c>
      <c r="F1143" s="20"/>
      <c r="G1143" s="187"/>
    </row>
    <row r="1144" spans="4:7">
      <c r="D1144" s="201">
        <v>4991</v>
      </c>
      <c r="F1144" s="20"/>
      <c r="G1144" s="187"/>
    </row>
    <row r="1145" spans="4:7">
      <c r="D1145" s="201">
        <v>4995</v>
      </c>
      <c r="F1145" s="20"/>
      <c r="G1145" s="187"/>
    </row>
    <row r="1146" spans="4:7">
      <c r="D1146" s="201">
        <v>5009</v>
      </c>
      <c r="F1146" s="20"/>
      <c r="G1146" s="187"/>
    </row>
    <row r="1147" spans="4:7">
      <c r="D1147" s="201">
        <v>5011</v>
      </c>
      <c r="F1147" s="20"/>
      <c r="G1147" s="187"/>
    </row>
    <row r="1148" spans="4:7">
      <c r="D1148" s="201">
        <v>5013</v>
      </c>
      <c r="F1148" s="20"/>
      <c r="G1148" s="187"/>
    </row>
    <row r="1149" spans="4:7">
      <c r="D1149" s="201">
        <v>5014</v>
      </c>
      <c r="F1149" s="20"/>
      <c r="G1149" s="187"/>
    </row>
    <row r="1150" spans="4:7">
      <c r="D1150" s="201">
        <v>5015</v>
      </c>
      <c r="F1150" s="20"/>
      <c r="G1150" s="187"/>
    </row>
    <row r="1151" spans="4:7">
      <c r="D1151" s="201">
        <v>5016</v>
      </c>
      <c r="F1151" s="20"/>
      <c r="G1151" s="187"/>
    </row>
    <row r="1152" spans="4:7">
      <c r="D1152" s="201">
        <v>5102</v>
      </c>
      <c r="F1152" s="20"/>
      <c r="G1152" s="187"/>
    </row>
    <row r="1153" spans="4:7">
      <c r="D1153" s="201">
        <v>5201</v>
      </c>
      <c r="F1153" s="20"/>
      <c r="G1153" s="187"/>
    </row>
    <row r="1154" spans="4:7">
      <c r="D1154" s="201">
        <v>5202</v>
      </c>
      <c r="F1154" s="20"/>
      <c r="G1154" s="187"/>
    </row>
    <row r="1155" spans="4:7">
      <c r="D1155" s="201">
        <v>5205</v>
      </c>
      <c r="F1155" s="20"/>
      <c r="G1155" s="187"/>
    </row>
    <row r="1156" spans="4:7">
      <c r="D1156" s="201">
        <v>5206</v>
      </c>
      <c r="F1156" s="20"/>
      <c r="G1156" s="187"/>
    </row>
    <row r="1157" spans="4:7">
      <c r="D1157" s="201">
        <v>5209</v>
      </c>
      <c r="F1157" s="20"/>
      <c r="G1157" s="187"/>
    </row>
    <row r="1158" spans="4:7">
      <c r="D1158" s="201">
        <v>5210</v>
      </c>
      <c r="F1158" s="20"/>
      <c r="G1158" s="187"/>
    </row>
    <row r="1159" spans="4:7">
      <c r="D1159" s="201">
        <v>5211</v>
      </c>
      <c r="F1159" s="20"/>
      <c r="G1159" s="187"/>
    </row>
    <row r="1160" spans="4:7">
      <c r="D1160" s="201">
        <v>5212</v>
      </c>
      <c r="F1160" s="20"/>
      <c r="G1160" s="187"/>
    </row>
    <row r="1161" spans="4:7">
      <c r="D1161" s="201">
        <v>5213</v>
      </c>
      <c r="F1161" s="20"/>
      <c r="G1161" s="187"/>
    </row>
    <row r="1162" spans="4:7">
      <c r="D1162" s="201">
        <v>5227</v>
      </c>
      <c r="F1162" s="20"/>
      <c r="G1162" s="187"/>
    </row>
    <row r="1163" spans="4:7">
      <c r="D1163" s="201">
        <v>5230</v>
      </c>
      <c r="F1163" s="20"/>
      <c r="G1163" s="187"/>
    </row>
    <row r="1164" spans="4:7">
      <c r="D1164" s="201">
        <v>5245</v>
      </c>
      <c r="F1164" s="20"/>
      <c r="G1164" s="187"/>
    </row>
    <row r="1165" spans="4:7">
      <c r="D1165" s="201">
        <v>5251</v>
      </c>
      <c r="F1165" s="20"/>
      <c r="G1165" s="187"/>
    </row>
    <row r="1166" spans="4:7">
      <c r="D1166" s="201">
        <v>5255</v>
      </c>
      <c r="F1166" s="20"/>
      <c r="G1166" s="187"/>
    </row>
    <row r="1167" spans="4:7">
      <c r="D1167" s="201">
        <v>5263</v>
      </c>
      <c r="F1167" s="20"/>
      <c r="G1167" s="187"/>
    </row>
    <row r="1168" spans="4:7">
      <c r="D1168" s="201">
        <v>5266</v>
      </c>
      <c r="F1168" s="20"/>
      <c r="G1168" s="187"/>
    </row>
    <row r="1169" spans="4:7">
      <c r="D1169" s="201">
        <v>5272</v>
      </c>
      <c r="F1169" s="20"/>
      <c r="G1169" s="187"/>
    </row>
    <row r="1170" spans="4:7">
      <c r="D1170" s="201">
        <v>5274</v>
      </c>
      <c r="F1170" s="20"/>
      <c r="G1170" s="187"/>
    </row>
    <row r="1171" spans="4:7">
      <c r="D1171" s="201">
        <v>5276</v>
      </c>
      <c r="F1171" s="20"/>
      <c r="G1171" s="187"/>
    </row>
    <row r="1172" spans="4:7">
      <c r="D1172" s="201">
        <v>5278</v>
      </c>
      <c r="F1172" s="20"/>
      <c r="G1172" s="187"/>
    </row>
    <row r="1173" spans="4:7">
      <c r="D1173" s="201">
        <v>5284</v>
      </c>
      <c r="F1173" s="20"/>
      <c r="G1173" s="187"/>
    </row>
    <row r="1174" spans="4:7">
      <c r="D1174" s="201">
        <v>5287</v>
      </c>
      <c r="F1174" s="20"/>
      <c r="G1174" s="187"/>
    </row>
    <row r="1175" spans="4:7">
      <c r="D1175" s="201">
        <v>5289</v>
      </c>
      <c r="F1175" s="20"/>
      <c r="G1175" s="187"/>
    </row>
    <row r="1176" spans="4:7">
      <c r="D1176" s="201">
        <v>5291</v>
      </c>
      <c r="F1176" s="20"/>
      <c r="G1176" s="187"/>
    </row>
    <row r="1177" spans="4:7">
      <c r="D1177" s="201">
        <v>5301</v>
      </c>
      <c r="F1177" s="20"/>
      <c r="G1177" s="187"/>
    </row>
    <row r="1178" spans="4:7">
      <c r="D1178" s="201">
        <v>5302</v>
      </c>
      <c r="F1178" s="20"/>
      <c r="G1178" s="187"/>
    </row>
    <row r="1179" spans="4:7">
      <c r="D1179" s="201">
        <v>5304</v>
      </c>
      <c r="F1179" s="20"/>
      <c r="G1179" s="187"/>
    </row>
    <row r="1180" spans="4:7">
      <c r="D1180" s="201">
        <v>5306</v>
      </c>
      <c r="F1180" s="20"/>
      <c r="G1180" s="187"/>
    </row>
    <row r="1181" spans="4:7">
      <c r="D1181" s="201">
        <v>5309</v>
      </c>
      <c r="F1181" s="20"/>
      <c r="G1181" s="187"/>
    </row>
    <row r="1182" spans="4:7">
      <c r="D1182" s="201">
        <v>5310</v>
      </c>
      <c r="F1182" s="20"/>
      <c r="G1182" s="187"/>
    </row>
    <row r="1183" spans="4:7">
      <c r="D1183" s="201">
        <v>5312</v>
      </c>
      <c r="F1183" s="20"/>
      <c r="G1183" s="187"/>
    </row>
    <row r="1184" spans="4:7">
      <c r="D1184" s="201">
        <v>5314</v>
      </c>
      <c r="F1184" s="20"/>
      <c r="G1184" s="187"/>
    </row>
    <row r="1185" spans="4:7">
      <c r="D1185" s="201">
        <v>5315</v>
      </c>
      <c r="F1185" s="20"/>
      <c r="G1185" s="187"/>
    </row>
    <row r="1186" spans="4:7">
      <c r="D1186" s="201">
        <v>5317</v>
      </c>
      <c r="F1186" s="20"/>
      <c r="G1186" s="187"/>
    </row>
    <row r="1187" spans="4:7">
      <c r="D1187" s="201">
        <v>5321</v>
      </c>
      <c r="F1187" s="20"/>
      <c r="G1187" s="187"/>
    </row>
    <row r="1188" spans="4:7">
      <c r="D1188" s="201">
        <v>5324</v>
      </c>
      <c r="F1188" s="20"/>
      <c r="G1188" s="187"/>
    </row>
    <row r="1189" spans="4:7">
      <c r="D1189" s="201">
        <v>5328</v>
      </c>
      <c r="F1189" s="20"/>
      <c r="G1189" s="187"/>
    </row>
    <row r="1190" spans="4:7">
      <c r="D1190" s="201">
        <v>5340</v>
      </c>
      <c r="F1190" s="20"/>
      <c r="G1190" s="187"/>
    </row>
    <row r="1191" spans="4:7">
      <c r="D1191" s="201">
        <v>5344</v>
      </c>
      <c r="F1191" s="20"/>
      <c r="G1191" s="187"/>
    </row>
    <row r="1192" spans="4:7">
      <c r="D1192" s="201">
        <v>5345</v>
      </c>
      <c r="F1192" s="20"/>
      <c r="G1192" s="187"/>
    </row>
    <row r="1193" spans="4:7">
      <c r="D1193" s="201">
        <v>5347</v>
      </c>
      <c r="F1193" s="20"/>
      <c r="G1193" s="187"/>
    </row>
    <row r="1194" spans="4:7">
      <c r="D1194" s="201">
        <v>5348</v>
      </c>
      <c r="F1194" s="20"/>
      <c r="G1194" s="187"/>
    </row>
    <row r="1195" spans="4:7">
      <c r="D1195" s="201">
        <v>5349</v>
      </c>
      <c r="F1195" s="20"/>
      <c r="G1195" s="187"/>
    </row>
    <row r="1196" spans="4:7">
      <c r="D1196" s="201">
        <v>5351</v>
      </c>
      <c r="F1196" s="20"/>
      <c r="G1196" s="187"/>
    </row>
    <row r="1197" spans="4:7">
      <c r="D1197" s="201">
        <v>5353</v>
      </c>
      <c r="F1197" s="20"/>
      <c r="G1197" s="187"/>
    </row>
    <row r="1198" spans="4:7">
      <c r="D1198" s="201">
        <v>5355</v>
      </c>
      <c r="F1198" s="20"/>
      <c r="G1198" s="187"/>
    </row>
    <row r="1199" spans="4:7">
      <c r="D1199" s="201">
        <v>5356</v>
      </c>
      <c r="F1199" s="20"/>
      <c r="G1199" s="187"/>
    </row>
    <row r="1200" spans="4:7">
      <c r="D1200" s="201">
        <v>5364</v>
      </c>
      <c r="F1200" s="20"/>
      <c r="G1200" s="187"/>
    </row>
    <row r="1201" spans="4:7">
      <c r="D1201" s="201">
        <v>5371</v>
      </c>
      <c r="F1201" s="20"/>
      <c r="G1201" s="187"/>
    </row>
    <row r="1202" spans="4:7">
      <c r="D1202" s="201">
        <v>5381</v>
      </c>
      <c r="F1202" s="20"/>
      <c r="G1202" s="187"/>
    </row>
    <row r="1203" spans="4:7">
      <c r="D1203" s="201">
        <v>5383</v>
      </c>
      <c r="F1203" s="20"/>
      <c r="G1203" s="187"/>
    </row>
    <row r="1204" spans="4:7">
      <c r="D1204" s="201">
        <v>5384</v>
      </c>
      <c r="F1204" s="20"/>
      <c r="G1204" s="187"/>
    </row>
    <row r="1205" spans="4:7">
      <c r="D1205" s="201">
        <v>5386</v>
      </c>
      <c r="F1205" s="20"/>
      <c r="G1205" s="187"/>
    </row>
    <row r="1206" spans="4:7">
      <c r="D1206" s="201">
        <v>5392</v>
      </c>
      <c r="F1206" s="20"/>
      <c r="G1206" s="187"/>
    </row>
    <row r="1207" spans="4:7">
      <c r="D1207" s="201">
        <v>5395</v>
      </c>
      <c r="F1207" s="20"/>
      <c r="G1207" s="187"/>
    </row>
    <row r="1208" spans="4:7">
      <c r="D1208" s="201">
        <v>5398</v>
      </c>
      <c r="F1208" s="20"/>
      <c r="G1208" s="187"/>
    </row>
    <row r="1209" spans="4:7">
      <c r="D1209" s="201">
        <v>5403</v>
      </c>
      <c r="F1209" s="20"/>
      <c r="G1209" s="187"/>
    </row>
    <row r="1210" spans="4:7">
      <c r="D1210" s="201">
        <v>5410</v>
      </c>
      <c r="F1210" s="20"/>
      <c r="G1210" s="187"/>
    </row>
    <row r="1211" spans="4:7">
      <c r="D1211" s="201">
        <v>5425</v>
      </c>
      <c r="F1211" s="20"/>
      <c r="G1211" s="187"/>
    </row>
    <row r="1212" spans="4:7">
      <c r="D1212" s="201">
        <v>5426</v>
      </c>
      <c r="F1212" s="20"/>
      <c r="G1212" s="187"/>
    </row>
    <row r="1213" spans="4:7">
      <c r="D1213" s="201">
        <v>5432</v>
      </c>
      <c r="F1213" s="20"/>
      <c r="G1213" s="187"/>
    </row>
    <row r="1214" spans="4:7">
      <c r="D1214" s="201">
        <v>5438</v>
      </c>
      <c r="F1214" s="20"/>
      <c r="G1214" s="187"/>
    </row>
    <row r="1215" spans="4:7">
      <c r="D1215" s="201">
        <v>5439</v>
      </c>
      <c r="F1215" s="20"/>
      <c r="G1215" s="187"/>
    </row>
    <row r="1216" spans="4:7">
      <c r="D1216" s="201">
        <v>5443</v>
      </c>
      <c r="F1216" s="20"/>
      <c r="G1216" s="187"/>
    </row>
    <row r="1217" spans="4:7">
      <c r="D1217" s="201">
        <v>5450</v>
      </c>
      <c r="F1217" s="20"/>
      <c r="G1217" s="187"/>
    </row>
    <row r="1218" spans="4:7">
      <c r="D1218" s="201">
        <v>5452</v>
      </c>
      <c r="F1218" s="20"/>
      <c r="G1218" s="187"/>
    </row>
    <row r="1219" spans="4:7">
      <c r="D1219" s="201">
        <v>5455</v>
      </c>
      <c r="F1219" s="20"/>
      <c r="G1219" s="187"/>
    </row>
    <row r="1220" spans="4:7">
      <c r="D1220" s="201">
        <v>5457</v>
      </c>
      <c r="F1220" s="20"/>
      <c r="G1220" s="187"/>
    </row>
    <row r="1221" spans="4:7">
      <c r="D1221" s="201">
        <v>5460</v>
      </c>
      <c r="F1221" s="20"/>
      <c r="G1221" s="187"/>
    </row>
    <row r="1222" spans="4:7">
      <c r="D1222" s="201">
        <v>5464</v>
      </c>
      <c r="F1222" s="20"/>
      <c r="G1222" s="187"/>
    </row>
    <row r="1223" spans="4:7">
      <c r="D1223" s="201">
        <v>5465</v>
      </c>
      <c r="F1223" s="20"/>
      <c r="G1223" s="187"/>
    </row>
    <row r="1224" spans="4:7">
      <c r="D1224" s="201">
        <v>5468</v>
      </c>
      <c r="F1224" s="20"/>
      <c r="G1224" s="187"/>
    </row>
    <row r="1225" spans="4:7">
      <c r="D1225" s="201">
        <v>5474</v>
      </c>
      <c r="F1225" s="20"/>
      <c r="G1225" s="187"/>
    </row>
    <row r="1226" spans="4:7">
      <c r="D1226" s="201">
        <v>5475</v>
      </c>
      <c r="F1226" s="20"/>
      <c r="G1226" s="187"/>
    </row>
    <row r="1227" spans="4:7">
      <c r="D1227" s="201">
        <v>5478</v>
      </c>
      <c r="F1227" s="20"/>
      <c r="G1227" s="187"/>
    </row>
    <row r="1228" spans="4:7">
      <c r="D1228" s="201">
        <v>5480</v>
      </c>
      <c r="F1228" s="20"/>
      <c r="G1228" s="187"/>
    </row>
    <row r="1229" spans="4:7">
      <c r="D1229" s="201">
        <v>5481</v>
      </c>
      <c r="F1229" s="20"/>
      <c r="G1229" s="187"/>
    </row>
    <row r="1230" spans="4:7">
      <c r="D1230" s="201">
        <v>5483</v>
      </c>
      <c r="F1230" s="20"/>
      <c r="G1230" s="187"/>
    </row>
    <row r="1231" spans="4:7">
      <c r="D1231" s="201">
        <v>5487</v>
      </c>
      <c r="F1231" s="20"/>
      <c r="G1231" s="187"/>
    </row>
    <row r="1232" spans="4:7">
      <c r="D1232" s="201">
        <v>5488</v>
      </c>
      <c r="F1232" s="20"/>
      <c r="G1232" s="187"/>
    </row>
    <row r="1233" spans="4:7">
      <c r="D1233" s="201">
        <v>5489</v>
      </c>
      <c r="F1233" s="20"/>
      <c r="G1233" s="187"/>
    </row>
    <row r="1234" spans="4:7">
      <c r="D1234" s="201">
        <v>5490</v>
      </c>
      <c r="F1234" s="20"/>
      <c r="G1234" s="187"/>
    </row>
    <row r="1235" spans="4:7">
      <c r="D1235" s="201">
        <v>5491</v>
      </c>
      <c r="F1235" s="20"/>
      <c r="G1235" s="187"/>
    </row>
    <row r="1236" spans="4:7">
      <c r="D1236" s="201">
        <v>5493</v>
      </c>
      <c r="F1236" s="20"/>
      <c r="G1236" s="187"/>
    </row>
    <row r="1237" spans="4:7">
      <c r="D1237" s="201">
        <v>5498</v>
      </c>
      <c r="F1237" s="20"/>
      <c r="G1237" s="187"/>
    </row>
    <row r="1238" spans="4:7">
      <c r="D1238" s="201">
        <v>5506</v>
      </c>
      <c r="F1238" s="20"/>
      <c r="G1238" s="187"/>
    </row>
    <row r="1239" spans="4:7">
      <c r="D1239" s="201">
        <v>5508</v>
      </c>
      <c r="F1239" s="20"/>
      <c r="G1239" s="187"/>
    </row>
    <row r="1240" spans="4:7">
      <c r="D1240" s="201">
        <v>5511</v>
      </c>
      <c r="F1240" s="20"/>
      <c r="G1240" s="187"/>
    </row>
    <row r="1241" spans="4:7">
      <c r="D1241" s="201">
        <v>5512</v>
      </c>
      <c r="F1241" s="20"/>
      <c r="G1241" s="187"/>
    </row>
    <row r="1242" spans="4:7">
      <c r="D1242" s="201">
        <v>5514</v>
      </c>
      <c r="F1242" s="20"/>
      <c r="G1242" s="187"/>
    </row>
    <row r="1243" spans="4:7">
      <c r="D1243" s="201">
        <v>5516</v>
      </c>
      <c r="F1243" s="20"/>
      <c r="G1243" s="187"/>
    </row>
    <row r="1244" spans="4:7">
      <c r="D1244" s="201">
        <v>5520</v>
      </c>
      <c r="F1244" s="20"/>
      <c r="G1244" s="187"/>
    </row>
    <row r="1245" spans="4:7">
      <c r="D1245" s="201">
        <v>5523</v>
      </c>
      <c r="F1245" s="20"/>
      <c r="G1245" s="187"/>
    </row>
    <row r="1246" spans="4:7">
      <c r="D1246" s="201">
        <v>5529</v>
      </c>
      <c r="F1246" s="20"/>
      <c r="G1246" s="187"/>
    </row>
    <row r="1247" spans="4:7">
      <c r="D1247" s="201">
        <v>5530</v>
      </c>
      <c r="F1247" s="20"/>
      <c r="G1247" s="187"/>
    </row>
    <row r="1248" spans="4:7">
      <c r="D1248" s="201">
        <v>5536</v>
      </c>
      <c r="F1248" s="20"/>
      <c r="G1248" s="187"/>
    </row>
    <row r="1249" spans="4:7">
      <c r="D1249" s="201">
        <v>5601</v>
      </c>
      <c r="F1249" s="20"/>
      <c r="G1249" s="187"/>
    </row>
    <row r="1250" spans="4:7">
      <c r="D1250" s="201">
        <v>5603</v>
      </c>
      <c r="F1250" s="20"/>
      <c r="G1250" s="187"/>
    </row>
    <row r="1251" spans="4:7">
      <c r="D1251" s="201">
        <v>5604</v>
      </c>
      <c r="F1251" s="20"/>
      <c r="G1251" s="187"/>
    </row>
    <row r="1252" spans="4:7">
      <c r="D1252" s="201">
        <v>5609</v>
      </c>
      <c r="F1252" s="20"/>
      <c r="G1252" s="187"/>
    </row>
    <row r="1253" spans="4:7">
      <c r="D1253" s="201">
        <v>5701</v>
      </c>
      <c r="F1253" s="20"/>
      <c r="G1253" s="187"/>
    </row>
    <row r="1254" spans="4:7">
      <c r="D1254" s="201">
        <v>5703</v>
      </c>
      <c r="F1254" s="20"/>
      <c r="G1254" s="187"/>
    </row>
    <row r="1255" spans="4:7">
      <c r="D1255" s="201">
        <v>5704</v>
      </c>
      <c r="F1255" s="20"/>
      <c r="G1255" s="187"/>
    </row>
    <row r="1256" spans="4:7">
      <c r="D1256" s="201">
        <v>5878</v>
      </c>
      <c r="F1256" s="20"/>
      <c r="G1256" s="187"/>
    </row>
    <row r="1257" spans="4:7">
      <c r="D1257" s="201">
        <v>5902</v>
      </c>
      <c r="F1257" s="20"/>
      <c r="G1257" s="187"/>
    </row>
    <row r="1258" spans="4:7">
      <c r="D1258" s="201">
        <v>5903</v>
      </c>
      <c r="F1258" s="20"/>
      <c r="G1258" s="187"/>
    </row>
    <row r="1259" spans="4:7">
      <c r="D1259" s="201">
        <v>5904</v>
      </c>
      <c r="F1259" s="20"/>
      <c r="G1259" s="187"/>
    </row>
    <row r="1260" spans="4:7">
      <c r="D1260" s="201">
        <v>5905</v>
      </c>
      <c r="F1260" s="20"/>
      <c r="G1260" s="187"/>
    </row>
    <row r="1261" spans="4:7">
      <c r="D1261" s="201">
        <v>6101</v>
      </c>
      <c r="F1261" s="20"/>
      <c r="G1261" s="187"/>
    </row>
    <row r="1262" spans="4:7">
      <c r="D1262" s="201">
        <v>6103</v>
      </c>
      <c r="F1262" s="20"/>
      <c r="G1262" s="187"/>
    </row>
    <row r="1263" spans="4:7">
      <c r="D1263" s="201">
        <v>6104</v>
      </c>
      <c r="F1263" s="20"/>
      <c r="G1263" s="187"/>
    </row>
    <row r="1264" spans="4:7">
      <c r="D1264" s="201">
        <v>6105</v>
      </c>
      <c r="F1264" s="20"/>
      <c r="G1264" s="187"/>
    </row>
    <row r="1265" spans="4:7">
      <c r="D1265" s="201">
        <v>6107</v>
      </c>
      <c r="F1265" s="20"/>
      <c r="G1265" s="187"/>
    </row>
    <row r="1266" spans="4:7">
      <c r="D1266" s="201">
        <v>6109</v>
      </c>
      <c r="F1266" s="20"/>
      <c r="G1266" s="187"/>
    </row>
    <row r="1267" spans="4:7">
      <c r="D1267" s="201">
        <v>6111</v>
      </c>
      <c r="F1267" s="20"/>
      <c r="G1267" s="187"/>
    </row>
    <row r="1268" spans="4:7">
      <c r="D1268" s="201">
        <v>6113</v>
      </c>
      <c r="F1268" s="20"/>
      <c r="G1268" s="187"/>
    </row>
    <row r="1269" spans="4:7">
      <c r="D1269" s="201">
        <v>6114</v>
      </c>
      <c r="F1269" s="20"/>
      <c r="G1269" s="187"/>
    </row>
    <row r="1270" spans="4:7">
      <c r="D1270" s="201">
        <v>6118</v>
      </c>
      <c r="F1270" s="20"/>
      <c r="G1270" s="187"/>
    </row>
    <row r="1271" spans="4:7">
      <c r="D1271" s="201">
        <v>6121</v>
      </c>
      <c r="F1271" s="20"/>
      <c r="G1271" s="187"/>
    </row>
    <row r="1272" spans="4:7">
      <c r="D1272" s="201">
        <v>6122</v>
      </c>
      <c r="F1272" s="20"/>
      <c r="G1272" s="187"/>
    </row>
    <row r="1273" spans="4:7">
      <c r="D1273" s="201">
        <v>6123</v>
      </c>
      <c r="F1273" s="20"/>
      <c r="G1273" s="187"/>
    </row>
    <row r="1274" spans="4:7">
      <c r="D1274" s="201">
        <v>6124</v>
      </c>
      <c r="F1274" s="20"/>
      <c r="G1274" s="187"/>
    </row>
    <row r="1275" spans="4:7">
      <c r="D1275" s="201">
        <v>6125</v>
      </c>
      <c r="F1275" s="20"/>
      <c r="G1275" s="187"/>
    </row>
    <row r="1276" spans="4:7">
      <c r="D1276" s="201">
        <v>6126</v>
      </c>
      <c r="F1276" s="20"/>
      <c r="G1276" s="187"/>
    </row>
    <row r="1277" spans="4:7">
      <c r="D1277" s="201">
        <v>6127</v>
      </c>
      <c r="F1277" s="20"/>
      <c r="G1277" s="187"/>
    </row>
    <row r="1278" spans="4:7">
      <c r="D1278" s="201">
        <v>6129</v>
      </c>
      <c r="F1278" s="20"/>
      <c r="G1278" s="187"/>
    </row>
    <row r="1279" spans="4:7">
      <c r="D1279" s="201">
        <v>6130</v>
      </c>
      <c r="F1279" s="20"/>
      <c r="G1279" s="187"/>
    </row>
    <row r="1280" spans="4:7">
      <c r="D1280" s="201">
        <v>6134</v>
      </c>
      <c r="F1280" s="20"/>
      <c r="G1280" s="187"/>
    </row>
    <row r="1281" spans="4:7">
      <c r="D1281" s="201">
        <v>6138</v>
      </c>
      <c r="F1281" s="20"/>
      <c r="G1281" s="187"/>
    </row>
    <row r="1282" spans="4:7">
      <c r="D1282" s="201">
        <v>6140</v>
      </c>
      <c r="F1282" s="20"/>
      <c r="G1282" s="187"/>
    </row>
    <row r="1283" spans="4:7">
      <c r="D1283" s="201">
        <v>6143</v>
      </c>
      <c r="F1283" s="20"/>
      <c r="G1283" s="187"/>
    </row>
    <row r="1284" spans="4:7">
      <c r="D1284" s="201">
        <v>6144</v>
      </c>
      <c r="F1284" s="20"/>
      <c r="G1284" s="187"/>
    </row>
    <row r="1285" spans="4:7">
      <c r="D1285" s="201">
        <v>6146</v>
      </c>
      <c r="F1285" s="20"/>
      <c r="G1285" s="187"/>
    </row>
    <row r="1286" spans="4:7">
      <c r="D1286" s="201">
        <v>6147</v>
      </c>
      <c r="F1286" s="20"/>
      <c r="G1286" s="187"/>
    </row>
    <row r="1287" spans="4:7">
      <c r="D1287" s="201">
        <v>6148</v>
      </c>
      <c r="F1287" s="20"/>
      <c r="G1287" s="187"/>
    </row>
    <row r="1288" spans="4:7">
      <c r="D1288" s="201">
        <v>6150</v>
      </c>
      <c r="F1288" s="20"/>
      <c r="G1288" s="187"/>
    </row>
    <row r="1289" spans="4:7">
      <c r="D1289" s="201">
        <v>6151</v>
      </c>
      <c r="F1289" s="20"/>
      <c r="G1289" s="187"/>
    </row>
    <row r="1290" spans="4:7">
      <c r="D1290" s="201">
        <v>6154</v>
      </c>
      <c r="F1290" s="20"/>
      <c r="G1290" s="187"/>
    </row>
    <row r="1291" spans="4:7">
      <c r="D1291" s="201">
        <v>6156</v>
      </c>
      <c r="F1291" s="20"/>
      <c r="G1291" s="187"/>
    </row>
    <row r="1292" spans="4:7">
      <c r="D1292" s="201">
        <v>6158</v>
      </c>
      <c r="F1292" s="20"/>
      <c r="G1292" s="187"/>
    </row>
    <row r="1293" spans="4:7">
      <c r="D1293" s="201">
        <v>6160</v>
      </c>
      <c r="F1293" s="20"/>
      <c r="G1293" s="187"/>
    </row>
    <row r="1294" spans="4:7">
      <c r="D1294" s="201">
        <v>6161</v>
      </c>
      <c r="F1294" s="20"/>
      <c r="G1294" s="187"/>
    </row>
    <row r="1295" spans="4:7">
      <c r="D1295" s="201">
        <v>6163</v>
      </c>
      <c r="F1295" s="20"/>
      <c r="G1295" s="187"/>
    </row>
    <row r="1296" spans="4:7">
      <c r="D1296" s="201">
        <v>6167</v>
      </c>
      <c r="F1296" s="20"/>
      <c r="G1296" s="187"/>
    </row>
    <row r="1297" spans="4:7">
      <c r="D1297" s="201">
        <v>6169</v>
      </c>
      <c r="F1297" s="20"/>
      <c r="G1297" s="187"/>
    </row>
    <row r="1298" spans="4:7">
      <c r="D1298" s="201">
        <v>6170</v>
      </c>
      <c r="F1298" s="20"/>
      <c r="G1298" s="187"/>
    </row>
    <row r="1299" spans="4:7">
      <c r="D1299" s="201">
        <v>6171</v>
      </c>
      <c r="F1299" s="20"/>
      <c r="G1299" s="187"/>
    </row>
    <row r="1300" spans="4:7">
      <c r="D1300" s="201">
        <v>6173</v>
      </c>
      <c r="F1300" s="20"/>
      <c r="G1300" s="187"/>
    </row>
    <row r="1301" spans="4:7">
      <c r="D1301" s="201">
        <v>6174</v>
      </c>
      <c r="F1301" s="20"/>
      <c r="G1301" s="187"/>
    </row>
    <row r="1302" spans="4:7">
      <c r="D1302" s="201">
        <v>6175</v>
      </c>
      <c r="F1302" s="20"/>
      <c r="G1302" s="187"/>
    </row>
    <row r="1303" spans="4:7">
      <c r="D1303" s="201">
        <v>6179</v>
      </c>
      <c r="F1303" s="20"/>
      <c r="G1303" s="187"/>
    </row>
    <row r="1304" spans="4:7">
      <c r="D1304" s="201">
        <v>6180</v>
      </c>
      <c r="F1304" s="20"/>
      <c r="G1304" s="187"/>
    </row>
    <row r="1305" spans="4:7">
      <c r="D1305" s="201">
        <v>6182</v>
      </c>
      <c r="F1305" s="20"/>
      <c r="G1305" s="187"/>
    </row>
    <row r="1306" spans="4:7">
      <c r="D1306" s="201">
        <v>6185</v>
      </c>
      <c r="F1306" s="20"/>
      <c r="G1306" s="187"/>
    </row>
    <row r="1307" spans="4:7">
      <c r="D1307" s="201">
        <v>6186</v>
      </c>
      <c r="F1307" s="20"/>
      <c r="G1307" s="187"/>
    </row>
    <row r="1308" spans="4:7">
      <c r="D1308" s="201">
        <v>6187</v>
      </c>
      <c r="F1308" s="20"/>
      <c r="G1308" s="187"/>
    </row>
    <row r="1309" spans="4:7">
      <c r="D1309" s="201">
        <v>6188</v>
      </c>
      <c r="F1309" s="20"/>
      <c r="G1309" s="187"/>
    </row>
    <row r="1310" spans="4:7">
      <c r="D1310" s="201">
        <v>6190</v>
      </c>
      <c r="F1310" s="20"/>
      <c r="G1310" s="187"/>
    </row>
    <row r="1311" spans="4:7">
      <c r="D1311" s="201">
        <v>6194</v>
      </c>
      <c r="F1311" s="20"/>
      <c r="G1311" s="187"/>
    </row>
    <row r="1312" spans="4:7">
      <c r="D1312" s="201">
        <v>6195</v>
      </c>
      <c r="F1312" s="20"/>
      <c r="G1312" s="187"/>
    </row>
    <row r="1313" spans="4:7">
      <c r="D1313" s="201">
        <v>6198</v>
      </c>
      <c r="F1313" s="20"/>
      <c r="G1313" s="187"/>
    </row>
    <row r="1314" spans="4:7">
      <c r="D1314" s="201">
        <v>6199</v>
      </c>
      <c r="F1314" s="20"/>
      <c r="G1314" s="187"/>
    </row>
    <row r="1315" spans="4:7">
      <c r="D1315" s="201">
        <v>6203</v>
      </c>
      <c r="F1315" s="20"/>
      <c r="G1315" s="187"/>
    </row>
    <row r="1316" spans="4:7">
      <c r="D1316" s="201">
        <v>6204</v>
      </c>
      <c r="F1316" s="20"/>
      <c r="G1316" s="187"/>
    </row>
    <row r="1317" spans="4:7">
      <c r="D1317" s="201">
        <v>6207</v>
      </c>
      <c r="F1317" s="20"/>
      <c r="G1317" s="187"/>
    </row>
    <row r="1318" spans="4:7">
      <c r="D1318" s="201">
        <v>6208</v>
      </c>
      <c r="F1318" s="20"/>
      <c r="G1318" s="187"/>
    </row>
    <row r="1319" spans="4:7">
      <c r="D1319" s="201">
        <v>6210</v>
      </c>
      <c r="F1319" s="20"/>
      <c r="G1319" s="187"/>
    </row>
    <row r="1320" spans="4:7">
      <c r="D1320" s="201">
        <v>6211</v>
      </c>
      <c r="F1320" s="20"/>
      <c r="G1320" s="187"/>
    </row>
    <row r="1321" spans="4:7">
      <c r="D1321" s="201">
        <v>6212</v>
      </c>
      <c r="F1321" s="20"/>
      <c r="G1321" s="187"/>
    </row>
    <row r="1322" spans="4:7">
      <c r="D1322" s="201">
        <v>6217</v>
      </c>
      <c r="F1322" s="20"/>
      <c r="G1322" s="187"/>
    </row>
    <row r="1323" spans="4:7">
      <c r="D1323" s="201">
        <v>6218</v>
      </c>
      <c r="F1323" s="20"/>
      <c r="G1323" s="187"/>
    </row>
    <row r="1324" spans="4:7">
      <c r="D1324" s="201">
        <v>6219</v>
      </c>
      <c r="F1324" s="20"/>
      <c r="G1324" s="187"/>
    </row>
    <row r="1325" spans="4:7">
      <c r="D1325" s="201">
        <v>6220</v>
      </c>
      <c r="F1325" s="20"/>
      <c r="G1325" s="187"/>
    </row>
    <row r="1326" spans="4:7">
      <c r="D1326" s="201">
        <v>6221</v>
      </c>
      <c r="F1326" s="20"/>
      <c r="G1326" s="187"/>
    </row>
    <row r="1327" spans="4:7">
      <c r="D1327" s="201">
        <v>6222</v>
      </c>
      <c r="F1327" s="20"/>
      <c r="G1327" s="187"/>
    </row>
    <row r="1328" spans="4:7">
      <c r="D1328" s="201">
        <v>6223</v>
      </c>
      <c r="F1328" s="20"/>
      <c r="G1328" s="187"/>
    </row>
    <row r="1329" spans="4:7">
      <c r="D1329" s="201">
        <v>6227</v>
      </c>
      <c r="F1329" s="20"/>
      <c r="G1329" s="187"/>
    </row>
    <row r="1330" spans="4:7">
      <c r="D1330" s="201">
        <v>6228</v>
      </c>
      <c r="F1330" s="20"/>
      <c r="G1330" s="187"/>
    </row>
    <row r="1331" spans="4:7">
      <c r="D1331" s="201">
        <v>6229</v>
      </c>
      <c r="F1331" s="20"/>
      <c r="G1331" s="187"/>
    </row>
    <row r="1332" spans="4:7">
      <c r="D1332" s="201">
        <v>6231</v>
      </c>
      <c r="F1332" s="20"/>
      <c r="G1332" s="187"/>
    </row>
    <row r="1333" spans="4:7">
      <c r="D1333" s="201">
        <v>6233</v>
      </c>
      <c r="F1333" s="20"/>
      <c r="G1333" s="187"/>
    </row>
    <row r="1334" spans="4:7">
      <c r="D1334" s="201">
        <v>6234</v>
      </c>
      <c r="F1334" s="20"/>
      <c r="G1334" s="187"/>
    </row>
    <row r="1335" spans="4:7">
      <c r="D1335" s="201">
        <v>6236</v>
      </c>
      <c r="F1335" s="20"/>
      <c r="G1335" s="187"/>
    </row>
    <row r="1336" spans="4:7">
      <c r="D1336" s="201">
        <v>6237</v>
      </c>
      <c r="F1336" s="20"/>
      <c r="G1336" s="187"/>
    </row>
    <row r="1337" spans="4:7">
      <c r="D1337" s="201">
        <v>6238</v>
      </c>
      <c r="F1337" s="20"/>
      <c r="G1337" s="187"/>
    </row>
    <row r="1338" spans="4:7">
      <c r="D1338" s="201">
        <v>6240</v>
      </c>
      <c r="F1338" s="20"/>
      <c r="G1338" s="187"/>
    </row>
    <row r="1339" spans="4:7">
      <c r="D1339" s="201">
        <v>6241</v>
      </c>
      <c r="F1339" s="20"/>
      <c r="G1339" s="187"/>
    </row>
    <row r="1340" spans="4:7">
      <c r="D1340" s="201">
        <v>6242</v>
      </c>
      <c r="F1340" s="20"/>
      <c r="G1340" s="187"/>
    </row>
    <row r="1341" spans="4:7">
      <c r="D1341" s="201">
        <v>6244</v>
      </c>
      <c r="F1341" s="20"/>
      <c r="G1341" s="187"/>
    </row>
    <row r="1342" spans="4:7">
      <c r="D1342" s="201">
        <v>6245</v>
      </c>
      <c r="F1342" s="20"/>
      <c r="G1342" s="187"/>
    </row>
    <row r="1343" spans="4:7">
      <c r="D1343" s="201">
        <v>6246</v>
      </c>
      <c r="F1343" s="20"/>
      <c r="G1343" s="187"/>
    </row>
    <row r="1344" spans="4:7">
      <c r="D1344" s="201">
        <v>6247</v>
      </c>
      <c r="F1344" s="20"/>
      <c r="G1344" s="187"/>
    </row>
    <row r="1345" spans="4:7">
      <c r="D1345" s="201">
        <v>6248</v>
      </c>
      <c r="F1345" s="20"/>
      <c r="G1345" s="187"/>
    </row>
    <row r="1346" spans="4:7">
      <c r="D1346" s="201">
        <v>6250</v>
      </c>
      <c r="F1346" s="20"/>
      <c r="G1346" s="187"/>
    </row>
    <row r="1347" spans="4:7">
      <c r="D1347" s="201">
        <v>6259</v>
      </c>
      <c r="F1347" s="20"/>
      <c r="G1347" s="187"/>
    </row>
    <row r="1348" spans="4:7">
      <c r="D1348" s="201">
        <v>6261</v>
      </c>
      <c r="F1348" s="20"/>
      <c r="G1348" s="187"/>
    </row>
    <row r="1349" spans="4:7">
      <c r="D1349" s="201">
        <v>6263</v>
      </c>
      <c r="F1349" s="20"/>
      <c r="G1349" s="187"/>
    </row>
    <row r="1350" spans="4:7">
      <c r="D1350" s="201">
        <v>6264</v>
      </c>
      <c r="F1350" s="20"/>
      <c r="G1350" s="187"/>
    </row>
    <row r="1351" spans="4:7">
      <c r="D1351" s="201">
        <v>6265</v>
      </c>
      <c r="F1351" s="20"/>
      <c r="G1351" s="187"/>
    </row>
    <row r="1352" spans="4:7">
      <c r="D1352" s="201">
        <v>6266</v>
      </c>
      <c r="F1352" s="20"/>
      <c r="G1352" s="187"/>
    </row>
    <row r="1353" spans="4:7">
      <c r="D1353" s="201">
        <v>6270</v>
      </c>
      <c r="F1353" s="20"/>
      <c r="G1353" s="187"/>
    </row>
    <row r="1354" spans="4:7">
      <c r="D1354" s="201">
        <v>6274</v>
      </c>
      <c r="F1354" s="20"/>
      <c r="G1354" s="187"/>
    </row>
    <row r="1355" spans="4:7">
      <c r="D1355" s="201">
        <v>6275</v>
      </c>
      <c r="F1355" s="20"/>
      <c r="G1355" s="187"/>
    </row>
    <row r="1356" spans="4:7">
      <c r="D1356" s="201">
        <v>6276</v>
      </c>
      <c r="F1356" s="20"/>
      <c r="G1356" s="187"/>
    </row>
    <row r="1357" spans="4:7">
      <c r="D1357" s="201">
        <v>6279</v>
      </c>
      <c r="F1357" s="20"/>
      <c r="G1357" s="187"/>
    </row>
    <row r="1358" spans="4:7">
      <c r="D1358" s="201">
        <v>6284</v>
      </c>
      <c r="F1358" s="20"/>
      <c r="G1358" s="187"/>
    </row>
    <row r="1359" spans="4:7">
      <c r="D1359" s="201">
        <v>6287</v>
      </c>
      <c r="F1359" s="20"/>
      <c r="G1359" s="187"/>
    </row>
    <row r="1360" spans="4:7">
      <c r="D1360" s="201">
        <v>6290</v>
      </c>
      <c r="F1360" s="20"/>
      <c r="G1360" s="187"/>
    </row>
    <row r="1361" spans="4:7">
      <c r="D1361" s="201">
        <v>6291</v>
      </c>
      <c r="F1361" s="20"/>
      <c r="G1361" s="187"/>
    </row>
    <row r="1362" spans="4:7">
      <c r="D1362" s="201">
        <v>6292</v>
      </c>
      <c r="F1362" s="20"/>
      <c r="G1362" s="187"/>
    </row>
    <row r="1363" spans="4:7">
      <c r="D1363" s="201">
        <v>6294</v>
      </c>
      <c r="F1363" s="20"/>
      <c r="G1363" s="187"/>
    </row>
    <row r="1364" spans="4:7">
      <c r="D1364" s="201">
        <v>6298</v>
      </c>
      <c r="F1364" s="20"/>
      <c r="G1364" s="187"/>
    </row>
    <row r="1365" spans="4:7">
      <c r="D1365" s="201">
        <v>6404</v>
      </c>
      <c r="F1365" s="20"/>
      <c r="G1365" s="187"/>
    </row>
    <row r="1366" spans="4:7">
      <c r="D1366" s="201">
        <v>6411</v>
      </c>
      <c r="F1366" s="20"/>
      <c r="G1366" s="187"/>
    </row>
    <row r="1367" spans="4:7">
      <c r="D1367" s="201">
        <v>6417</v>
      </c>
      <c r="F1367" s="20"/>
      <c r="G1367" s="187"/>
    </row>
    <row r="1368" spans="4:7">
      <c r="D1368" s="201">
        <v>6419</v>
      </c>
      <c r="F1368" s="20"/>
      <c r="G1368" s="187"/>
    </row>
    <row r="1369" spans="4:7">
      <c r="D1369" s="201">
        <v>6426</v>
      </c>
      <c r="F1369" s="20"/>
      <c r="G1369" s="187"/>
    </row>
    <row r="1370" spans="4:7">
      <c r="D1370" s="201">
        <v>6432</v>
      </c>
      <c r="F1370" s="20"/>
      <c r="G1370" s="187"/>
    </row>
    <row r="1371" spans="4:7">
      <c r="D1371" s="201">
        <v>6457</v>
      </c>
      <c r="F1371" s="20"/>
      <c r="G1371" s="187"/>
    </row>
    <row r="1372" spans="4:7">
      <c r="D1372" s="201">
        <v>6488</v>
      </c>
      <c r="F1372" s="20"/>
      <c r="G1372" s="187"/>
    </row>
    <row r="1373" spans="4:7">
      <c r="D1373" s="201">
        <v>6506</v>
      </c>
      <c r="F1373" s="20"/>
      <c r="G1373" s="187"/>
    </row>
    <row r="1374" spans="4:7">
      <c r="D1374" s="201">
        <v>6508</v>
      </c>
      <c r="F1374" s="20"/>
      <c r="G1374" s="187"/>
    </row>
    <row r="1375" spans="4:7">
      <c r="D1375" s="201">
        <v>6509</v>
      </c>
      <c r="F1375" s="20"/>
      <c r="G1375" s="187"/>
    </row>
    <row r="1376" spans="4:7">
      <c r="D1376" s="201">
        <v>6603</v>
      </c>
      <c r="F1376" s="20"/>
      <c r="G1376" s="187"/>
    </row>
    <row r="1377" spans="4:7">
      <c r="D1377" s="201">
        <v>6609</v>
      </c>
      <c r="F1377" s="20"/>
      <c r="G1377" s="187"/>
    </row>
    <row r="1378" spans="4:7">
      <c r="D1378" s="201">
        <v>6803</v>
      </c>
      <c r="F1378" s="20"/>
      <c r="G1378" s="187"/>
    </row>
    <row r="1379" spans="4:7">
      <c r="D1379" s="201">
        <v>8024</v>
      </c>
      <c r="F1379" s="20"/>
      <c r="G1379" s="187"/>
    </row>
    <row r="1380" spans="4:7">
      <c r="D1380" s="201">
        <v>8027</v>
      </c>
      <c r="F1380" s="20"/>
      <c r="G1380" s="187"/>
    </row>
    <row r="1381" spans="4:7">
      <c r="D1381" s="201">
        <v>8032</v>
      </c>
      <c r="F1381" s="20"/>
      <c r="G1381" s="187"/>
    </row>
    <row r="1382" spans="4:7">
      <c r="D1382" s="201">
        <v>8034</v>
      </c>
      <c r="F1382" s="20"/>
      <c r="G1382" s="187"/>
    </row>
    <row r="1383" spans="4:7">
      <c r="D1383" s="201">
        <v>8038</v>
      </c>
      <c r="F1383" s="20"/>
      <c r="G1383" s="187"/>
    </row>
    <row r="1384" spans="4:7">
      <c r="D1384" s="201">
        <v>8040</v>
      </c>
      <c r="F1384" s="20"/>
      <c r="G1384" s="187"/>
    </row>
    <row r="1385" spans="4:7">
      <c r="D1385" s="201">
        <v>8042</v>
      </c>
      <c r="F1385" s="20"/>
      <c r="G1385" s="187"/>
    </row>
    <row r="1386" spans="4:7">
      <c r="D1386" s="201">
        <v>8043</v>
      </c>
      <c r="F1386" s="20"/>
      <c r="G1386" s="187"/>
    </row>
    <row r="1387" spans="4:7">
      <c r="D1387" s="201">
        <v>8044</v>
      </c>
      <c r="F1387" s="20"/>
      <c r="G1387" s="187"/>
    </row>
    <row r="1388" spans="4:7">
      <c r="D1388" s="201">
        <v>8047</v>
      </c>
      <c r="F1388" s="20"/>
      <c r="G1388" s="187"/>
    </row>
    <row r="1389" spans="4:7">
      <c r="D1389" s="201">
        <v>8048</v>
      </c>
      <c r="F1389" s="20"/>
      <c r="G1389" s="187"/>
    </row>
    <row r="1390" spans="4:7">
      <c r="D1390" s="201">
        <v>8049</v>
      </c>
      <c r="F1390" s="20"/>
      <c r="G1390" s="187"/>
    </row>
    <row r="1391" spans="4:7">
      <c r="D1391" s="201">
        <v>8050</v>
      </c>
      <c r="F1391" s="20"/>
      <c r="G1391" s="187"/>
    </row>
    <row r="1392" spans="4:7">
      <c r="D1392" s="201">
        <v>8053</v>
      </c>
      <c r="F1392" s="20"/>
      <c r="G1392" s="187"/>
    </row>
    <row r="1393" spans="4:7">
      <c r="D1393" s="201">
        <v>8054</v>
      </c>
      <c r="F1393" s="20"/>
      <c r="G1393" s="187"/>
    </row>
    <row r="1394" spans="4:7">
      <c r="D1394" s="201">
        <v>8059</v>
      </c>
      <c r="F1394" s="20"/>
      <c r="G1394" s="187"/>
    </row>
    <row r="1395" spans="4:7">
      <c r="D1395" s="201">
        <v>8064</v>
      </c>
      <c r="F1395" s="20"/>
      <c r="G1395" s="187"/>
    </row>
    <row r="1396" spans="4:7">
      <c r="D1396" s="201">
        <v>8066</v>
      </c>
      <c r="F1396" s="20"/>
      <c r="G1396" s="187"/>
    </row>
    <row r="1397" spans="4:7">
      <c r="D1397" s="201">
        <v>8067</v>
      </c>
      <c r="F1397" s="20"/>
      <c r="G1397" s="187"/>
    </row>
    <row r="1398" spans="4:7">
      <c r="D1398" s="201">
        <v>8068</v>
      </c>
      <c r="F1398" s="20"/>
      <c r="G1398" s="187"/>
    </row>
    <row r="1399" spans="4:7">
      <c r="D1399" s="201">
        <v>8069</v>
      </c>
      <c r="F1399" s="20"/>
      <c r="G1399" s="187"/>
    </row>
    <row r="1400" spans="4:7">
      <c r="D1400" s="201">
        <v>8071</v>
      </c>
      <c r="F1400" s="20"/>
      <c r="G1400" s="187"/>
    </row>
    <row r="1401" spans="4:7">
      <c r="D1401" s="201">
        <v>8074</v>
      </c>
      <c r="F1401" s="20"/>
      <c r="G1401" s="187"/>
    </row>
    <row r="1402" spans="4:7">
      <c r="D1402" s="201">
        <v>8076</v>
      </c>
      <c r="F1402" s="20"/>
      <c r="G1402" s="187"/>
    </row>
    <row r="1403" spans="4:7">
      <c r="D1403" s="201">
        <v>8077</v>
      </c>
      <c r="F1403" s="20"/>
      <c r="G1403" s="187"/>
    </row>
    <row r="1404" spans="4:7">
      <c r="D1404" s="201">
        <v>8079</v>
      </c>
      <c r="F1404" s="20"/>
      <c r="G1404" s="187"/>
    </row>
    <row r="1405" spans="4:7">
      <c r="D1405" s="201">
        <v>8080</v>
      </c>
      <c r="F1405" s="20"/>
      <c r="G1405" s="187"/>
    </row>
    <row r="1406" spans="4:7">
      <c r="D1406" s="201">
        <v>8082</v>
      </c>
      <c r="F1406" s="20"/>
      <c r="G1406" s="187"/>
    </row>
    <row r="1407" spans="4:7">
      <c r="D1407" s="201">
        <v>8083</v>
      </c>
      <c r="F1407" s="20"/>
      <c r="G1407" s="187"/>
    </row>
    <row r="1408" spans="4:7">
      <c r="D1408" s="201">
        <v>8084</v>
      </c>
      <c r="F1408" s="20"/>
      <c r="G1408" s="187"/>
    </row>
    <row r="1409" spans="4:7">
      <c r="D1409" s="201">
        <v>8085</v>
      </c>
      <c r="F1409" s="20"/>
      <c r="G1409" s="187"/>
    </row>
    <row r="1410" spans="4:7">
      <c r="D1410" s="201">
        <v>8086</v>
      </c>
      <c r="F1410" s="20"/>
      <c r="G1410" s="187"/>
    </row>
    <row r="1411" spans="4:7">
      <c r="D1411" s="201">
        <v>8087</v>
      </c>
      <c r="F1411" s="20"/>
      <c r="G1411" s="187"/>
    </row>
    <row r="1412" spans="4:7">
      <c r="D1412" s="201">
        <v>8088</v>
      </c>
      <c r="F1412" s="20"/>
      <c r="G1412" s="187"/>
    </row>
    <row r="1413" spans="4:7">
      <c r="D1413" s="201">
        <v>8091</v>
      </c>
      <c r="F1413" s="20"/>
      <c r="G1413" s="187"/>
    </row>
    <row r="1414" spans="4:7">
      <c r="D1414" s="201">
        <v>8092</v>
      </c>
      <c r="F1414" s="20"/>
      <c r="G1414" s="187"/>
    </row>
    <row r="1415" spans="4:7">
      <c r="D1415" s="201">
        <v>8093</v>
      </c>
      <c r="F1415" s="20"/>
      <c r="G1415" s="187"/>
    </row>
    <row r="1416" spans="4:7">
      <c r="D1416" s="201">
        <v>8096</v>
      </c>
      <c r="F1416" s="20"/>
      <c r="G1416" s="187"/>
    </row>
    <row r="1417" spans="4:7">
      <c r="D1417" s="201">
        <v>8097</v>
      </c>
      <c r="F1417" s="20"/>
      <c r="G1417" s="187"/>
    </row>
    <row r="1418" spans="4:7">
      <c r="D1418" s="201">
        <v>8099</v>
      </c>
      <c r="F1418" s="20"/>
      <c r="G1418" s="187"/>
    </row>
    <row r="1419" spans="4:7">
      <c r="D1419" s="201">
        <v>8107</v>
      </c>
      <c r="F1419" s="20"/>
      <c r="G1419" s="187"/>
    </row>
    <row r="1420" spans="4:7">
      <c r="D1420" s="201">
        <v>8109</v>
      </c>
      <c r="F1420" s="20"/>
      <c r="G1420" s="187"/>
    </row>
    <row r="1421" spans="4:7">
      <c r="D1421" s="201">
        <v>8111</v>
      </c>
      <c r="F1421" s="20"/>
      <c r="G1421" s="187"/>
    </row>
    <row r="1422" spans="4:7">
      <c r="D1422" s="201">
        <v>8121</v>
      </c>
      <c r="F1422" s="20"/>
      <c r="G1422" s="187"/>
    </row>
    <row r="1423" spans="4:7">
      <c r="D1423" s="201">
        <v>8147</v>
      </c>
      <c r="F1423" s="20"/>
      <c r="G1423" s="187"/>
    </row>
    <row r="1424" spans="4:7">
      <c r="D1424" s="201">
        <v>8155</v>
      </c>
      <c r="F1424" s="20"/>
      <c r="G1424" s="187"/>
    </row>
    <row r="1425" spans="4:7">
      <c r="D1425" s="201">
        <v>8171</v>
      </c>
      <c r="F1425" s="20"/>
      <c r="G1425" s="187"/>
    </row>
    <row r="1426" spans="4:7">
      <c r="D1426" s="201">
        <v>8176</v>
      </c>
      <c r="F1426" s="20"/>
      <c r="G1426" s="187"/>
    </row>
    <row r="1427" spans="4:7">
      <c r="D1427" s="201">
        <v>8182</v>
      </c>
      <c r="F1427" s="20"/>
      <c r="G1427" s="187"/>
    </row>
    <row r="1428" spans="4:7">
      <c r="D1428" s="201">
        <v>8183</v>
      </c>
      <c r="F1428" s="20"/>
      <c r="G1428" s="187"/>
    </row>
    <row r="1429" spans="4:7">
      <c r="D1429" s="201">
        <v>8234</v>
      </c>
      <c r="F1429" s="20"/>
      <c r="G1429" s="187"/>
    </row>
    <row r="1430" spans="4:7">
      <c r="D1430" s="201">
        <v>8240</v>
      </c>
      <c r="F1430" s="20"/>
      <c r="G1430" s="187"/>
    </row>
    <row r="1431" spans="4:7">
      <c r="D1431" s="201">
        <v>8255</v>
      </c>
      <c r="F1431" s="20"/>
      <c r="G1431" s="187"/>
    </row>
    <row r="1432" spans="4:7">
      <c r="D1432" s="201">
        <v>8266</v>
      </c>
      <c r="F1432" s="20"/>
      <c r="G1432" s="187"/>
    </row>
    <row r="1433" spans="4:7">
      <c r="D1433" s="201">
        <v>8277</v>
      </c>
      <c r="F1433" s="20"/>
      <c r="G1433" s="187"/>
    </row>
    <row r="1434" spans="4:7">
      <c r="D1434" s="201">
        <v>8287</v>
      </c>
      <c r="F1434" s="20"/>
      <c r="G1434" s="187"/>
    </row>
    <row r="1435" spans="4:7">
      <c r="D1435" s="201">
        <v>8289</v>
      </c>
      <c r="F1435" s="20"/>
      <c r="G1435" s="187"/>
    </row>
    <row r="1436" spans="4:7">
      <c r="D1436" s="201">
        <v>8291</v>
      </c>
      <c r="F1436" s="20"/>
      <c r="G1436" s="187"/>
    </row>
    <row r="1437" spans="4:7">
      <c r="D1437" s="201">
        <v>8299</v>
      </c>
      <c r="F1437" s="20"/>
      <c r="G1437" s="187"/>
    </row>
    <row r="1438" spans="4:7">
      <c r="D1438" s="201">
        <v>8349</v>
      </c>
      <c r="F1438" s="20"/>
      <c r="G1438" s="187"/>
    </row>
    <row r="1439" spans="4:7">
      <c r="D1439" s="201">
        <v>8354</v>
      </c>
      <c r="F1439" s="20"/>
      <c r="G1439" s="187"/>
    </row>
    <row r="1440" spans="4:7">
      <c r="D1440" s="201">
        <v>8358</v>
      </c>
      <c r="F1440" s="20"/>
      <c r="G1440" s="187"/>
    </row>
    <row r="1441" spans="4:7">
      <c r="D1441" s="201">
        <v>8383</v>
      </c>
      <c r="F1441" s="20"/>
      <c r="G1441" s="187"/>
    </row>
    <row r="1442" spans="4:7">
      <c r="D1442" s="201">
        <v>8390</v>
      </c>
      <c r="F1442" s="20"/>
      <c r="G1442" s="187"/>
    </row>
    <row r="1443" spans="4:7">
      <c r="D1443" s="201">
        <v>8401</v>
      </c>
      <c r="F1443" s="20"/>
      <c r="G1443" s="187"/>
    </row>
    <row r="1444" spans="4:7">
      <c r="D1444" s="201">
        <v>8403</v>
      </c>
      <c r="F1444" s="20"/>
      <c r="G1444" s="187"/>
    </row>
    <row r="1445" spans="4:7">
      <c r="D1445" s="201">
        <v>8406</v>
      </c>
      <c r="F1445" s="20"/>
      <c r="G1445" s="187"/>
    </row>
    <row r="1446" spans="4:7">
      <c r="D1446" s="201">
        <v>8409</v>
      </c>
      <c r="F1446" s="20"/>
      <c r="G1446" s="187"/>
    </row>
    <row r="1447" spans="4:7">
      <c r="D1447" s="201">
        <v>8410</v>
      </c>
      <c r="F1447" s="20"/>
      <c r="G1447" s="187"/>
    </row>
    <row r="1448" spans="4:7">
      <c r="D1448" s="201">
        <v>8416</v>
      </c>
      <c r="F1448" s="20"/>
      <c r="G1448" s="187"/>
    </row>
    <row r="1449" spans="4:7">
      <c r="D1449" s="201">
        <v>8418</v>
      </c>
      <c r="F1449" s="20"/>
      <c r="G1449" s="187"/>
    </row>
    <row r="1450" spans="4:7">
      <c r="D1450" s="201">
        <v>8420</v>
      </c>
      <c r="F1450" s="20"/>
      <c r="G1450" s="187"/>
    </row>
    <row r="1451" spans="4:7">
      <c r="D1451" s="201">
        <v>8421</v>
      </c>
      <c r="F1451" s="20"/>
      <c r="G1451" s="187"/>
    </row>
    <row r="1452" spans="4:7">
      <c r="D1452" s="201">
        <v>8423</v>
      </c>
      <c r="F1452" s="20"/>
      <c r="G1452" s="187"/>
    </row>
    <row r="1453" spans="4:7">
      <c r="D1453" s="201">
        <v>8424</v>
      </c>
      <c r="F1453" s="20"/>
      <c r="G1453" s="187"/>
    </row>
    <row r="1454" spans="4:7">
      <c r="D1454" s="201">
        <v>8426</v>
      </c>
      <c r="F1454" s="20"/>
      <c r="G1454" s="187"/>
    </row>
    <row r="1455" spans="4:7">
      <c r="D1455" s="201">
        <v>8431</v>
      </c>
      <c r="F1455" s="20"/>
      <c r="G1455" s="187"/>
    </row>
    <row r="1456" spans="4:7">
      <c r="D1456" s="201">
        <v>8432</v>
      </c>
      <c r="F1456" s="20"/>
      <c r="G1456" s="187"/>
    </row>
    <row r="1457" spans="4:7">
      <c r="D1457" s="201">
        <v>8433</v>
      </c>
      <c r="F1457" s="20"/>
      <c r="G1457" s="187"/>
    </row>
    <row r="1458" spans="4:7">
      <c r="D1458" s="201">
        <v>8435</v>
      </c>
      <c r="F1458" s="20"/>
      <c r="G1458" s="187"/>
    </row>
    <row r="1459" spans="4:7">
      <c r="D1459" s="201">
        <v>8436</v>
      </c>
      <c r="F1459" s="20"/>
      <c r="G1459" s="187"/>
    </row>
    <row r="1460" spans="4:7">
      <c r="D1460" s="201">
        <v>8437</v>
      </c>
      <c r="F1460" s="20"/>
      <c r="G1460" s="187"/>
    </row>
    <row r="1461" spans="4:7">
      <c r="D1461" s="201">
        <v>8444</v>
      </c>
      <c r="F1461" s="20"/>
      <c r="G1461" s="187"/>
    </row>
    <row r="1462" spans="4:7">
      <c r="D1462" s="201">
        <v>8446</v>
      </c>
      <c r="F1462" s="20"/>
      <c r="G1462" s="187"/>
    </row>
    <row r="1463" spans="4:7">
      <c r="D1463" s="201">
        <v>8450</v>
      </c>
      <c r="F1463" s="20"/>
      <c r="G1463" s="187"/>
    </row>
    <row r="1464" spans="4:7">
      <c r="D1464" s="201">
        <v>8905</v>
      </c>
      <c r="F1464" s="20"/>
      <c r="G1464" s="187"/>
    </row>
    <row r="1465" spans="4:7">
      <c r="D1465" s="201">
        <v>8906</v>
      </c>
      <c r="F1465" s="20"/>
      <c r="G1465" s="187"/>
    </row>
    <row r="1466" spans="4:7">
      <c r="D1466" s="201">
        <v>8908</v>
      </c>
      <c r="F1466" s="20"/>
      <c r="G1466" s="187"/>
    </row>
    <row r="1467" spans="4:7">
      <c r="D1467" s="201">
        <v>8913</v>
      </c>
      <c r="F1467" s="20"/>
      <c r="G1467" s="187"/>
    </row>
    <row r="1468" spans="4:7">
      <c r="D1468" s="201">
        <v>8916</v>
      </c>
      <c r="F1468" s="20"/>
      <c r="G1468" s="187"/>
    </row>
    <row r="1469" spans="4:7">
      <c r="D1469" s="201">
        <v>8917</v>
      </c>
      <c r="F1469" s="20"/>
      <c r="G1469" s="187"/>
    </row>
    <row r="1470" spans="4:7">
      <c r="D1470" s="201">
        <v>8921</v>
      </c>
      <c r="F1470" s="20"/>
      <c r="G1470" s="187"/>
    </row>
    <row r="1471" spans="4:7">
      <c r="D1471" s="201">
        <v>8923</v>
      </c>
      <c r="F1471" s="20"/>
      <c r="G1471" s="187"/>
    </row>
    <row r="1472" spans="4:7">
      <c r="D1472" s="201">
        <v>8924</v>
      </c>
      <c r="F1472" s="20"/>
      <c r="G1472" s="187"/>
    </row>
    <row r="1473" spans="4:7">
      <c r="D1473" s="201">
        <v>8925</v>
      </c>
      <c r="F1473" s="20"/>
      <c r="G1473" s="187"/>
    </row>
    <row r="1474" spans="4:7">
      <c r="D1474" s="201">
        <v>8927</v>
      </c>
      <c r="F1474" s="20"/>
      <c r="G1474" s="187"/>
    </row>
    <row r="1475" spans="4:7">
      <c r="D1475" s="201">
        <v>8928</v>
      </c>
      <c r="F1475" s="20"/>
      <c r="G1475" s="187"/>
    </row>
    <row r="1476" spans="4:7">
      <c r="D1476" s="201">
        <v>8929</v>
      </c>
      <c r="F1476" s="20"/>
      <c r="G1476" s="187"/>
    </row>
    <row r="1477" spans="4:7">
      <c r="D1477" s="201">
        <v>8930</v>
      </c>
      <c r="F1477" s="20"/>
      <c r="G1477" s="187"/>
    </row>
    <row r="1478" spans="4:7">
      <c r="D1478" s="201">
        <v>8931</v>
      </c>
      <c r="F1478" s="20"/>
      <c r="G1478" s="187"/>
    </row>
    <row r="1479" spans="4:7">
      <c r="D1479" s="201">
        <v>8932</v>
      </c>
      <c r="F1479" s="20"/>
      <c r="G1479" s="187"/>
    </row>
    <row r="1480" spans="4:7">
      <c r="D1480" s="201">
        <v>8933</v>
      </c>
      <c r="F1480" s="20"/>
      <c r="G1480" s="187"/>
    </row>
    <row r="1481" spans="4:7">
      <c r="D1481" s="201">
        <v>8934</v>
      </c>
      <c r="F1481" s="20"/>
      <c r="G1481" s="187"/>
    </row>
    <row r="1482" spans="4:7">
      <c r="D1482" s="201">
        <v>8935</v>
      </c>
      <c r="F1482" s="20"/>
      <c r="G1482" s="187"/>
    </row>
    <row r="1483" spans="4:7">
      <c r="D1483" s="201">
        <v>8936</v>
      </c>
      <c r="F1483" s="20"/>
      <c r="G1483" s="187"/>
    </row>
    <row r="1484" spans="4:7">
      <c r="D1484" s="201">
        <v>8937</v>
      </c>
      <c r="F1484" s="20"/>
      <c r="G1484" s="187"/>
    </row>
    <row r="1485" spans="4:7">
      <c r="D1485" s="201">
        <v>8938</v>
      </c>
      <c r="F1485" s="20"/>
      <c r="G1485" s="187"/>
    </row>
    <row r="1486" spans="4:7">
      <c r="D1486" s="201">
        <v>8941</v>
      </c>
      <c r="F1486" s="20"/>
      <c r="G1486" s="187"/>
    </row>
    <row r="1487" spans="4:7">
      <c r="D1487" s="201">
        <v>8942</v>
      </c>
      <c r="F1487" s="20"/>
      <c r="G1487" s="187"/>
    </row>
    <row r="1488" spans="4:7">
      <c r="D1488" s="201">
        <v>9949</v>
      </c>
      <c r="F1488" s="20"/>
      <c r="G1488" s="187"/>
    </row>
    <row r="1489" spans="4:7">
      <c r="D1489" s="201">
        <v>9950</v>
      </c>
      <c r="F1489" s="20"/>
      <c r="G1489" s="187"/>
    </row>
    <row r="1490" spans="4:7">
      <c r="D1490" s="201">
        <v>9951</v>
      </c>
      <c r="F1490" s="20"/>
      <c r="G1490" s="187"/>
    </row>
    <row r="1491" spans="4:7">
      <c r="D1491" s="201">
        <v>9960</v>
      </c>
      <c r="F1491" s="20"/>
      <c r="G1491" s="187"/>
    </row>
    <row r="1492" spans="4:7">
      <c r="D1492" s="201">
        <v>9962</v>
      </c>
      <c r="F1492" s="20"/>
      <c r="G1492" s="187"/>
    </row>
    <row r="1493" spans="4:7">
      <c r="F1493" s="20"/>
      <c r="G1493" s="187"/>
    </row>
    <row r="1494" spans="4:7">
      <c r="F1494" s="20"/>
      <c r="G1494" s="187"/>
    </row>
    <row r="1495" spans="4:7">
      <c r="G1495" s="187"/>
    </row>
    <row r="1496" spans="4:7">
      <c r="G1496" s="187"/>
    </row>
    <row r="1497" spans="4:7">
      <c r="G1497" s="187"/>
    </row>
    <row r="1498" spans="4:7">
      <c r="G1498" s="187"/>
    </row>
    <row r="1499" spans="4:7">
      <c r="G1499" s="187"/>
    </row>
    <row r="1500" spans="4:7">
      <c r="G1500" s="187"/>
    </row>
    <row r="1501" spans="4:7">
      <c r="G1501" s="187"/>
    </row>
    <row r="1502" spans="4:7">
      <c r="G1502" s="187"/>
    </row>
    <row r="1503" spans="4:7">
      <c r="G1503" s="187"/>
    </row>
    <row r="1504" spans="4:7">
      <c r="G1504" s="187"/>
    </row>
    <row r="1505" spans="7:7">
      <c r="G1505" s="187"/>
    </row>
    <row r="1506" spans="7:7">
      <c r="G1506" s="187"/>
    </row>
    <row r="1507" spans="7:7">
      <c r="G1507" s="187"/>
    </row>
    <row r="1508" spans="7:7">
      <c r="G1508" s="187"/>
    </row>
    <row r="1509" spans="7:7">
      <c r="G1509" s="187"/>
    </row>
    <row r="1510" spans="7:7">
      <c r="G1510" s="187"/>
    </row>
    <row r="1511" spans="7:7">
      <c r="G1511" s="187"/>
    </row>
    <row r="1512" spans="7:7">
      <c r="G1512" s="187"/>
    </row>
    <row r="1513" spans="7:7">
      <c r="G1513" s="187"/>
    </row>
    <row r="1514" spans="7:7">
      <c r="G1514" s="187"/>
    </row>
    <row r="1515" spans="7:7">
      <c r="G1515" s="187"/>
    </row>
    <row r="1516" spans="7:7">
      <c r="G1516" s="187"/>
    </row>
    <row r="1517" spans="7:7">
      <c r="G1517" s="187"/>
    </row>
    <row r="1518" spans="7:7">
      <c r="G1518" s="187"/>
    </row>
    <row r="1519" spans="7:7">
      <c r="G1519" s="187"/>
    </row>
  </sheetData>
  <sortState ref="H2:I1520">
    <sortCondition ref="I2:I1520"/>
  </sortState>
  <phoneticPr fontId="2" type="noConversion"/>
  <pageMargins left="0.7" right="0.7" top="0.75" bottom="0.75" header="0.3" footer="0.3"/>
  <pageSetup paperSize="9" orientation="portrait" r:id="rId1"/>
  <legacyDrawing r:id="rId2"/>
  <controls>
    <control shapeId="32769" r:id="rId3" name="CommandButton1"/>
    <control shapeId="32771" r:id="rId4" name="CommandButton2"/>
  </controls>
</worksheet>
</file>

<file path=xl/worksheets/sheet2.xml><?xml version="1.0" encoding="utf-8"?>
<worksheet xmlns="http://schemas.openxmlformats.org/spreadsheetml/2006/main" xmlns:r="http://schemas.openxmlformats.org/officeDocument/2006/relationships">
  <sheetPr codeName="工作表11"/>
  <dimension ref="A1:AD1600"/>
  <sheetViews>
    <sheetView workbookViewId="0">
      <pane xSplit="2" ySplit="1" topLeftCell="C2" activePane="bottomRight" state="frozen"/>
      <selection pane="topRight" activeCell="D1" sqref="D1"/>
      <selection pane="bottomLeft" activeCell="A2" sqref="A2"/>
      <selection pane="bottomRight" activeCell="A2" sqref="A2:C2000"/>
    </sheetView>
  </sheetViews>
  <sheetFormatPr defaultRowHeight="16.5"/>
  <cols>
    <col min="1" max="1" width="13.875" customWidth="1"/>
    <col min="2" max="2" width="13.5" customWidth="1"/>
  </cols>
  <sheetData>
    <row r="1" spans="1:30" ht="32.25" customHeight="1">
      <c r="A1" s="149">
        <v>42342</v>
      </c>
    </row>
    <row r="2" spans="1:30">
      <c r="A2" t="str">
        <f>"01004T"</f>
        <v>01004T</v>
      </c>
      <c r="B2" t="s">
        <v>2000</v>
      </c>
      <c r="C2">
        <v>12.37</v>
      </c>
    </row>
    <row r="3" spans="1:30">
      <c r="A3" t="str">
        <f>"01007T"</f>
        <v>01007T</v>
      </c>
      <c r="B3" t="s">
        <v>1921</v>
      </c>
      <c r="C3">
        <v>15.2</v>
      </c>
    </row>
    <row r="4" spans="1:30">
      <c r="A4">
        <v>1101</v>
      </c>
      <c r="B4" t="s">
        <v>545</v>
      </c>
      <c r="C4">
        <v>30.2</v>
      </c>
    </row>
    <row r="5" spans="1:30">
      <c r="A5">
        <v>1102</v>
      </c>
      <c r="B5" t="s">
        <v>546</v>
      </c>
      <c r="C5">
        <v>28.55</v>
      </c>
      <c r="Y5" s="46"/>
      <c r="Z5" s="46"/>
      <c r="AD5" s="46"/>
    </row>
    <row r="6" spans="1:30">
      <c r="A6">
        <v>1103</v>
      </c>
      <c r="B6" t="s">
        <v>547</v>
      </c>
      <c r="C6">
        <v>9.83</v>
      </c>
      <c r="Y6" s="46"/>
      <c r="Z6" s="46"/>
      <c r="AD6" s="46"/>
    </row>
    <row r="7" spans="1:30">
      <c r="A7">
        <v>1104</v>
      </c>
      <c r="B7" t="s">
        <v>548</v>
      </c>
      <c r="C7">
        <v>23.3</v>
      </c>
      <c r="Y7" s="46"/>
      <c r="Z7" s="46"/>
      <c r="AD7" s="46"/>
    </row>
    <row r="8" spans="1:30">
      <c r="A8">
        <v>1108</v>
      </c>
      <c r="B8" t="s">
        <v>549</v>
      </c>
      <c r="C8">
        <v>10.1</v>
      </c>
      <c r="Y8" s="46"/>
      <c r="Z8" s="46"/>
      <c r="AD8" s="46"/>
    </row>
    <row r="9" spans="1:30">
      <c r="A9">
        <v>1109</v>
      </c>
      <c r="B9" t="s">
        <v>1852</v>
      </c>
      <c r="C9">
        <v>10.050000000000001</v>
      </c>
      <c r="Y9" s="46"/>
      <c r="Z9" s="46"/>
      <c r="AD9" s="46"/>
    </row>
    <row r="10" spans="1:30">
      <c r="A10">
        <v>1110</v>
      </c>
      <c r="B10" t="s">
        <v>550</v>
      </c>
      <c r="C10">
        <v>14.8</v>
      </c>
      <c r="Y10" s="46"/>
      <c r="Z10" s="46"/>
      <c r="AD10" s="46"/>
    </row>
    <row r="11" spans="1:30">
      <c r="A11">
        <v>1201</v>
      </c>
      <c r="B11" t="s">
        <v>551</v>
      </c>
      <c r="C11">
        <v>17.5</v>
      </c>
      <c r="Y11" s="46"/>
      <c r="Z11" s="46"/>
      <c r="AD11" s="46"/>
    </row>
    <row r="12" spans="1:30">
      <c r="A12">
        <v>1203</v>
      </c>
      <c r="B12" t="s">
        <v>552</v>
      </c>
      <c r="C12">
        <v>22.95</v>
      </c>
      <c r="Y12" s="46"/>
      <c r="Z12" s="46"/>
      <c r="AD12" s="46"/>
    </row>
    <row r="13" spans="1:30">
      <c r="A13">
        <v>1210</v>
      </c>
      <c r="B13" t="s">
        <v>553</v>
      </c>
      <c r="C13">
        <v>20.05</v>
      </c>
      <c r="Y13" s="46"/>
      <c r="Z13" s="46"/>
      <c r="AA13" s="46"/>
      <c r="AD13" s="46"/>
    </row>
    <row r="14" spans="1:30">
      <c r="A14">
        <v>1213</v>
      </c>
      <c r="B14" t="s">
        <v>554</v>
      </c>
      <c r="C14">
        <v>15.8</v>
      </c>
      <c r="Y14" s="46"/>
      <c r="Z14" s="46"/>
      <c r="AD14" s="46"/>
    </row>
    <row r="15" spans="1:30">
      <c r="A15">
        <v>1215</v>
      </c>
      <c r="B15" t="s">
        <v>555</v>
      </c>
      <c r="C15">
        <v>23.75</v>
      </c>
      <c r="Y15" s="46"/>
      <c r="Z15" s="46"/>
      <c r="AD15" s="46"/>
    </row>
    <row r="16" spans="1:30">
      <c r="A16">
        <v>1216</v>
      </c>
      <c r="B16" t="s">
        <v>556</v>
      </c>
      <c r="C16">
        <v>53.6</v>
      </c>
      <c r="Y16" s="46"/>
      <c r="Z16" s="46"/>
      <c r="AD16" s="46"/>
    </row>
    <row r="17" spans="1:30">
      <c r="A17">
        <v>1217</v>
      </c>
      <c r="B17" t="s">
        <v>557</v>
      </c>
      <c r="C17">
        <v>7.67</v>
      </c>
      <c r="Y17" s="46"/>
      <c r="Z17" s="46"/>
      <c r="AD17" s="46"/>
    </row>
    <row r="18" spans="1:30">
      <c r="A18">
        <v>1218</v>
      </c>
      <c r="B18" t="s">
        <v>558</v>
      </c>
      <c r="C18">
        <v>11.4</v>
      </c>
      <c r="Y18" s="46"/>
      <c r="Z18" s="46"/>
      <c r="AD18" s="46"/>
    </row>
    <row r="19" spans="1:30">
      <c r="A19">
        <v>1219</v>
      </c>
      <c r="B19" t="s">
        <v>559</v>
      </c>
      <c r="C19">
        <v>14.8</v>
      </c>
      <c r="Y19" s="46"/>
      <c r="Z19" s="46"/>
      <c r="AD19" s="46"/>
    </row>
    <row r="20" spans="1:30">
      <c r="A20">
        <v>1220</v>
      </c>
      <c r="B20" t="s">
        <v>560</v>
      </c>
      <c r="C20">
        <v>10.6</v>
      </c>
      <c r="Y20" s="46"/>
      <c r="Z20" s="46"/>
      <c r="AD20" s="46"/>
    </row>
    <row r="21" spans="1:30">
      <c r="A21">
        <v>1225</v>
      </c>
      <c r="B21" t="s">
        <v>561</v>
      </c>
      <c r="C21">
        <v>24.6</v>
      </c>
      <c r="Y21" s="46"/>
      <c r="Z21" s="46"/>
      <c r="AD21" s="46"/>
    </row>
    <row r="22" spans="1:30">
      <c r="A22">
        <v>1227</v>
      </c>
      <c r="B22" t="s">
        <v>562</v>
      </c>
      <c r="C22">
        <v>77.7</v>
      </c>
      <c r="Y22" s="46"/>
      <c r="Z22" s="46"/>
      <c r="AD22" s="46"/>
    </row>
    <row r="23" spans="1:30">
      <c r="A23">
        <v>1229</v>
      </c>
      <c r="B23" t="s">
        <v>563</v>
      </c>
      <c r="C23">
        <v>19</v>
      </c>
      <c r="Y23" s="46"/>
      <c r="Z23" s="46"/>
      <c r="AA23" s="46"/>
      <c r="AD23" s="46"/>
    </row>
    <row r="24" spans="1:30">
      <c r="A24">
        <v>1231</v>
      </c>
      <c r="B24" t="s">
        <v>564</v>
      </c>
      <c r="C24">
        <v>29</v>
      </c>
      <c r="Y24" s="46"/>
      <c r="Z24" s="46"/>
      <c r="AD24" s="46"/>
    </row>
    <row r="25" spans="1:30">
      <c r="A25">
        <v>1232</v>
      </c>
      <c r="B25" t="s">
        <v>565</v>
      </c>
      <c r="C25">
        <v>75.2</v>
      </c>
      <c r="Y25" s="46"/>
      <c r="Z25" s="46"/>
      <c r="AA25" s="46"/>
      <c r="AD25" s="46"/>
    </row>
    <row r="26" spans="1:30">
      <c r="A26">
        <v>1233</v>
      </c>
      <c r="B26" t="s">
        <v>566</v>
      </c>
      <c r="C26">
        <v>36.799999999999997</v>
      </c>
      <c r="Y26" s="46"/>
      <c r="Z26" s="46"/>
      <c r="AA26" s="46"/>
      <c r="AD26" s="46"/>
    </row>
    <row r="27" spans="1:30">
      <c r="A27">
        <v>1234</v>
      </c>
      <c r="B27" t="s">
        <v>567</v>
      </c>
      <c r="C27">
        <v>31.55</v>
      </c>
      <c r="Y27" s="46"/>
      <c r="Z27" s="46"/>
      <c r="AA27" s="46"/>
      <c r="AD27" s="46"/>
    </row>
    <row r="28" spans="1:30">
      <c r="A28">
        <v>1235</v>
      </c>
      <c r="B28" t="s">
        <v>568</v>
      </c>
      <c r="C28">
        <v>18.25</v>
      </c>
      <c r="Y28" s="46"/>
      <c r="Z28" s="46"/>
      <c r="AA28" s="46"/>
      <c r="AD28" s="46"/>
    </row>
    <row r="29" spans="1:30">
      <c r="A29">
        <v>1236</v>
      </c>
      <c r="B29" t="s">
        <v>569</v>
      </c>
      <c r="C29">
        <v>20.6</v>
      </c>
      <c r="Y29" s="46"/>
      <c r="Z29" s="46"/>
      <c r="AD29" s="46"/>
    </row>
    <row r="30" spans="1:30">
      <c r="A30">
        <v>1262</v>
      </c>
      <c r="B30" t="s">
        <v>570</v>
      </c>
      <c r="C30">
        <v>126</v>
      </c>
      <c r="Y30" s="46"/>
      <c r="Z30" s="46"/>
      <c r="AD30" s="46"/>
    </row>
    <row r="31" spans="1:30">
      <c r="A31">
        <v>1301</v>
      </c>
      <c r="B31" t="s">
        <v>571</v>
      </c>
      <c r="C31">
        <v>74.8</v>
      </c>
      <c r="Y31" s="46"/>
      <c r="Z31" s="46"/>
      <c r="AD31" s="46"/>
    </row>
    <row r="32" spans="1:30">
      <c r="A32">
        <v>1303</v>
      </c>
      <c r="B32" t="s">
        <v>572</v>
      </c>
      <c r="C32">
        <v>59.8</v>
      </c>
      <c r="Y32" s="46"/>
      <c r="Z32" s="46"/>
      <c r="AA32" s="46"/>
      <c r="AD32" s="46"/>
    </row>
    <row r="33" spans="1:30">
      <c r="A33">
        <v>1304</v>
      </c>
      <c r="B33" t="s">
        <v>573</v>
      </c>
      <c r="C33">
        <v>13.75</v>
      </c>
      <c r="Y33" s="46"/>
      <c r="Z33" s="46"/>
      <c r="AA33" s="46"/>
      <c r="AD33" s="46"/>
    </row>
    <row r="34" spans="1:30">
      <c r="A34">
        <v>1305</v>
      </c>
      <c r="B34" t="s">
        <v>574</v>
      </c>
      <c r="C34">
        <v>14.15</v>
      </c>
      <c r="Y34" s="46"/>
      <c r="Z34" s="46"/>
      <c r="AD34" s="46"/>
    </row>
    <row r="35" spans="1:30">
      <c r="A35">
        <v>1307</v>
      </c>
      <c r="B35" t="s">
        <v>575</v>
      </c>
      <c r="C35">
        <v>40.700000000000003</v>
      </c>
      <c r="Y35" s="46"/>
      <c r="Z35" s="46"/>
      <c r="AA35" s="46"/>
      <c r="AD35" s="46"/>
    </row>
    <row r="36" spans="1:30">
      <c r="A36">
        <v>1308</v>
      </c>
      <c r="B36" t="s">
        <v>576</v>
      </c>
      <c r="C36">
        <v>18</v>
      </c>
      <c r="Y36" s="46"/>
      <c r="Z36" s="46"/>
      <c r="AD36" s="46"/>
    </row>
    <row r="37" spans="1:30">
      <c r="A37">
        <v>1309</v>
      </c>
      <c r="B37" t="s">
        <v>577</v>
      </c>
      <c r="C37">
        <v>7.58</v>
      </c>
      <c r="Y37" s="46"/>
      <c r="Z37" s="46"/>
      <c r="AD37" s="46"/>
    </row>
    <row r="38" spans="1:30">
      <c r="A38">
        <v>1310</v>
      </c>
      <c r="B38" t="s">
        <v>578</v>
      </c>
      <c r="C38">
        <v>13.85</v>
      </c>
      <c r="Y38" s="46"/>
      <c r="Z38" s="46"/>
      <c r="AD38" s="46"/>
    </row>
    <row r="39" spans="1:30">
      <c r="A39">
        <v>1312</v>
      </c>
      <c r="B39" t="s">
        <v>579</v>
      </c>
      <c r="C39">
        <v>13.9</v>
      </c>
      <c r="Y39" s="46"/>
      <c r="Z39" s="46"/>
      <c r="AD39" s="46"/>
    </row>
    <row r="40" spans="1:30">
      <c r="A40" t="s">
        <v>259</v>
      </c>
      <c r="B40" t="s">
        <v>580</v>
      </c>
      <c r="C40" t="s">
        <v>1902</v>
      </c>
      <c r="Y40" s="46"/>
      <c r="Z40" s="46"/>
      <c r="AA40" s="46"/>
      <c r="AD40" s="46"/>
    </row>
    <row r="41" spans="1:30">
      <c r="A41">
        <v>1313</v>
      </c>
      <c r="B41" t="s">
        <v>581</v>
      </c>
      <c r="C41">
        <v>9.18</v>
      </c>
      <c r="Y41" s="46"/>
      <c r="Z41" s="46"/>
      <c r="AD41" s="46"/>
    </row>
    <row r="42" spans="1:30">
      <c r="A42">
        <v>1314</v>
      </c>
      <c r="B42" t="s">
        <v>582</v>
      </c>
      <c r="C42">
        <v>7.78</v>
      </c>
      <c r="Y42" s="46"/>
      <c r="Z42" s="46"/>
      <c r="AD42" s="46"/>
    </row>
    <row r="43" spans="1:30">
      <c r="A43">
        <v>1315</v>
      </c>
      <c r="B43" t="s">
        <v>583</v>
      </c>
      <c r="C43">
        <v>23.65</v>
      </c>
      <c r="Y43" s="46"/>
      <c r="Z43" s="46"/>
      <c r="AD43" s="46"/>
    </row>
    <row r="44" spans="1:30">
      <c r="A44">
        <v>1316</v>
      </c>
      <c r="B44" t="s">
        <v>584</v>
      </c>
      <c r="C44">
        <v>9.99</v>
      </c>
      <c r="Y44" s="46"/>
      <c r="Z44" s="46"/>
      <c r="AA44" s="46"/>
      <c r="AD44" s="46"/>
    </row>
    <row r="45" spans="1:30">
      <c r="A45">
        <v>1319</v>
      </c>
      <c r="B45" t="s">
        <v>585</v>
      </c>
      <c r="C45">
        <v>39.299999999999997</v>
      </c>
      <c r="Y45" s="46"/>
      <c r="Z45" s="46"/>
      <c r="AD45" s="46"/>
    </row>
    <row r="46" spans="1:30">
      <c r="A46">
        <v>1321</v>
      </c>
      <c r="B46" t="s">
        <v>586</v>
      </c>
      <c r="C46">
        <v>26.6</v>
      </c>
      <c r="Y46" s="46"/>
      <c r="Z46" s="46"/>
      <c r="AD46" s="46"/>
    </row>
    <row r="47" spans="1:30">
      <c r="A47">
        <v>1323</v>
      </c>
      <c r="B47" t="s">
        <v>587</v>
      </c>
      <c r="C47">
        <v>26.5</v>
      </c>
      <c r="Y47" s="46"/>
      <c r="Z47" s="46"/>
      <c r="AA47" s="46"/>
      <c r="AD47" s="46"/>
    </row>
    <row r="48" spans="1:30">
      <c r="A48">
        <v>1324</v>
      </c>
      <c r="B48" t="s">
        <v>588</v>
      </c>
      <c r="C48">
        <v>11.8</v>
      </c>
      <c r="Y48" s="46"/>
      <c r="Z48" s="46"/>
      <c r="AD48" s="46"/>
    </row>
    <row r="49" spans="1:30">
      <c r="A49">
        <v>1325</v>
      </c>
      <c r="B49" t="s">
        <v>589</v>
      </c>
      <c r="C49">
        <v>20.85</v>
      </c>
      <c r="Y49" s="46"/>
      <c r="Z49" s="46"/>
      <c r="AD49" s="46"/>
    </row>
    <row r="50" spans="1:30">
      <c r="A50">
        <v>1326</v>
      </c>
      <c r="B50" t="s">
        <v>590</v>
      </c>
      <c r="C50">
        <v>70.400000000000006</v>
      </c>
      <c r="Y50" s="46"/>
      <c r="Z50" s="46"/>
      <c r="AD50" s="46"/>
    </row>
    <row r="51" spans="1:30">
      <c r="A51">
        <v>1337</v>
      </c>
      <c r="B51" t="s">
        <v>591</v>
      </c>
      <c r="C51">
        <v>20.25</v>
      </c>
      <c r="Y51" s="46"/>
      <c r="Z51" s="46"/>
      <c r="AD51" s="46"/>
    </row>
    <row r="52" spans="1:30">
      <c r="A52">
        <v>1338</v>
      </c>
      <c r="B52" t="s">
        <v>592</v>
      </c>
      <c r="C52">
        <v>137</v>
      </c>
      <c r="Y52" s="46"/>
      <c r="Z52" s="46"/>
      <c r="AD52" s="46"/>
    </row>
    <row r="53" spans="1:30">
      <c r="A53">
        <v>1339</v>
      </c>
      <c r="B53" t="s">
        <v>593</v>
      </c>
      <c r="C53">
        <v>56.9</v>
      </c>
      <c r="Y53" s="46"/>
      <c r="Z53" s="46"/>
      <c r="AD53" s="46"/>
    </row>
    <row r="54" spans="1:30">
      <c r="A54">
        <v>1340</v>
      </c>
      <c r="B54" t="s">
        <v>594</v>
      </c>
      <c r="C54">
        <v>72.3</v>
      </c>
      <c r="Y54" s="46"/>
      <c r="Z54" s="46"/>
      <c r="AD54" s="46"/>
    </row>
    <row r="55" spans="1:30">
      <c r="A55">
        <v>1402</v>
      </c>
      <c r="B55" t="s">
        <v>595</v>
      </c>
      <c r="C55">
        <v>26.05</v>
      </c>
      <c r="Y55" s="46"/>
      <c r="Z55" s="46"/>
      <c r="AD55" s="46"/>
    </row>
    <row r="56" spans="1:30">
      <c r="A56">
        <v>1409</v>
      </c>
      <c r="B56" t="s">
        <v>596</v>
      </c>
      <c r="C56">
        <v>8.83</v>
      </c>
      <c r="Y56" s="46"/>
      <c r="Z56" s="46"/>
      <c r="AD56" s="46"/>
    </row>
    <row r="57" spans="1:30">
      <c r="A57">
        <v>1410</v>
      </c>
      <c r="B57" t="s">
        <v>597</v>
      </c>
      <c r="C57" t="s">
        <v>1902</v>
      </c>
      <c r="Y57" s="46"/>
      <c r="Z57" s="46"/>
      <c r="AD57" s="46"/>
    </row>
    <row r="58" spans="1:30">
      <c r="A58">
        <v>1413</v>
      </c>
      <c r="B58" t="s">
        <v>598</v>
      </c>
      <c r="C58">
        <v>7.88</v>
      </c>
      <c r="Y58" s="46"/>
      <c r="Z58" s="46"/>
      <c r="AD58" s="46"/>
    </row>
    <row r="59" spans="1:30">
      <c r="A59">
        <v>1414</v>
      </c>
      <c r="B59" t="s">
        <v>599</v>
      </c>
      <c r="C59">
        <v>6.5</v>
      </c>
      <c r="Y59" s="46"/>
      <c r="Z59" s="46"/>
      <c r="AD59" s="46"/>
    </row>
    <row r="60" spans="1:30">
      <c r="A60">
        <v>1416</v>
      </c>
      <c r="B60" t="s">
        <v>600</v>
      </c>
      <c r="C60">
        <v>18.5</v>
      </c>
      <c r="Y60" s="46"/>
      <c r="Z60" s="46"/>
      <c r="AD60" s="46"/>
    </row>
    <row r="61" spans="1:30">
      <c r="A61">
        <v>1417</v>
      </c>
      <c r="B61" t="s">
        <v>601</v>
      </c>
      <c r="C61">
        <v>4.9800000000000004</v>
      </c>
      <c r="Y61" s="46"/>
      <c r="Z61" s="46"/>
      <c r="AD61" s="46"/>
    </row>
    <row r="62" spans="1:30">
      <c r="A62">
        <v>1418</v>
      </c>
      <c r="B62" t="s">
        <v>602</v>
      </c>
      <c r="C62">
        <v>5.5</v>
      </c>
      <c r="Y62" s="46"/>
      <c r="Z62" s="46"/>
      <c r="AD62" s="46"/>
    </row>
    <row r="63" spans="1:30">
      <c r="A63">
        <v>1419</v>
      </c>
      <c r="B63" t="s">
        <v>603</v>
      </c>
      <c r="C63">
        <v>32.4</v>
      </c>
      <c r="Y63" s="46"/>
      <c r="Z63" s="46"/>
      <c r="AD63" s="46"/>
    </row>
    <row r="64" spans="1:30">
      <c r="A64">
        <v>1423</v>
      </c>
      <c r="B64" t="s">
        <v>604</v>
      </c>
      <c r="C64">
        <v>7.09</v>
      </c>
      <c r="Y64" s="46"/>
      <c r="Z64" s="46"/>
      <c r="AD64" s="46"/>
    </row>
    <row r="65" spans="1:30">
      <c r="A65">
        <v>1432</v>
      </c>
      <c r="B65" t="s">
        <v>605</v>
      </c>
      <c r="C65">
        <v>19.350000000000001</v>
      </c>
      <c r="Y65" s="46"/>
      <c r="Z65" s="46"/>
      <c r="AD65" s="46"/>
    </row>
    <row r="66" spans="1:30">
      <c r="A66">
        <v>1434</v>
      </c>
      <c r="B66" t="s">
        <v>606</v>
      </c>
      <c r="C66">
        <v>30.3</v>
      </c>
      <c r="Y66" s="46"/>
      <c r="Z66" s="46"/>
      <c r="AA66" s="46"/>
      <c r="AD66" s="46"/>
    </row>
    <row r="67" spans="1:30">
      <c r="A67">
        <v>1435</v>
      </c>
      <c r="B67" t="s">
        <v>607</v>
      </c>
      <c r="C67">
        <v>4.54</v>
      </c>
      <c r="Y67" s="46"/>
      <c r="Z67" s="46"/>
      <c r="AA67" s="46"/>
      <c r="AD67" s="46"/>
    </row>
    <row r="68" spans="1:30">
      <c r="A68">
        <v>1436</v>
      </c>
      <c r="B68" t="s">
        <v>608</v>
      </c>
      <c r="C68">
        <v>41</v>
      </c>
      <c r="Y68" s="46"/>
      <c r="Z68" s="46"/>
      <c r="AA68" s="46"/>
      <c r="AD68" s="46"/>
    </row>
    <row r="69" spans="1:30">
      <c r="A69">
        <v>1437</v>
      </c>
      <c r="B69" t="s">
        <v>609</v>
      </c>
      <c r="C69">
        <v>12.2</v>
      </c>
      <c r="Y69" s="46"/>
      <c r="Z69" s="46"/>
      <c r="AD69" s="46"/>
    </row>
    <row r="70" spans="1:30">
      <c r="A70">
        <v>1438</v>
      </c>
      <c r="B70" t="s">
        <v>610</v>
      </c>
      <c r="C70">
        <v>4.88</v>
      </c>
      <c r="Y70" s="46"/>
      <c r="Z70" s="46"/>
      <c r="AD70" s="46"/>
    </row>
    <row r="71" spans="1:30">
      <c r="A71">
        <v>1439</v>
      </c>
      <c r="B71" t="s">
        <v>611</v>
      </c>
      <c r="C71">
        <v>13.65</v>
      </c>
      <c r="Y71" s="46"/>
      <c r="Z71" s="46"/>
      <c r="AD71" s="46"/>
    </row>
    <row r="72" spans="1:30">
      <c r="A72">
        <v>1440</v>
      </c>
      <c r="B72" t="s">
        <v>612</v>
      </c>
      <c r="C72">
        <v>14.1</v>
      </c>
      <c r="Y72" s="46"/>
      <c r="Z72" s="46"/>
      <c r="AD72" s="46"/>
    </row>
    <row r="73" spans="1:30">
      <c r="A73">
        <v>1441</v>
      </c>
      <c r="B73" t="s">
        <v>613</v>
      </c>
      <c r="C73">
        <v>7.05</v>
      </c>
      <c r="Y73" s="46"/>
      <c r="Z73" s="46"/>
      <c r="AD73" s="46"/>
    </row>
    <row r="74" spans="1:30">
      <c r="A74">
        <v>1442</v>
      </c>
      <c r="B74" t="s">
        <v>614</v>
      </c>
      <c r="C74">
        <v>17.8</v>
      </c>
      <c r="Y74" s="46"/>
      <c r="Z74" s="46"/>
      <c r="AD74" s="46"/>
    </row>
    <row r="75" spans="1:30">
      <c r="A75">
        <v>1443</v>
      </c>
      <c r="B75" t="s">
        <v>615</v>
      </c>
      <c r="C75">
        <v>5.0999999999999996</v>
      </c>
      <c r="Y75" s="46"/>
      <c r="Z75" s="46"/>
      <c r="AD75" s="46"/>
    </row>
    <row r="76" spans="1:30">
      <c r="A76">
        <v>1444</v>
      </c>
      <c r="B76" t="s">
        <v>616</v>
      </c>
      <c r="C76">
        <v>9.07</v>
      </c>
      <c r="Y76" s="46"/>
      <c r="Z76" s="46"/>
      <c r="AA76" s="46"/>
      <c r="AD76" s="46"/>
    </row>
    <row r="77" spans="1:30">
      <c r="A77">
        <v>1445</v>
      </c>
      <c r="B77" t="s">
        <v>617</v>
      </c>
      <c r="C77">
        <v>9.3000000000000007</v>
      </c>
      <c r="Y77" s="46"/>
      <c r="Z77" s="46"/>
      <c r="AD77" s="46"/>
    </row>
    <row r="78" spans="1:30">
      <c r="A78">
        <v>1446</v>
      </c>
      <c r="B78" t="s">
        <v>618</v>
      </c>
      <c r="C78">
        <v>22.55</v>
      </c>
      <c r="Y78" s="46"/>
      <c r="Z78" s="46"/>
      <c r="AD78" s="46"/>
    </row>
    <row r="79" spans="1:30">
      <c r="A79">
        <v>1447</v>
      </c>
      <c r="B79" t="s">
        <v>619</v>
      </c>
      <c r="C79">
        <v>8.42</v>
      </c>
      <c r="Y79" s="46"/>
      <c r="Z79" s="46"/>
      <c r="AD79" s="46"/>
    </row>
    <row r="80" spans="1:30">
      <c r="A80">
        <v>1449</v>
      </c>
      <c r="B80" t="s">
        <v>620</v>
      </c>
      <c r="C80">
        <v>6.09</v>
      </c>
      <c r="Y80" s="46"/>
      <c r="Z80" s="46"/>
      <c r="AD80" s="46"/>
    </row>
    <row r="81" spans="1:30">
      <c r="A81">
        <v>1451</v>
      </c>
      <c r="B81" t="s">
        <v>621</v>
      </c>
      <c r="C81">
        <v>20.85</v>
      </c>
      <c r="Y81" s="46"/>
      <c r="Z81" s="46"/>
      <c r="AD81" s="46"/>
    </row>
    <row r="82" spans="1:30">
      <c r="A82">
        <v>1452</v>
      </c>
      <c r="B82" t="s">
        <v>622</v>
      </c>
      <c r="C82">
        <v>25.15</v>
      </c>
      <c r="Y82" s="46"/>
      <c r="Z82" s="46"/>
      <c r="AA82" s="46"/>
      <c r="AD82" s="46"/>
    </row>
    <row r="83" spans="1:30">
      <c r="A83">
        <v>1453</v>
      </c>
      <c r="B83" t="s">
        <v>623</v>
      </c>
      <c r="C83">
        <v>8.2899999999999991</v>
      </c>
      <c r="Y83" s="46"/>
      <c r="Z83" s="46"/>
      <c r="AA83" s="46"/>
      <c r="AD83" s="46"/>
    </row>
    <row r="84" spans="1:30">
      <c r="A84">
        <v>1454</v>
      </c>
      <c r="B84" t="s">
        <v>624</v>
      </c>
      <c r="C84">
        <v>9.3000000000000007</v>
      </c>
      <c r="Y84" s="46"/>
      <c r="Z84" s="46"/>
      <c r="AD84" s="46"/>
    </row>
    <row r="85" spans="1:30">
      <c r="A85">
        <v>1455</v>
      </c>
      <c r="B85" t="s">
        <v>625</v>
      </c>
      <c r="C85">
        <v>8.06</v>
      </c>
      <c r="Y85" s="46"/>
      <c r="Z85" s="46"/>
      <c r="AA85" s="46"/>
      <c r="AD85" s="46"/>
    </row>
    <row r="86" spans="1:30">
      <c r="A86">
        <v>1456</v>
      </c>
      <c r="B86" t="s">
        <v>626</v>
      </c>
      <c r="C86">
        <v>3.99</v>
      </c>
      <c r="Y86" s="46"/>
      <c r="Z86" s="46"/>
      <c r="AD86" s="46"/>
    </row>
    <row r="87" spans="1:30">
      <c r="A87">
        <v>1457</v>
      </c>
      <c r="B87" t="s">
        <v>627</v>
      </c>
      <c r="C87">
        <v>11.3</v>
      </c>
      <c r="Y87" s="46"/>
      <c r="Z87" s="46"/>
      <c r="AA87" s="46"/>
      <c r="AD87" s="46"/>
    </row>
    <row r="88" spans="1:30">
      <c r="A88">
        <v>1459</v>
      </c>
      <c r="B88" t="s">
        <v>628</v>
      </c>
      <c r="C88">
        <v>10</v>
      </c>
      <c r="Y88" s="46"/>
      <c r="Z88" s="46"/>
      <c r="AA88" s="46"/>
      <c r="AD88" s="46"/>
    </row>
    <row r="89" spans="1:30">
      <c r="A89">
        <v>1460</v>
      </c>
      <c r="B89" t="s">
        <v>629</v>
      </c>
      <c r="C89">
        <v>16.600000000000001</v>
      </c>
      <c r="Y89" s="46"/>
      <c r="Z89" s="46"/>
      <c r="AD89" s="46"/>
    </row>
    <row r="90" spans="1:30">
      <c r="A90">
        <v>1463</v>
      </c>
      <c r="B90" t="s">
        <v>630</v>
      </c>
      <c r="C90">
        <v>16.8</v>
      </c>
      <c r="Y90" s="46"/>
      <c r="Z90" s="46"/>
      <c r="AA90" s="46"/>
      <c r="AD90" s="46"/>
    </row>
    <row r="91" spans="1:30">
      <c r="A91">
        <v>1464</v>
      </c>
      <c r="B91" t="s">
        <v>631</v>
      </c>
      <c r="C91">
        <v>32.700000000000003</v>
      </c>
      <c r="Y91" s="46"/>
      <c r="Z91" s="46"/>
      <c r="AD91" s="46"/>
    </row>
    <row r="92" spans="1:30">
      <c r="A92">
        <v>1465</v>
      </c>
      <c r="B92" t="s">
        <v>632</v>
      </c>
      <c r="C92">
        <v>14.45</v>
      </c>
      <c r="Y92" s="46"/>
      <c r="Z92" s="46"/>
      <c r="AD92" s="46"/>
    </row>
    <row r="93" spans="1:30">
      <c r="A93">
        <v>1466</v>
      </c>
      <c r="B93" t="s">
        <v>633</v>
      </c>
      <c r="C93">
        <v>15.4</v>
      </c>
      <c r="Y93" s="46"/>
      <c r="Z93" s="46"/>
      <c r="AD93" s="46"/>
    </row>
    <row r="94" spans="1:30">
      <c r="A94">
        <v>1467</v>
      </c>
      <c r="B94" t="s">
        <v>634</v>
      </c>
      <c r="C94">
        <v>14.55</v>
      </c>
      <c r="Y94" s="46"/>
      <c r="Z94" s="46"/>
      <c r="AA94" s="46"/>
      <c r="AD94" s="46"/>
    </row>
    <row r="95" spans="1:30">
      <c r="A95">
        <v>1468</v>
      </c>
      <c r="B95" t="s">
        <v>635</v>
      </c>
      <c r="C95">
        <v>9.43</v>
      </c>
      <c r="Y95" s="46"/>
      <c r="Z95" s="46"/>
      <c r="AD95" s="46"/>
    </row>
    <row r="96" spans="1:30">
      <c r="A96">
        <v>1469</v>
      </c>
      <c r="B96" t="s">
        <v>636</v>
      </c>
      <c r="C96">
        <v>12.95</v>
      </c>
      <c r="Y96" s="46"/>
      <c r="Z96" s="46"/>
      <c r="AD96" s="46"/>
    </row>
    <row r="97" spans="1:30">
      <c r="A97">
        <v>1470</v>
      </c>
      <c r="B97" t="s">
        <v>637</v>
      </c>
      <c r="C97" t="s">
        <v>1902</v>
      </c>
      <c r="Y97" s="46"/>
      <c r="Z97" s="46"/>
      <c r="AD97" s="46"/>
    </row>
    <row r="98" spans="1:30">
      <c r="A98">
        <v>1471</v>
      </c>
      <c r="B98" t="s">
        <v>638</v>
      </c>
      <c r="C98">
        <v>4.37</v>
      </c>
      <c r="Y98" s="46"/>
      <c r="Z98" s="46"/>
      <c r="AD98" s="46"/>
    </row>
    <row r="99" spans="1:30">
      <c r="A99">
        <v>1472</v>
      </c>
      <c r="B99" t="s">
        <v>639</v>
      </c>
      <c r="C99">
        <v>14.75</v>
      </c>
      <c r="Y99" s="46"/>
      <c r="Z99" s="46"/>
      <c r="AD99" s="46"/>
    </row>
    <row r="100" spans="1:30">
      <c r="A100">
        <v>1473</v>
      </c>
      <c r="B100" t="s">
        <v>640</v>
      </c>
      <c r="C100">
        <v>25.25</v>
      </c>
      <c r="Y100" s="46"/>
      <c r="Z100" s="46"/>
      <c r="AA100" s="46"/>
      <c r="AD100" s="46"/>
    </row>
    <row r="101" spans="1:30">
      <c r="A101">
        <v>1474</v>
      </c>
      <c r="B101" t="s">
        <v>641</v>
      </c>
      <c r="C101">
        <v>10.050000000000001</v>
      </c>
      <c r="Y101" s="46"/>
      <c r="Z101" s="46"/>
      <c r="AD101" s="46"/>
    </row>
    <row r="102" spans="1:30">
      <c r="A102">
        <v>1475</v>
      </c>
      <c r="B102" t="s">
        <v>642</v>
      </c>
      <c r="C102">
        <v>8.4</v>
      </c>
      <c r="Y102" s="46"/>
      <c r="Z102" s="46"/>
      <c r="AA102" s="46"/>
      <c r="AD102" s="46"/>
    </row>
    <row r="103" spans="1:30">
      <c r="A103">
        <v>1476</v>
      </c>
      <c r="B103" t="s">
        <v>643</v>
      </c>
      <c r="C103">
        <v>440</v>
      </c>
      <c r="Y103" s="46"/>
      <c r="Z103" s="46"/>
      <c r="AA103" s="46"/>
      <c r="AD103" s="46"/>
    </row>
    <row r="104" spans="1:30">
      <c r="A104">
        <v>1477</v>
      </c>
      <c r="B104" t="s">
        <v>644</v>
      </c>
      <c r="C104">
        <v>215.5</v>
      </c>
      <c r="Y104" s="46"/>
      <c r="Z104" s="46"/>
      <c r="AD104" s="46"/>
    </row>
    <row r="105" spans="1:30">
      <c r="A105">
        <v>1503</v>
      </c>
      <c r="B105" t="s">
        <v>645</v>
      </c>
      <c r="C105">
        <v>39.65</v>
      </c>
      <c r="Y105" s="46"/>
      <c r="Z105" s="46"/>
      <c r="AA105" s="46"/>
      <c r="AD105" s="46"/>
    </row>
    <row r="106" spans="1:30">
      <c r="A106">
        <v>1504</v>
      </c>
      <c r="B106" t="s">
        <v>646</v>
      </c>
      <c r="C106">
        <v>25.9</v>
      </c>
      <c r="Y106" s="46"/>
      <c r="Z106" s="46"/>
      <c r="AD106" s="46"/>
    </row>
    <row r="107" spans="1:30">
      <c r="A107">
        <v>1506</v>
      </c>
      <c r="B107" t="s">
        <v>647</v>
      </c>
      <c r="C107">
        <v>15.5</v>
      </c>
      <c r="Y107" s="46"/>
      <c r="Z107" s="46"/>
      <c r="AD107" s="46"/>
    </row>
    <row r="108" spans="1:30">
      <c r="A108">
        <v>1507</v>
      </c>
      <c r="B108" t="s">
        <v>648</v>
      </c>
      <c r="C108">
        <v>48.6</v>
      </c>
      <c r="Y108" s="46"/>
      <c r="Z108" s="46"/>
      <c r="AD108" s="46"/>
    </row>
    <row r="109" spans="1:30">
      <c r="A109">
        <v>1512</v>
      </c>
      <c r="B109" t="s">
        <v>649</v>
      </c>
      <c r="C109">
        <v>4.63</v>
      </c>
      <c r="Y109" s="46"/>
      <c r="Z109" s="46"/>
      <c r="AA109" s="46"/>
      <c r="AD109" s="46"/>
    </row>
    <row r="110" spans="1:30">
      <c r="A110">
        <v>1513</v>
      </c>
      <c r="B110" t="s">
        <v>650</v>
      </c>
      <c r="C110">
        <v>17.350000000000001</v>
      </c>
      <c r="Y110" s="46"/>
      <c r="Z110" s="46"/>
      <c r="AD110" s="46"/>
    </row>
    <row r="111" spans="1:30">
      <c r="A111">
        <v>1514</v>
      </c>
      <c r="B111" t="s">
        <v>651</v>
      </c>
      <c r="C111">
        <v>8.35</v>
      </c>
      <c r="Y111" s="46"/>
      <c r="Z111" s="46"/>
      <c r="AD111" s="46"/>
    </row>
    <row r="112" spans="1:30">
      <c r="A112">
        <v>1515</v>
      </c>
      <c r="B112" t="s">
        <v>652</v>
      </c>
      <c r="C112">
        <v>10.45</v>
      </c>
      <c r="Y112" s="46"/>
      <c r="Z112" s="46"/>
      <c r="AD112" s="46"/>
    </row>
    <row r="113" spans="1:30">
      <c r="A113">
        <v>1516</v>
      </c>
      <c r="B113" t="s">
        <v>653</v>
      </c>
      <c r="C113">
        <v>21.3</v>
      </c>
      <c r="Y113" s="46"/>
      <c r="Z113" s="46"/>
      <c r="AD113" s="46"/>
    </row>
    <row r="114" spans="1:30">
      <c r="A114">
        <v>1517</v>
      </c>
      <c r="B114" t="s">
        <v>654</v>
      </c>
      <c r="C114">
        <v>11.95</v>
      </c>
      <c r="Y114" s="46"/>
      <c r="Z114" s="46"/>
      <c r="AA114" s="46"/>
      <c r="AD114" s="46"/>
    </row>
    <row r="115" spans="1:30">
      <c r="A115">
        <v>1519</v>
      </c>
      <c r="B115" t="s">
        <v>655</v>
      </c>
      <c r="C115">
        <v>16.149999999999999</v>
      </c>
      <c r="Y115" s="46"/>
      <c r="Z115" s="46"/>
      <c r="AA115" s="46"/>
      <c r="AD115" s="46"/>
    </row>
    <row r="116" spans="1:30">
      <c r="A116">
        <v>1521</v>
      </c>
      <c r="B116" t="s">
        <v>656</v>
      </c>
      <c r="C116">
        <v>79.8</v>
      </c>
      <c r="Y116" s="46"/>
      <c r="Z116" s="46"/>
      <c r="AD116" s="46"/>
    </row>
    <row r="117" spans="1:30">
      <c r="A117">
        <v>1522</v>
      </c>
      <c r="B117" t="s">
        <v>657</v>
      </c>
      <c r="C117">
        <v>24.85</v>
      </c>
      <c r="Y117" s="46"/>
      <c r="Z117" s="46"/>
      <c r="AA117" s="46"/>
      <c r="AD117" s="46"/>
    </row>
    <row r="118" spans="1:30">
      <c r="A118">
        <v>1524</v>
      </c>
      <c r="B118" t="s">
        <v>658</v>
      </c>
      <c r="C118">
        <v>6.85</v>
      </c>
      <c r="Y118" s="46"/>
      <c r="Z118" s="46"/>
      <c r="AD118" s="46"/>
    </row>
    <row r="119" spans="1:30">
      <c r="A119">
        <v>1525</v>
      </c>
      <c r="B119" t="s">
        <v>659</v>
      </c>
      <c r="C119">
        <v>89.1</v>
      </c>
      <c r="Y119" s="46"/>
      <c r="Z119" s="46"/>
      <c r="AD119" s="46"/>
    </row>
    <row r="120" spans="1:30">
      <c r="A120">
        <v>1526</v>
      </c>
      <c r="B120" t="s">
        <v>660</v>
      </c>
      <c r="C120">
        <v>15.15</v>
      </c>
      <c r="Y120" s="46"/>
      <c r="Z120" s="46"/>
      <c r="AD120" s="46"/>
    </row>
    <row r="121" spans="1:30">
      <c r="A121">
        <v>1527</v>
      </c>
      <c r="B121" t="s">
        <v>661</v>
      </c>
      <c r="C121">
        <v>63</v>
      </c>
      <c r="Y121" s="46"/>
      <c r="Z121" s="46"/>
      <c r="AD121" s="46"/>
    </row>
    <row r="122" spans="1:30">
      <c r="A122">
        <v>1528</v>
      </c>
      <c r="B122" t="s">
        <v>662</v>
      </c>
      <c r="C122">
        <v>9.19</v>
      </c>
      <c r="Y122" s="46"/>
      <c r="Z122" s="46"/>
      <c r="AD122" s="46"/>
    </row>
    <row r="123" spans="1:30">
      <c r="A123">
        <v>1529</v>
      </c>
      <c r="B123" t="s">
        <v>663</v>
      </c>
      <c r="C123">
        <v>5.0999999999999996</v>
      </c>
      <c r="Y123" s="46"/>
      <c r="Z123" s="46"/>
      <c r="AA123" s="46"/>
      <c r="AD123" s="46"/>
    </row>
    <row r="124" spans="1:30">
      <c r="A124">
        <v>1530</v>
      </c>
      <c r="B124" t="s">
        <v>664</v>
      </c>
      <c r="C124">
        <v>32.4</v>
      </c>
      <c r="Y124" s="46"/>
      <c r="Z124" s="46"/>
      <c r="AD124" s="46"/>
    </row>
    <row r="125" spans="1:30">
      <c r="A125">
        <v>1531</v>
      </c>
      <c r="B125" t="s">
        <v>665</v>
      </c>
      <c r="C125">
        <v>16.649999999999999</v>
      </c>
      <c r="Y125" s="46"/>
      <c r="Z125" s="46"/>
      <c r="AD125" s="46"/>
    </row>
    <row r="126" spans="1:30">
      <c r="A126">
        <v>1532</v>
      </c>
      <c r="B126" t="s">
        <v>666</v>
      </c>
      <c r="C126">
        <v>26.3</v>
      </c>
      <c r="Y126" s="46"/>
      <c r="Z126" s="46"/>
      <c r="AA126" s="46"/>
      <c r="AD126" s="46"/>
    </row>
    <row r="127" spans="1:30">
      <c r="A127">
        <v>1533</v>
      </c>
      <c r="B127" t="s">
        <v>667</v>
      </c>
      <c r="C127">
        <v>43.05</v>
      </c>
      <c r="Y127" s="46"/>
      <c r="Z127" s="46"/>
      <c r="AD127" s="46"/>
    </row>
    <row r="128" spans="1:30">
      <c r="A128">
        <v>1535</v>
      </c>
      <c r="B128" t="s">
        <v>668</v>
      </c>
      <c r="C128">
        <v>57.9</v>
      </c>
      <c r="Y128" s="46"/>
      <c r="Z128" s="46"/>
      <c r="AD128" s="46"/>
    </row>
    <row r="129" spans="1:30">
      <c r="A129">
        <v>1536</v>
      </c>
      <c r="B129" t="s">
        <v>669</v>
      </c>
      <c r="C129">
        <v>131</v>
      </c>
      <c r="Y129" s="46"/>
      <c r="Z129" s="46"/>
      <c r="AA129" s="46"/>
      <c r="AD129" s="46"/>
    </row>
    <row r="130" spans="1:30">
      <c r="A130">
        <v>1537</v>
      </c>
      <c r="B130" t="s">
        <v>670</v>
      </c>
      <c r="C130">
        <v>130.5</v>
      </c>
      <c r="Y130" s="46"/>
      <c r="Z130" s="46"/>
      <c r="AD130" s="46"/>
    </row>
    <row r="131" spans="1:30">
      <c r="A131">
        <v>1538</v>
      </c>
      <c r="B131" t="s">
        <v>671</v>
      </c>
      <c r="C131">
        <v>5.0199999999999996</v>
      </c>
      <c r="Y131" s="46"/>
      <c r="Z131" s="46"/>
      <c r="AD131" s="46"/>
    </row>
    <row r="132" spans="1:30">
      <c r="A132">
        <v>1539</v>
      </c>
      <c r="B132" t="s">
        <v>672</v>
      </c>
      <c r="C132">
        <v>34.15</v>
      </c>
      <c r="Y132" s="46"/>
      <c r="Z132" s="46"/>
      <c r="AD132" s="46"/>
    </row>
    <row r="133" spans="1:30">
      <c r="A133">
        <v>1540</v>
      </c>
      <c r="B133" t="s">
        <v>673</v>
      </c>
      <c r="C133">
        <v>16.100000000000001</v>
      </c>
      <c r="Y133" s="46"/>
      <c r="Z133" s="46"/>
      <c r="AD133" s="46"/>
    </row>
    <row r="134" spans="1:30">
      <c r="A134">
        <v>1541</v>
      </c>
      <c r="B134" t="s">
        <v>674</v>
      </c>
      <c r="C134">
        <v>47.7</v>
      </c>
      <c r="Y134" s="46"/>
      <c r="Z134" s="46"/>
      <c r="AD134" s="46"/>
    </row>
    <row r="135" spans="1:30">
      <c r="A135">
        <v>1558</v>
      </c>
      <c r="B135" t="s">
        <v>675</v>
      </c>
      <c r="C135">
        <v>144</v>
      </c>
      <c r="Y135" s="46"/>
      <c r="Z135" s="46"/>
      <c r="AD135" s="46"/>
    </row>
    <row r="136" spans="1:30">
      <c r="A136">
        <v>1560</v>
      </c>
      <c r="B136" t="s">
        <v>676</v>
      </c>
      <c r="C136">
        <v>53.3</v>
      </c>
      <c r="Y136" s="46"/>
      <c r="Z136" s="46"/>
      <c r="AD136" s="46"/>
    </row>
    <row r="137" spans="1:30">
      <c r="A137">
        <v>1568</v>
      </c>
      <c r="B137" t="s">
        <v>677</v>
      </c>
      <c r="C137">
        <v>20.3</v>
      </c>
      <c r="Y137" s="46"/>
      <c r="Z137" s="46"/>
      <c r="AA137" s="46"/>
      <c r="AD137" s="46"/>
    </row>
    <row r="138" spans="1:30">
      <c r="A138">
        <v>1582</v>
      </c>
      <c r="B138" t="s">
        <v>678</v>
      </c>
      <c r="C138">
        <v>51.1</v>
      </c>
      <c r="Y138" s="46"/>
      <c r="Z138" s="46"/>
      <c r="AD138" s="46"/>
    </row>
    <row r="139" spans="1:30">
      <c r="A139">
        <v>1583</v>
      </c>
      <c r="B139" t="s">
        <v>679</v>
      </c>
      <c r="C139">
        <v>64.099999999999994</v>
      </c>
      <c r="Y139" s="46"/>
      <c r="Z139" s="46"/>
      <c r="AD139" s="46"/>
    </row>
    <row r="140" spans="1:30">
      <c r="A140">
        <v>1589</v>
      </c>
      <c r="B140" t="s">
        <v>680</v>
      </c>
      <c r="C140">
        <v>183.5</v>
      </c>
      <c r="Y140" s="46"/>
      <c r="Z140" s="46"/>
      <c r="AD140" s="46"/>
    </row>
    <row r="141" spans="1:30">
      <c r="A141">
        <v>1590</v>
      </c>
      <c r="B141" t="s">
        <v>681</v>
      </c>
      <c r="C141">
        <v>143</v>
      </c>
      <c r="Y141" s="46"/>
      <c r="Z141" s="46"/>
      <c r="AD141" s="46"/>
    </row>
    <row r="142" spans="1:30">
      <c r="A142">
        <v>1592</v>
      </c>
      <c r="B142" t="s">
        <v>682</v>
      </c>
      <c r="C142">
        <v>29</v>
      </c>
      <c r="Y142" s="46"/>
      <c r="Z142" s="46"/>
      <c r="AD142" s="46"/>
    </row>
    <row r="143" spans="1:30">
      <c r="A143">
        <v>1603</v>
      </c>
      <c r="B143" t="s">
        <v>683</v>
      </c>
      <c r="C143">
        <v>12.3</v>
      </c>
      <c r="Y143" s="46"/>
      <c r="Z143" s="46"/>
      <c r="AD143" s="46"/>
    </row>
    <row r="144" spans="1:30">
      <c r="A144">
        <v>1604</v>
      </c>
      <c r="B144" t="s">
        <v>684</v>
      </c>
      <c r="C144">
        <v>12</v>
      </c>
      <c r="Y144" s="46"/>
      <c r="Z144" s="46"/>
      <c r="AD144" s="46"/>
    </row>
    <row r="145" spans="1:30">
      <c r="A145">
        <v>1605</v>
      </c>
      <c r="B145" t="s">
        <v>685</v>
      </c>
      <c r="C145">
        <v>7.15</v>
      </c>
      <c r="Y145" s="46"/>
      <c r="Z145" s="46"/>
      <c r="AD145" s="46"/>
    </row>
    <row r="146" spans="1:30">
      <c r="A146">
        <v>1608</v>
      </c>
      <c r="B146" t="s">
        <v>686</v>
      </c>
      <c r="C146">
        <v>6.46</v>
      </c>
      <c r="Y146" s="46"/>
      <c r="Z146" s="46"/>
      <c r="AA146" s="46"/>
      <c r="AD146" s="46"/>
    </row>
    <row r="147" spans="1:30">
      <c r="A147">
        <v>1609</v>
      </c>
      <c r="B147" t="s">
        <v>687</v>
      </c>
      <c r="C147">
        <v>4.6500000000000004</v>
      </c>
      <c r="Y147" s="46"/>
      <c r="Z147" s="46"/>
      <c r="AA147" s="46"/>
      <c r="AD147" s="46"/>
    </row>
    <row r="148" spans="1:30">
      <c r="A148">
        <v>1611</v>
      </c>
      <c r="B148" t="s">
        <v>688</v>
      </c>
      <c r="C148">
        <v>7.11</v>
      </c>
      <c r="Y148" s="46"/>
      <c r="Z148" s="46"/>
      <c r="AD148" s="46"/>
    </row>
    <row r="149" spans="1:30">
      <c r="A149">
        <v>1612</v>
      </c>
      <c r="B149" t="s">
        <v>689</v>
      </c>
      <c r="C149">
        <v>8.6199999999999992</v>
      </c>
      <c r="Y149" s="46"/>
      <c r="Z149" s="46"/>
      <c r="AD149" s="46"/>
    </row>
    <row r="150" spans="1:30">
      <c r="A150">
        <v>1613</v>
      </c>
      <c r="B150" t="s">
        <v>690</v>
      </c>
      <c r="C150">
        <v>3.17</v>
      </c>
      <c r="Y150" s="46"/>
      <c r="Z150" s="46"/>
      <c r="AD150" s="46"/>
    </row>
    <row r="151" spans="1:30">
      <c r="A151">
        <v>1614</v>
      </c>
      <c r="B151" t="s">
        <v>691</v>
      </c>
      <c r="C151">
        <v>25.7</v>
      </c>
      <c r="Y151" s="46"/>
      <c r="Z151" s="46"/>
      <c r="AD151" s="46"/>
    </row>
    <row r="152" spans="1:30">
      <c r="A152">
        <v>1615</v>
      </c>
      <c r="B152" t="s">
        <v>692</v>
      </c>
      <c r="C152">
        <v>9.68</v>
      </c>
      <c r="Y152" s="46"/>
      <c r="Z152" s="46"/>
      <c r="AA152" s="46"/>
      <c r="AD152" s="46"/>
    </row>
    <row r="153" spans="1:30">
      <c r="A153">
        <v>1616</v>
      </c>
      <c r="B153" t="s">
        <v>693</v>
      </c>
      <c r="C153">
        <v>4.45</v>
      </c>
      <c r="Y153" s="46"/>
      <c r="Z153" s="46"/>
      <c r="AD153" s="46"/>
    </row>
    <row r="154" spans="1:30">
      <c r="A154">
        <v>1617</v>
      </c>
      <c r="B154" t="s">
        <v>694</v>
      </c>
      <c r="C154">
        <v>6.83</v>
      </c>
      <c r="Y154" s="46"/>
      <c r="Z154" s="46"/>
      <c r="AD154" s="46"/>
    </row>
    <row r="155" spans="1:30">
      <c r="A155">
        <v>1618</v>
      </c>
      <c r="B155" t="s">
        <v>695</v>
      </c>
      <c r="C155">
        <v>6.92</v>
      </c>
      <c r="Y155" s="46"/>
      <c r="Z155" s="46"/>
      <c r="AD155" s="46"/>
    </row>
    <row r="156" spans="1:30">
      <c r="A156">
        <v>1626</v>
      </c>
      <c r="B156" t="s">
        <v>696</v>
      </c>
      <c r="C156">
        <v>22.15</v>
      </c>
      <c r="Y156" s="46"/>
      <c r="Z156" s="46"/>
      <c r="AD156" s="46"/>
    </row>
    <row r="157" spans="1:30">
      <c r="A157">
        <v>1701</v>
      </c>
      <c r="B157" t="s">
        <v>697</v>
      </c>
      <c r="C157">
        <v>20.55</v>
      </c>
      <c r="Y157" s="46"/>
      <c r="Z157" s="46"/>
      <c r="AD157" s="46"/>
    </row>
    <row r="158" spans="1:30">
      <c r="A158">
        <v>1702</v>
      </c>
      <c r="B158" t="s">
        <v>698</v>
      </c>
      <c r="C158">
        <v>67.2</v>
      </c>
      <c r="Y158" s="46"/>
      <c r="Z158" s="46"/>
      <c r="AA158" s="46"/>
      <c r="AD158" s="46"/>
    </row>
    <row r="159" spans="1:30">
      <c r="A159">
        <v>1704</v>
      </c>
      <c r="B159" t="s">
        <v>699</v>
      </c>
      <c r="C159">
        <v>36.9</v>
      </c>
      <c r="Y159" s="46"/>
      <c r="Z159" s="46"/>
      <c r="AD159" s="46"/>
    </row>
    <row r="160" spans="1:30">
      <c r="A160">
        <v>1707</v>
      </c>
      <c r="B160" t="s">
        <v>700</v>
      </c>
      <c r="C160">
        <v>196.5</v>
      </c>
      <c r="Y160" s="46"/>
      <c r="Z160" s="46"/>
      <c r="AD160" s="46"/>
    </row>
    <row r="161" spans="1:30">
      <c r="A161">
        <v>1708</v>
      </c>
      <c r="B161" t="s">
        <v>701</v>
      </c>
      <c r="C161">
        <v>32.799999999999997</v>
      </c>
      <c r="Y161" s="46"/>
      <c r="Z161" s="46"/>
      <c r="AD161" s="46"/>
    </row>
    <row r="162" spans="1:30">
      <c r="A162">
        <v>1709</v>
      </c>
      <c r="B162" t="s">
        <v>702</v>
      </c>
      <c r="C162">
        <v>15.65</v>
      </c>
      <c r="Y162" s="46"/>
      <c r="Z162" s="46"/>
      <c r="AA162" s="46"/>
      <c r="AD162" s="46"/>
    </row>
    <row r="163" spans="1:30">
      <c r="A163">
        <v>1710</v>
      </c>
      <c r="B163" t="s">
        <v>703</v>
      </c>
      <c r="C163">
        <v>21</v>
      </c>
      <c r="Y163" s="46"/>
      <c r="Z163" s="46"/>
      <c r="AD163" s="46"/>
    </row>
    <row r="164" spans="1:30">
      <c r="A164">
        <v>1711</v>
      </c>
      <c r="B164" t="s">
        <v>704</v>
      </c>
      <c r="C164">
        <v>21.9</v>
      </c>
      <c r="Y164" s="46"/>
      <c r="Z164" s="46"/>
      <c r="AD164" s="46"/>
    </row>
    <row r="165" spans="1:30">
      <c r="A165">
        <v>1712</v>
      </c>
      <c r="B165" t="s">
        <v>705</v>
      </c>
      <c r="C165">
        <v>13.85</v>
      </c>
      <c r="Y165" s="46"/>
      <c r="Z165" s="46"/>
      <c r="AA165" s="46"/>
      <c r="AD165" s="46"/>
    </row>
    <row r="166" spans="1:30">
      <c r="A166">
        <v>1713</v>
      </c>
      <c r="B166" t="s">
        <v>706</v>
      </c>
      <c r="C166">
        <v>15.1</v>
      </c>
      <c r="Y166" s="46"/>
      <c r="Z166" s="46"/>
      <c r="AA166" s="46"/>
      <c r="AD166" s="46"/>
    </row>
    <row r="167" spans="1:30">
      <c r="A167">
        <v>1714</v>
      </c>
      <c r="B167" t="s">
        <v>707</v>
      </c>
      <c r="C167">
        <v>7.46</v>
      </c>
      <c r="Y167" s="46"/>
      <c r="Z167" s="46"/>
      <c r="AA167" s="46"/>
      <c r="AD167" s="46"/>
    </row>
    <row r="168" spans="1:30">
      <c r="A168">
        <v>1715</v>
      </c>
      <c r="B168" t="s">
        <v>708</v>
      </c>
      <c r="C168">
        <v>11.2</v>
      </c>
      <c r="Y168" s="46"/>
      <c r="Z168" s="46"/>
      <c r="AA168" s="46"/>
      <c r="AD168" s="46"/>
    </row>
    <row r="169" spans="1:30">
      <c r="A169">
        <v>1717</v>
      </c>
      <c r="B169" t="s">
        <v>709</v>
      </c>
      <c r="C169">
        <v>30.65</v>
      </c>
      <c r="Y169" s="46"/>
      <c r="Z169" s="46"/>
      <c r="AA169" s="46"/>
      <c r="AD169" s="46"/>
    </row>
    <row r="170" spans="1:30">
      <c r="A170">
        <v>1718</v>
      </c>
      <c r="B170" t="s">
        <v>710</v>
      </c>
      <c r="C170">
        <v>8.48</v>
      </c>
      <c r="Y170" s="46"/>
      <c r="Z170" s="46"/>
      <c r="AA170" s="46"/>
      <c r="AD170" s="46"/>
    </row>
    <row r="171" spans="1:30">
      <c r="A171">
        <v>1720</v>
      </c>
      <c r="B171" t="s">
        <v>711</v>
      </c>
      <c r="C171">
        <v>40.4</v>
      </c>
      <c r="Y171" s="46"/>
      <c r="Z171" s="46"/>
      <c r="AA171" s="46"/>
      <c r="AD171" s="46"/>
    </row>
    <row r="172" spans="1:30">
      <c r="A172">
        <v>1721</v>
      </c>
      <c r="B172" t="s">
        <v>712</v>
      </c>
      <c r="C172">
        <v>13.55</v>
      </c>
      <c r="Y172" s="46"/>
      <c r="Z172" s="46"/>
      <c r="AD172" s="46"/>
    </row>
    <row r="173" spans="1:30">
      <c r="A173">
        <v>1722</v>
      </c>
      <c r="B173" t="s">
        <v>713</v>
      </c>
      <c r="C173">
        <v>40.799999999999997</v>
      </c>
      <c r="Y173" s="46"/>
      <c r="Z173" s="46"/>
      <c r="AD173" s="46"/>
    </row>
    <row r="174" spans="1:30">
      <c r="A174">
        <v>1723</v>
      </c>
      <c r="B174" t="s">
        <v>714</v>
      </c>
      <c r="C174">
        <v>116</v>
      </c>
      <c r="Y174" s="46"/>
      <c r="Z174" s="46"/>
      <c r="AD174" s="46"/>
    </row>
    <row r="175" spans="1:30">
      <c r="A175">
        <v>1724</v>
      </c>
      <c r="B175" t="s">
        <v>715</v>
      </c>
      <c r="C175">
        <v>15.45</v>
      </c>
      <c r="Y175" s="46"/>
      <c r="Z175" s="46"/>
      <c r="AD175" s="46"/>
    </row>
    <row r="176" spans="1:30">
      <c r="A176">
        <v>1725</v>
      </c>
      <c r="B176" t="s">
        <v>716</v>
      </c>
      <c r="C176">
        <v>14.45</v>
      </c>
      <c r="Y176" s="46"/>
      <c r="Z176" s="46"/>
      <c r="AD176" s="46"/>
    </row>
    <row r="177" spans="1:30">
      <c r="A177">
        <v>1726</v>
      </c>
      <c r="B177" t="s">
        <v>717</v>
      </c>
      <c r="C177">
        <v>69.900000000000006</v>
      </c>
      <c r="Y177" s="46"/>
      <c r="Z177" s="46"/>
      <c r="AD177" s="46"/>
    </row>
    <row r="178" spans="1:30">
      <c r="A178">
        <v>1727</v>
      </c>
      <c r="B178" t="s">
        <v>718</v>
      </c>
      <c r="C178">
        <v>15.05</v>
      </c>
      <c r="Y178" s="46"/>
      <c r="Z178" s="46"/>
      <c r="AD178" s="46"/>
    </row>
    <row r="179" spans="1:30">
      <c r="A179">
        <v>1729</v>
      </c>
      <c r="B179" t="s">
        <v>719</v>
      </c>
      <c r="C179">
        <v>72.2</v>
      </c>
      <c r="Y179" s="46"/>
      <c r="Z179" s="46"/>
      <c r="AD179" s="46"/>
    </row>
    <row r="180" spans="1:30">
      <c r="A180">
        <v>1730</v>
      </c>
      <c r="B180" t="s">
        <v>720</v>
      </c>
      <c r="C180">
        <v>38.65</v>
      </c>
      <c r="Y180" s="46"/>
      <c r="Z180" s="46"/>
      <c r="AD180" s="46"/>
    </row>
    <row r="181" spans="1:30">
      <c r="A181">
        <v>1731</v>
      </c>
      <c r="B181" t="s">
        <v>721</v>
      </c>
      <c r="C181">
        <v>14.45</v>
      </c>
      <c r="Y181" s="46"/>
      <c r="Z181" s="46"/>
      <c r="AD181" s="46"/>
    </row>
    <row r="182" spans="1:30">
      <c r="A182">
        <v>1732</v>
      </c>
      <c r="B182" t="s">
        <v>722</v>
      </c>
      <c r="C182">
        <v>12.95</v>
      </c>
      <c r="Y182" s="46"/>
      <c r="Z182" s="46"/>
      <c r="AD182" s="46"/>
    </row>
    <row r="183" spans="1:30">
      <c r="A183">
        <v>1733</v>
      </c>
      <c r="B183" t="s">
        <v>723</v>
      </c>
      <c r="C183">
        <v>50.4</v>
      </c>
      <c r="Y183" s="46"/>
      <c r="Z183" s="46"/>
      <c r="AD183" s="46"/>
    </row>
    <row r="184" spans="1:30">
      <c r="A184">
        <v>1734</v>
      </c>
      <c r="B184" t="s">
        <v>724</v>
      </c>
      <c r="C184">
        <v>31.5</v>
      </c>
      <c r="Y184" s="46"/>
      <c r="Z184" s="46"/>
      <c r="AD184" s="46"/>
    </row>
    <row r="185" spans="1:30">
      <c r="A185">
        <v>1735</v>
      </c>
      <c r="B185" t="s">
        <v>725</v>
      </c>
      <c r="C185">
        <v>11.9</v>
      </c>
      <c r="Y185" s="46"/>
      <c r="Z185" s="46"/>
      <c r="AD185" s="46"/>
    </row>
    <row r="186" spans="1:30">
      <c r="A186">
        <v>1736</v>
      </c>
      <c r="B186" t="s">
        <v>726</v>
      </c>
      <c r="C186">
        <v>55.8</v>
      </c>
      <c r="Y186" s="46"/>
      <c r="Z186" s="46"/>
      <c r="AD186" s="46"/>
    </row>
    <row r="187" spans="1:30">
      <c r="A187">
        <v>1737</v>
      </c>
      <c r="B187" t="s">
        <v>727</v>
      </c>
      <c r="C187">
        <v>26.25</v>
      </c>
      <c r="Y187" s="46"/>
      <c r="Z187" s="46"/>
      <c r="AD187" s="46"/>
    </row>
    <row r="188" spans="1:30">
      <c r="A188">
        <v>1762</v>
      </c>
      <c r="B188" t="s">
        <v>728</v>
      </c>
      <c r="C188">
        <v>41.5</v>
      </c>
      <c r="Y188" s="46"/>
      <c r="Z188" s="46"/>
      <c r="AD188" s="46"/>
    </row>
    <row r="189" spans="1:30">
      <c r="A189">
        <v>1773</v>
      </c>
      <c r="B189" t="s">
        <v>729</v>
      </c>
      <c r="C189">
        <v>40.6</v>
      </c>
      <c r="Y189" s="46"/>
      <c r="Z189" s="46"/>
      <c r="AA189" s="46"/>
      <c r="AD189" s="46"/>
    </row>
    <row r="190" spans="1:30">
      <c r="A190">
        <v>1783</v>
      </c>
      <c r="B190" t="s">
        <v>730</v>
      </c>
      <c r="C190">
        <v>25.2</v>
      </c>
      <c r="Y190" s="46"/>
      <c r="Z190" s="46"/>
      <c r="AA190" s="46"/>
      <c r="AD190" s="46"/>
    </row>
    <row r="191" spans="1:30">
      <c r="A191">
        <v>1786</v>
      </c>
      <c r="B191" t="s">
        <v>731</v>
      </c>
      <c r="C191">
        <v>62.8</v>
      </c>
      <c r="Y191" s="46"/>
      <c r="Z191" s="46"/>
      <c r="AD191" s="46"/>
    </row>
    <row r="192" spans="1:30">
      <c r="A192">
        <v>1789</v>
      </c>
      <c r="B192" t="s">
        <v>732</v>
      </c>
      <c r="C192">
        <v>56.2</v>
      </c>
      <c r="Y192" s="46"/>
      <c r="Z192" s="46"/>
      <c r="AA192" s="46"/>
      <c r="AD192" s="46"/>
    </row>
    <row r="193" spans="1:30">
      <c r="A193">
        <v>1802</v>
      </c>
      <c r="B193" t="s">
        <v>733</v>
      </c>
      <c r="C193">
        <v>11.85</v>
      </c>
      <c r="Y193" s="46"/>
      <c r="Z193" s="46"/>
      <c r="AD193" s="46"/>
    </row>
    <row r="194" spans="1:30">
      <c r="A194">
        <v>1805</v>
      </c>
      <c r="B194" t="s">
        <v>734</v>
      </c>
      <c r="C194">
        <v>7.1</v>
      </c>
      <c r="Y194" s="46"/>
      <c r="Z194" s="46"/>
      <c r="AD194" s="46"/>
    </row>
    <row r="195" spans="1:30">
      <c r="A195">
        <v>1806</v>
      </c>
      <c r="B195" t="s">
        <v>735</v>
      </c>
      <c r="C195">
        <v>7.25</v>
      </c>
      <c r="Y195" s="46"/>
      <c r="Z195" s="46"/>
      <c r="AD195" s="46"/>
    </row>
    <row r="196" spans="1:30">
      <c r="A196">
        <v>1808</v>
      </c>
      <c r="B196" t="s">
        <v>736</v>
      </c>
      <c r="C196">
        <v>27.3</v>
      </c>
      <c r="Y196" s="46"/>
      <c r="Z196" s="46"/>
      <c r="AD196" s="46"/>
    </row>
    <row r="197" spans="1:30">
      <c r="A197">
        <v>1809</v>
      </c>
      <c r="B197" t="s">
        <v>737</v>
      </c>
      <c r="C197">
        <v>10.15</v>
      </c>
      <c r="Y197" s="46"/>
      <c r="Z197" s="46"/>
      <c r="AD197" s="46"/>
    </row>
    <row r="198" spans="1:30">
      <c r="A198">
        <v>1810</v>
      </c>
      <c r="B198" t="s">
        <v>738</v>
      </c>
      <c r="C198">
        <v>7.99</v>
      </c>
      <c r="Y198" s="46"/>
      <c r="Z198" s="46"/>
      <c r="AD198" s="46"/>
    </row>
    <row r="199" spans="1:30">
      <c r="A199">
        <v>1817</v>
      </c>
      <c r="B199" t="s">
        <v>739</v>
      </c>
      <c r="C199">
        <v>40.799999999999997</v>
      </c>
      <c r="Y199" s="46"/>
      <c r="Z199" s="46"/>
      <c r="AD199" s="46"/>
    </row>
    <row r="200" spans="1:30">
      <c r="A200">
        <v>1902</v>
      </c>
      <c r="B200" t="s">
        <v>740</v>
      </c>
      <c r="C200">
        <v>10.6</v>
      </c>
      <c r="Y200" s="46"/>
      <c r="Z200" s="46"/>
      <c r="AD200" s="46"/>
    </row>
    <row r="201" spans="1:30">
      <c r="A201">
        <v>1903</v>
      </c>
      <c r="B201" t="s">
        <v>741</v>
      </c>
      <c r="C201">
        <v>29.95</v>
      </c>
      <c r="Y201" s="46"/>
      <c r="Z201" s="46"/>
      <c r="AD201" s="46"/>
    </row>
    <row r="202" spans="1:30">
      <c r="A202">
        <v>1904</v>
      </c>
      <c r="B202" t="s">
        <v>742</v>
      </c>
      <c r="C202">
        <v>11.35</v>
      </c>
      <c r="Y202" s="46"/>
      <c r="Z202" s="46"/>
      <c r="AD202" s="46"/>
    </row>
    <row r="203" spans="1:30">
      <c r="A203">
        <v>1905</v>
      </c>
      <c r="B203" t="s">
        <v>1853</v>
      </c>
      <c r="C203">
        <v>9.89</v>
      </c>
      <c r="Y203" s="46"/>
      <c r="Z203" s="46"/>
      <c r="AA203" s="46"/>
      <c r="AD203" s="46"/>
    </row>
    <row r="204" spans="1:30">
      <c r="A204">
        <v>1906</v>
      </c>
      <c r="B204" t="s">
        <v>743</v>
      </c>
      <c r="C204">
        <v>7.58</v>
      </c>
      <c r="Y204" s="46"/>
      <c r="Z204" s="46"/>
      <c r="AD204" s="46"/>
    </row>
    <row r="205" spans="1:30">
      <c r="A205">
        <v>1907</v>
      </c>
      <c r="B205" t="s">
        <v>744</v>
      </c>
      <c r="C205">
        <v>10.95</v>
      </c>
      <c r="Y205" s="46"/>
      <c r="Z205" s="46"/>
      <c r="AD205" s="46"/>
    </row>
    <row r="206" spans="1:30">
      <c r="A206">
        <v>1909</v>
      </c>
      <c r="B206" t="s">
        <v>745</v>
      </c>
      <c r="C206">
        <v>11.05</v>
      </c>
      <c r="Y206" s="46"/>
      <c r="Z206" s="46"/>
      <c r="AD206" s="46"/>
    </row>
    <row r="207" spans="1:30">
      <c r="A207">
        <v>2002</v>
      </c>
      <c r="B207" t="s">
        <v>746</v>
      </c>
      <c r="C207">
        <v>17.649999999999999</v>
      </c>
      <c r="M207" s="46"/>
      <c r="Y207" s="46"/>
      <c r="Z207" s="46"/>
      <c r="AD207" s="46"/>
    </row>
    <row r="208" spans="1:30">
      <c r="A208" t="s">
        <v>260</v>
      </c>
      <c r="B208" t="s">
        <v>747</v>
      </c>
      <c r="C208">
        <v>39.200000000000003</v>
      </c>
      <c r="Y208" s="46"/>
      <c r="Z208" s="46"/>
      <c r="AD208" s="46"/>
    </row>
    <row r="209" spans="1:30">
      <c r="A209">
        <v>2006</v>
      </c>
      <c r="B209" t="s">
        <v>748</v>
      </c>
      <c r="C209">
        <v>16.8</v>
      </c>
      <c r="Y209" s="46"/>
      <c r="Z209" s="46"/>
      <c r="AA209" s="46"/>
      <c r="AD209" s="46"/>
    </row>
    <row r="210" spans="1:30">
      <c r="A210">
        <v>2007</v>
      </c>
      <c r="B210" t="s">
        <v>749</v>
      </c>
      <c r="C210">
        <v>4.49</v>
      </c>
      <c r="Y210" s="46"/>
      <c r="Z210" s="46"/>
      <c r="AD210" s="46"/>
    </row>
    <row r="211" spans="1:30">
      <c r="A211">
        <v>2008</v>
      </c>
      <c r="B211" t="s">
        <v>750</v>
      </c>
      <c r="C211">
        <v>8.8800000000000008</v>
      </c>
      <c r="Y211" s="46"/>
      <c r="Z211" s="46"/>
      <c r="AD211" s="46"/>
    </row>
    <row r="212" spans="1:30">
      <c r="A212">
        <v>2009</v>
      </c>
      <c r="B212" t="s">
        <v>751</v>
      </c>
      <c r="C212">
        <v>6.65</v>
      </c>
      <c r="Y212" s="46"/>
      <c r="Z212" s="46"/>
      <c r="AD212" s="46"/>
    </row>
    <row r="213" spans="1:30">
      <c r="A213">
        <v>2010</v>
      </c>
      <c r="B213" t="s">
        <v>752</v>
      </c>
      <c r="C213">
        <v>8.77</v>
      </c>
      <c r="Y213" s="46"/>
      <c r="Z213" s="46"/>
      <c r="AD213" s="46"/>
    </row>
    <row r="214" spans="1:30">
      <c r="A214">
        <v>2012</v>
      </c>
      <c r="B214" t="s">
        <v>753</v>
      </c>
      <c r="C214">
        <v>14.3</v>
      </c>
      <c r="Y214" s="46"/>
      <c r="Z214" s="46"/>
      <c r="AD214" s="46"/>
    </row>
    <row r="215" spans="1:30">
      <c r="A215">
        <v>2013</v>
      </c>
      <c r="B215" t="s">
        <v>754</v>
      </c>
      <c r="C215">
        <v>18.850000000000001</v>
      </c>
      <c r="Y215" s="46"/>
      <c r="Z215" s="46"/>
      <c r="AD215" s="46"/>
    </row>
    <row r="216" spans="1:30">
      <c r="A216">
        <v>2014</v>
      </c>
      <c r="B216" t="s">
        <v>755</v>
      </c>
      <c r="C216">
        <v>4.26</v>
      </c>
      <c r="Y216" s="46"/>
      <c r="Z216" s="46"/>
      <c r="AD216" s="46"/>
    </row>
    <row r="217" spans="1:30">
      <c r="A217">
        <v>2015</v>
      </c>
      <c r="B217" t="s">
        <v>756</v>
      </c>
      <c r="C217">
        <v>37.549999999999997</v>
      </c>
      <c r="Y217" s="46"/>
      <c r="Z217" s="46"/>
      <c r="AD217" s="46"/>
    </row>
    <row r="218" spans="1:30">
      <c r="A218">
        <v>2017</v>
      </c>
      <c r="B218" t="s">
        <v>757</v>
      </c>
      <c r="C218">
        <v>5</v>
      </c>
      <c r="Y218" s="46"/>
      <c r="Z218" s="46"/>
      <c r="AD218" s="46"/>
    </row>
    <row r="219" spans="1:30">
      <c r="A219">
        <v>2020</v>
      </c>
      <c r="B219" t="s">
        <v>758</v>
      </c>
      <c r="C219">
        <v>12.7</v>
      </c>
      <c r="Y219" s="46"/>
      <c r="Z219" s="46"/>
      <c r="AA219" s="46"/>
      <c r="AD219" s="46"/>
    </row>
    <row r="220" spans="1:30">
      <c r="A220">
        <v>2022</v>
      </c>
      <c r="B220" t="s">
        <v>759</v>
      </c>
      <c r="C220">
        <v>3.64</v>
      </c>
      <c r="Y220" s="46"/>
      <c r="Z220" s="46"/>
      <c r="AA220" s="46"/>
      <c r="AD220" s="46"/>
    </row>
    <row r="221" spans="1:30">
      <c r="A221">
        <v>2023</v>
      </c>
      <c r="B221" t="s">
        <v>760</v>
      </c>
      <c r="C221">
        <v>7.27</v>
      </c>
      <c r="Y221" s="46"/>
      <c r="Z221" s="46"/>
      <c r="AD221" s="46"/>
    </row>
    <row r="222" spans="1:30">
      <c r="A222">
        <v>2024</v>
      </c>
      <c r="B222" t="s">
        <v>761</v>
      </c>
      <c r="C222">
        <v>6.74</v>
      </c>
      <c r="Y222" s="46"/>
      <c r="Z222" s="46"/>
      <c r="AA222" s="46"/>
      <c r="AD222" s="46"/>
    </row>
    <row r="223" spans="1:30">
      <c r="A223">
        <v>2025</v>
      </c>
      <c r="B223" t="s">
        <v>762</v>
      </c>
      <c r="C223">
        <v>1.82</v>
      </c>
      <c r="Y223" s="46"/>
      <c r="Z223" s="46"/>
      <c r="AD223" s="46"/>
    </row>
    <row r="224" spans="1:30">
      <c r="A224">
        <v>2027</v>
      </c>
      <c r="B224" t="s">
        <v>763</v>
      </c>
      <c r="C224">
        <v>14.05</v>
      </c>
      <c r="Y224" s="46"/>
      <c r="Z224" s="46"/>
      <c r="AD224" s="46"/>
    </row>
    <row r="225" spans="1:30">
      <c r="A225">
        <v>2028</v>
      </c>
      <c r="B225" t="s">
        <v>764</v>
      </c>
      <c r="C225">
        <v>1.62</v>
      </c>
      <c r="Y225" s="46"/>
      <c r="Z225" s="46"/>
      <c r="AD225" s="46"/>
    </row>
    <row r="226" spans="1:30">
      <c r="A226">
        <v>2029</v>
      </c>
      <c r="B226" t="s">
        <v>765</v>
      </c>
      <c r="C226">
        <v>16.3</v>
      </c>
      <c r="Y226" s="46"/>
      <c r="Z226" s="46"/>
      <c r="AD226" s="46"/>
    </row>
    <row r="227" spans="1:30">
      <c r="A227">
        <v>2030</v>
      </c>
      <c r="B227" t="s">
        <v>766</v>
      </c>
      <c r="C227">
        <v>9.19</v>
      </c>
      <c r="Y227" s="46"/>
      <c r="Z227" s="46"/>
      <c r="AD227" s="46"/>
    </row>
    <row r="228" spans="1:30">
      <c r="A228">
        <v>2031</v>
      </c>
      <c r="B228" t="s">
        <v>767</v>
      </c>
      <c r="C228">
        <v>12.3</v>
      </c>
      <c r="Y228" s="46"/>
      <c r="Z228" s="46"/>
      <c r="AA228" s="46"/>
      <c r="AD228" s="46"/>
    </row>
    <row r="229" spans="1:30">
      <c r="A229">
        <v>2032</v>
      </c>
      <c r="B229" t="s">
        <v>768</v>
      </c>
      <c r="C229">
        <v>8.06</v>
      </c>
      <c r="Y229" s="46"/>
      <c r="Z229" s="46"/>
      <c r="AA229" s="46"/>
      <c r="AD229" s="46"/>
    </row>
    <row r="230" spans="1:30">
      <c r="A230">
        <v>2033</v>
      </c>
      <c r="B230" t="s">
        <v>769</v>
      </c>
      <c r="C230">
        <v>7.88</v>
      </c>
      <c r="Y230" s="46"/>
      <c r="Z230" s="46"/>
      <c r="AA230" s="46"/>
      <c r="AD230" s="46"/>
    </row>
    <row r="231" spans="1:30">
      <c r="A231">
        <v>2034</v>
      </c>
      <c r="B231" t="s">
        <v>770</v>
      </c>
      <c r="C231">
        <v>18.850000000000001</v>
      </c>
      <c r="Y231" s="46"/>
      <c r="Z231" s="46"/>
      <c r="AA231" s="46"/>
      <c r="AD231" s="46"/>
    </row>
    <row r="232" spans="1:30">
      <c r="A232">
        <v>2038</v>
      </c>
      <c r="B232" t="s">
        <v>771</v>
      </c>
      <c r="C232">
        <v>5.43</v>
      </c>
      <c r="Y232" s="46"/>
      <c r="Z232" s="46"/>
      <c r="AA232" s="46"/>
      <c r="AD232" s="46"/>
    </row>
    <row r="233" spans="1:30">
      <c r="A233">
        <v>2049</v>
      </c>
      <c r="B233" t="s">
        <v>772</v>
      </c>
      <c r="C233">
        <v>150</v>
      </c>
      <c r="Y233" s="46"/>
      <c r="Z233" s="46"/>
      <c r="AA233" s="46"/>
      <c r="AD233" s="46"/>
    </row>
    <row r="234" spans="1:30">
      <c r="A234">
        <v>2059</v>
      </c>
      <c r="B234" t="s">
        <v>773</v>
      </c>
      <c r="C234">
        <v>420</v>
      </c>
      <c r="Y234" s="46"/>
      <c r="Z234" s="46"/>
      <c r="AA234" s="46"/>
      <c r="AD234" s="46"/>
    </row>
    <row r="235" spans="1:30">
      <c r="A235">
        <v>2062</v>
      </c>
      <c r="B235" t="s">
        <v>774</v>
      </c>
      <c r="C235">
        <v>42.65</v>
      </c>
      <c r="Y235" s="46"/>
      <c r="Z235" s="46"/>
      <c r="AA235" s="46"/>
      <c r="AD235" s="46"/>
    </row>
    <row r="236" spans="1:30">
      <c r="A236">
        <v>2101</v>
      </c>
      <c r="B236" t="s">
        <v>775</v>
      </c>
      <c r="C236">
        <v>28.8</v>
      </c>
      <c r="Y236" s="46"/>
      <c r="Z236" s="46"/>
      <c r="AA236" s="46"/>
      <c r="AD236" s="46"/>
    </row>
    <row r="237" spans="1:30">
      <c r="A237">
        <v>2102</v>
      </c>
      <c r="B237" t="s">
        <v>776</v>
      </c>
      <c r="C237">
        <v>15.05</v>
      </c>
      <c r="Y237" s="46"/>
      <c r="Z237" s="46"/>
      <c r="AA237" s="46"/>
      <c r="AD237" s="46"/>
    </row>
    <row r="238" spans="1:30">
      <c r="A238">
        <v>2103</v>
      </c>
      <c r="B238" t="s">
        <v>777</v>
      </c>
      <c r="C238">
        <v>20</v>
      </c>
      <c r="Y238" s="46"/>
      <c r="Z238" s="46"/>
      <c r="AA238" s="46"/>
      <c r="AD238" s="46"/>
    </row>
    <row r="239" spans="1:30">
      <c r="A239">
        <v>2104</v>
      </c>
      <c r="B239" t="s">
        <v>778</v>
      </c>
      <c r="C239">
        <v>23.55</v>
      </c>
      <c r="Y239" s="46"/>
      <c r="Z239" s="46"/>
      <c r="AD239" s="46"/>
    </row>
    <row r="240" spans="1:30">
      <c r="A240">
        <v>2105</v>
      </c>
      <c r="B240" t="s">
        <v>779</v>
      </c>
      <c r="C240">
        <v>55.2</v>
      </c>
      <c r="Y240" s="46"/>
      <c r="Z240" s="46"/>
      <c r="AD240" s="46"/>
    </row>
    <row r="241" spans="1:30">
      <c r="A241">
        <v>2106</v>
      </c>
      <c r="B241" t="s">
        <v>780</v>
      </c>
      <c r="C241">
        <v>51</v>
      </c>
      <c r="Y241" s="46"/>
      <c r="Z241" s="46"/>
      <c r="AA241" s="46"/>
      <c r="AD241" s="46"/>
    </row>
    <row r="242" spans="1:30">
      <c r="A242">
        <v>2107</v>
      </c>
      <c r="B242" t="s">
        <v>781</v>
      </c>
      <c r="C242">
        <v>17.149999999999999</v>
      </c>
      <c r="Y242" s="46"/>
      <c r="Z242" s="46"/>
      <c r="AA242" s="46"/>
      <c r="AD242" s="46"/>
    </row>
    <row r="243" spans="1:30">
      <c r="A243">
        <v>2108</v>
      </c>
      <c r="B243" t="s">
        <v>782</v>
      </c>
      <c r="C243">
        <v>27.4</v>
      </c>
      <c r="Y243" s="46"/>
      <c r="Z243" s="46"/>
      <c r="AA243" s="46"/>
      <c r="AD243" s="46"/>
    </row>
    <row r="244" spans="1:30">
      <c r="A244">
        <v>2109</v>
      </c>
      <c r="B244" t="s">
        <v>783</v>
      </c>
      <c r="C244">
        <v>11.2</v>
      </c>
      <c r="Y244" s="46"/>
      <c r="Z244" s="46"/>
      <c r="AA244" s="46"/>
      <c r="AD244" s="46"/>
    </row>
    <row r="245" spans="1:30">
      <c r="A245">
        <v>2114</v>
      </c>
      <c r="B245" t="s">
        <v>784</v>
      </c>
      <c r="C245">
        <v>76</v>
      </c>
      <c r="Y245" s="46"/>
      <c r="Z245" s="46"/>
      <c r="AA245" s="46"/>
      <c r="AD245" s="46"/>
    </row>
    <row r="246" spans="1:30">
      <c r="A246">
        <v>2115</v>
      </c>
      <c r="B246" t="s">
        <v>785</v>
      </c>
      <c r="C246">
        <v>42.4</v>
      </c>
      <c r="Y246" s="46"/>
      <c r="Z246" s="46"/>
      <c r="AA246" s="46"/>
      <c r="AD246" s="46"/>
    </row>
    <row r="247" spans="1:30">
      <c r="A247">
        <v>2201</v>
      </c>
      <c r="B247" t="s">
        <v>786</v>
      </c>
      <c r="C247">
        <v>32.1</v>
      </c>
      <c r="Y247" s="46"/>
      <c r="Z247" s="46"/>
      <c r="AA247" s="46"/>
      <c r="AD247" s="46"/>
    </row>
    <row r="248" spans="1:30">
      <c r="A248">
        <v>2204</v>
      </c>
      <c r="B248" t="s">
        <v>787</v>
      </c>
      <c r="C248">
        <v>21.6</v>
      </c>
      <c r="Y248" s="46"/>
      <c r="Z248" s="46"/>
      <c r="AA248" s="46"/>
      <c r="AD248" s="46"/>
    </row>
    <row r="249" spans="1:30">
      <c r="A249">
        <v>2206</v>
      </c>
      <c r="B249" t="s">
        <v>788</v>
      </c>
      <c r="C249">
        <v>23.15</v>
      </c>
      <c r="Y249" s="46"/>
      <c r="Z249" s="46"/>
      <c r="AA249" s="46"/>
      <c r="AD249" s="46"/>
    </row>
    <row r="250" spans="1:30">
      <c r="A250">
        <v>2207</v>
      </c>
      <c r="B250" t="s">
        <v>789</v>
      </c>
      <c r="C250">
        <v>374</v>
      </c>
      <c r="Y250" s="46"/>
      <c r="Z250" s="46"/>
      <c r="AA250" s="46"/>
      <c r="AD250" s="46"/>
    </row>
    <row r="251" spans="1:30">
      <c r="A251">
        <v>2208</v>
      </c>
      <c r="B251" t="s">
        <v>790</v>
      </c>
      <c r="C251">
        <v>12.9</v>
      </c>
      <c r="Y251" s="46"/>
      <c r="Z251" s="46"/>
      <c r="AD251" s="46"/>
    </row>
    <row r="252" spans="1:30">
      <c r="A252">
        <v>2227</v>
      </c>
      <c r="B252" t="s">
        <v>791</v>
      </c>
      <c r="C252">
        <v>289.5</v>
      </c>
      <c r="Y252" s="46"/>
      <c r="Z252" s="46"/>
      <c r="AA252" s="46"/>
      <c r="AD252" s="46"/>
    </row>
    <row r="253" spans="1:30">
      <c r="A253">
        <v>2228</v>
      </c>
      <c r="B253" t="s">
        <v>792</v>
      </c>
      <c r="C253">
        <v>157.5</v>
      </c>
      <c r="Y253" s="46"/>
      <c r="Z253" s="46"/>
      <c r="AA253" s="46"/>
      <c r="AD253" s="46"/>
    </row>
    <row r="254" spans="1:30">
      <c r="A254">
        <v>2231</v>
      </c>
      <c r="B254" t="s">
        <v>793</v>
      </c>
      <c r="C254">
        <v>419</v>
      </c>
      <c r="Y254" s="46"/>
      <c r="Z254" s="46"/>
      <c r="AA254" s="46"/>
      <c r="AD254" s="46"/>
    </row>
    <row r="255" spans="1:30">
      <c r="A255">
        <v>2236</v>
      </c>
      <c r="B255" t="s">
        <v>794</v>
      </c>
      <c r="C255">
        <v>40.200000000000003</v>
      </c>
      <c r="Y255" s="46"/>
      <c r="Z255" s="46"/>
      <c r="AA255" s="46"/>
      <c r="AD255" s="46"/>
    </row>
    <row r="256" spans="1:30">
      <c r="A256">
        <v>2301</v>
      </c>
      <c r="B256" t="s">
        <v>795</v>
      </c>
      <c r="C256">
        <v>33.799999999999997</v>
      </c>
      <c r="Y256" s="46"/>
      <c r="Z256" s="46"/>
      <c r="AA256" s="46"/>
      <c r="AD256" s="46"/>
    </row>
    <row r="257" spans="1:30">
      <c r="A257">
        <v>2302</v>
      </c>
      <c r="B257" t="s">
        <v>796</v>
      </c>
      <c r="C257">
        <v>6.15</v>
      </c>
      <c r="Y257" s="46"/>
      <c r="Z257" s="46"/>
      <c r="AA257" s="46"/>
      <c r="AD257" s="46"/>
    </row>
    <row r="258" spans="1:30">
      <c r="A258">
        <v>2303</v>
      </c>
      <c r="B258" t="s">
        <v>797</v>
      </c>
      <c r="C258">
        <v>12.05</v>
      </c>
      <c r="M258" s="46"/>
      <c r="Y258" s="46"/>
      <c r="Z258" s="46"/>
      <c r="AA258" s="46"/>
      <c r="AD258" s="46"/>
    </row>
    <row r="259" spans="1:30">
      <c r="A259">
        <v>2305</v>
      </c>
      <c r="B259" t="s">
        <v>798</v>
      </c>
      <c r="C259">
        <v>5.86</v>
      </c>
      <c r="Y259" s="46"/>
      <c r="Z259" s="46"/>
      <c r="AA259" s="46"/>
      <c r="AD259" s="46"/>
    </row>
    <row r="260" spans="1:30">
      <c r="A260">
        <v>2308</v>
      </c>
      <c r="B260" t="s">
        <v>799</v>
      </c>
      <c r="C260">
        <v>160</v>
      </c>
      <c r="Y260" s="46"/>
      <c r="Z260" s="46"/>
      <c r="AA260" s="46"/>
      <c r="AD260" s="46"/>
    </row>
    <row r="261" spans="1:30">
      <c r="A261">
        <v>2311</v>
      </c>
      <c r="B261" t="s">
        <v>800</v>
      </c>
      <c r="C261">
        <v>36.5</v>
      </c>
      <c r="Y261" s="46"/>
      <c r="Z261" s="46"/>
      <c r="AA261" s="46"/>
      <c r="AD261" s="46"/>
    </row>
    <row r="262" spans="1:30">
      <c r="A262">
        <v>2312</v>
      </c>
      <c r="B262" t="s">
        <v>801</v>
      </c>
      <c r="C262">
        <v>9.16</v>
      </c>
      <c r="Y262" s="46"/>
      <c r="Z262" s="46"/>
      <c r="AA262" s="46"/>
      <c r="AD262" s="46"/>
    </row>
    <row r="263" spans="1:30">
      <c r="A263">
        <v>2313</v>
      </c>
      <c r="B263" t="s">
        <v>802</v>
      </c>
      <c r="C263">
        <v>21.65</v>
      </c>
      <c r="Y263" s="46"/>
      <c r="Z263" s="46"/>
      <c r="AA263" s="46"/>
      <c r="AD263" s="46"/>
    </row>
    <row r="264" spans="1:30">
      <c r="A264">
        <v>2314</v>
      </c>
      <c r="B264" t="s">
        <v>803</v>
      </c>
      <c r="C264">
        <v>10.15</v>
      </c>
      <c r="Y264" s="46"/>
      <c r="Z264" s="46"/>
      <c r="AA264" s="46"/>
      <c r="AD264" s="46"/>
    </row>
    <row r="265" spans="1:30">
      <c r="A265">
        <v>2316</v>
      </c>
      <c r="B265" t="s">
        <v>804</v>
      </c>
      <c r="C265">
        <v>26.45</v>
      </c>
      <c r="Y265" s="46"/>
      <c r="Z265" s="46"/>
      <c r="AA265" s="46"/>
      <c r="AD265" s="46"/>
    </row>
    <row r="266" spans="1:30">
      <c r="A266">
        <v>2317</v>
      </c>
      <c r="B266" t="s">
        <v>805</v>
      </c>
      <c r="C266">
        <v>84.2</v>
      </c>
      <c r="Y266" s="46"/>
      <c r="Z266" s="46"/>
      <c r="AA266" s="46"/>
      <c r="AD266" s="46"/>
    </row>
    <row r="267" spans="1:30">
      <c r="A267">
        <v>2321</v>
      </c>
      <c r="B267" t="s">
        <v>806</v>
      </c>
      <c r="C267">
        <v>1.96</v>
      </c>
      <c r="Y267" s="46"/>
      <c r="Z267" s="46"/>
      <c r="AA267" s="46"/>
      <c r="AD267" s="46"/>
    </row>
    <row r="268" spans="1:30">
      <c r="A268">
        <v>2323</v>
      </c>
      <c r="B268" t="s">
        <v>807</v>
      </c>
      <c r="C268">
        <v>3.32</v>
      </c>
      <c r="Y268" s="46"/>
      <c r="Z268" s="46"/>
      <c r="AA268" s="46"/>
      <c r="AD268" s="46"/>
    </row>
    <row r="269" spans="1:30">
      <c r="A269">
        <v>2324</v>
      </c>
      <c r="B269" t="s">
        <v>808</v>
      </c>
      <c r="C269">
        <v>17.899999999999999</v>
      </c>
      <c r="Y269" s="46"/>
      <c r="Z269" s="46"/>
      <c r="AD269" s="46"/>
    </row>
    <row r="270" spans="1:30">
      <c r="A270">
        <v>2325</v>
      </c>
      <c r="B270" t="s">
        <v>809</v>
      </c>
      <c r="C270">
        <v>45</v>
      </c>
      <c r="O270" s="46"/>
      <c r="Y270" s="46"/>
      <c r="Z270" s="46"/>
      <c r="AA270" s="46"/>
      <c r="AD270" s="46"/>
    </row>
    <row r="271" spans="1:30">
      <c r="A271">
        <v>2327</v>
      </c>
      <c r="B271" t="s">
        <v>810</v>
      </c>
      <c r="C271">
        <v>51.3</v>
      </c>
      <c r="Y271" s="46"/>
      <c r="Z271" s="46"/>
      <c r="AD271" s="46"/>
    </row>
    <row r="272" spans="1:30">
      <c r="A272">
        <v>2328</v>
      </c>
      <c r="B272" t="s">
        <v>811</v>
      </c>
      <c r="C272">
        <v>14.25</v>
      </c>
      <c r="Y272" s="46"/>
      <c r="Z272" s="46"/>
      <c r="AD272" s="46"/>
    </row>
    <row r="273" spans="1:30">
      <c r="A273">
        <v>2329</v>
      </c>
      <c r="B273" t="s">
        <v>812</v>
      </c>
      <c r="C273">
        <v>11.2</v>
      </c>
      <c r="Y273" s="46"/>
      <c r="Z273" s="46"/>
      <c r="AD273" s="46"/>
    </row>
    <row r="274" spans="1:30">
      <c r="A274">
        <v>2330</v>
      </c>
      <c r="B274" t="s">
        <v>813</v>
      </c>
      <c r="C274">
        <v>140.5</v>
      </c>
      <c r="M274" s="46"/>
      <c r="Y274" s="46"/>
      <c r="Z274" s="46"/>
      <c r="AD274" s="46"/>
    </row>
    <row r="275" spans="1:30">
      <c r="A275">
        <v>2331</v>
      </c>
      <c r="B275" t="s">
        <v>814</v>
      </c>
      <c r="C275">
        <v>21.75</v>
      </c>
      <c r="Y275" s="46"/>
      <c r="Z275" s="46"/>
      <c r="AD275" s="46"/>
    </row>
    <row r="276" spans="1:30">
      <c r="A276">
        <v>2332</v>
      </c>
      <c r="B276" t="s">
        <v>815</v>
      </c>
      <c r="C276">
        <v>10.6</v>
      </c>
      <c r="Y276" s="46"/>
      <c r="Z276" s="46"/>
      <c r="AD276" s="46"/>
    </row>
    <row r="277" spans="1:30">
      <c r="A277">
        <v>2337</v>
      </c>
      <c r="B277" t="s">
        <v>816</v>
      </c>
      <c r="C277">
        <v>4.76</v>
      </c>
      <c r="Y277" s="46"/>
      <c r="Z277" s="46"/>
      <c r="AD277" s="46"/>
    </row>
    <row r="278" spans="1:30">
      <c r="A278">
        <v>2338</v>
      </c>
      <c r="B278" t="s">
        <v>817</v>
      </c>
      <c r="C278">
        <v>7.69</v>
      </c>
      <c r="Y278" s="46"/>
      <c r="Z278" s="46"/>
      <c r="AD278" s="46"/>
    </row>
    <row r="279" spans="1:30">
      <c r="A279">
        <v>2340</v>
      </c>
      <c r="B279" t="s">
        <v>818</v>
      </c>
      <c r="C279">
        <v>9.8800000000000008</v>
      </c>
      <c r="Y279" s="46"/>
      <c r="Z279" s="46"/>
      <c r="AD279" s="46"/>
    </row>
    <row r="280" spans="1:30">
      <c r="A280">
        <v>2342</v>
      </c>
      <c r="B280" t="s">
        <v>819</v>
      </c>
      <c r="C280">
        <v>2.38</v>
      </c>
      <c r="Y280" s="46"/>
      <c r="Z280" s="46"/>
      <c r="AD280" s="46"/>
    </row>
    <row r="281" spans="1:30">
      <c r="A281">
        <v>2344</v>
      </c>
      <c r="B281" t="s">
        <v>820</v>
      </c>
      <c r="C281">
        <v>7.89</v>
      </c>
      <c r="Y281" s="46"/>
      <c r="Z281" s="46"/>
      <c r="AA281" s="46"/>
      <c r="AD281" s="46"/>
    </row>
    <row r="282" spans="1:30">
      <c r="A282">
        <v>2345</v>
      </c>
      <c r="B282" t="s">
        <v>821</v>
      </c>
      <c r="C282">
        <v>27.9</v>
      </c>
      <c r="Y282" s="46"/>
      <c r="Z282" s="46"/>
      <c r="AA282" s="46"/>
      <c r="AD282" s="46"/>
    </row>
    <row r="283" spans="1:30">
      <c r="A283">
        <v>2347</v>
      </c>
      <c r="B283" t="s">
        <v>822</v>
      </c>
      <c r="C283">
        <v>32.15</v>
      </c>
      <c r="Y283" s="46"/>
      <c r="Z283" s="46"/>
      <c r="AD283" s="46"/>
    </row>
    <row r="284" spans="1:30">
      <c r="A284">
        <v>2348</v>
      </c>
      <c r="B284" t="s">
        <v>823</v>
      </c>
      <c r="C284" t="s">
        <v>1902</v>
      </c>
      <c r="Y284" s="46"/>
      <c r="Z284" s="46"/>
      <c r="AA284" s="46"/>
      <c r="AD284" s="46"/>
    </row>
    <row r="285" spans="1:30">
      <c r="A285">
        <v>2349</v>
      </c>
      <c r="B285" t="s">
        <v>824</v>
      </c>
      <c r="C285">
        <v>2.8</v>
      </c>
      <c r="Y285" s="46"/>
      <c r="Z285" s="46"/>
      <c r="AD285" s="46"/>
    </row>
    <row r="286" spans="1:30">
      <c r="A286">
        <v>2351</v>
      </c>
      <c r="B286" t="s">
        <v>825</v>
      </c>
      <c r="C286">
        <v>28.75</v>
      </c>
      <c r="Y286" s="46"/>
      <c r="Z286" s="46"/>
      <c r="AD286" s="46"/>
    </row>
    <row r="287" spans="1:30">
      <c r="A287">
        <v>2352</v>
      </c>
      <c r="B287" t="s">
        <v>826</v>
      </c>
      <c r="C287">
        <v>11.9</v>
      </c>
      <c r="Y287" s="46"/>
      <c r="Z287" s="46"/>
      <c r="AD287" s="46"/>
    </row>
    <row r="288" spans="1:30">
      <c r="A288">
        <v>2353</v>
      </c>
      <c r="B288" t="s">
        <v>827</v>
      </c>
      <c r="C288">
        <v>11.85</v>
      </c>
      <c r="Y288" s="46"/>
      <c r="Z288" s="46"/>
      <c r="AD288" s="46"/>
    </row>
    <row r="289" spans="1:30">
      <c r="A289">
        <v>2354</v>
      </c>
      <c r="B289" t="s">
        <v>828</v>
      </c>
      <c r="C289">
        <v>72.900000000000006</v>
      </c>
      <c r="Y289" s="46"/>
      <c r="Z289" s="46"/>
      <c r="AD289" s="46"/>
    </row>
    <row r="290" spans="1:30">
      <c r="A290">
        <v>2355</v>
      </c>
      <c r="B290" t="s">
        <v>829</v>
      </c>
      <c r="C290">
        <v>52.2</v>
      </c>
      <c r="Y290" s="46"/>
      <c r="Z290" s="46"/>
      <c r="AD290" s="46"/>
    </row>
    <row r="291" spans="1:30">
      <c r="A291">
        <v>2356</v>
      </c>
      <c r="B291" t="s">
        <v>830</v>
      </c>
      <c r="C291">
        <v>19.45</v>
      </c>
      <c r="Y291" s="46"/>
      <c r="Z291" s="46"/>
      <c r="AD291" s="46"/>
    </row>
    <row r="292" spans="1:30">
      <c r="A292">
        <v>2357</v>
      </c>
      <c r="B292" t="s">
        <v>831</v>
      </c>
      <c r="C292">
        <v>269</v>
      </c>
      <c r="Y292" s="46"/>
      <c r="Z292" s="46"/>
      <c r="AD292" s="46"/>
    </row>
    <row r="293" spans="1:30">
      <c r="A293">
        <v>2358</v>
      </c>
      <c r="B293" t="s">
        <v>832</v>
      </c>
      <c r="C293">
        <v>8.5</v>
      </c>
      <c r="Y293" s="46"/>
      <c r="Z293" s="46"/>
      <c r="AD293" s="46"/>
    </row>
    <row r="294" spans="1:30">
      <c r="A294">
        <v>2359</v>
      </c>
      <c r="B294" t="s">
        <v>833</v>
      </c>
      <c r="C294">
        <v>15.35</v>
      </c>
      <c r="Y294" s="46"/>
      <c r="Z294" s="46"/>
      <c r="AA294" s="46"/>
      <c r="AD294" s="46"/>
    </row>
    <row r="295" spans="1:30">
      <c r="A295">
        <v>2360</v>
      </c>
      <c r="B295" t="s">
        <v>834</v>
      </c>
      <c r="C295">
        <v>65</v>
      </c>
      <c r="Y295" s="46"/>
      <c r="Z295" s="46"/>
      <c r="AA295" s="46"/>
      <c r="AD295" s="46"/>
    </row>
    <row r="296" spans="1:30">
      <c r="A296">
        <v>2361</v>
      </c>
      <c r="B296" t="s">
        <v>835</v>
      </c>
      <c r="C296">
        <v>0.7</v>
      </c>
      <c r="M296" s="46"/>
      <c r="Y296" s="46"/>
      <c r="Z296" s="46"/>
      <c r="AA296" s="46"/>
      <c r="AD296" s="46"/>
    </row>
    <row r="297" spans="1:30">
      <c r="A297">
        <v>2362</v>
      </c>
      <c r="B297" t="s">
        <v>836</v>
      </c>
      <c r="C297">
        <v>30.4</v>
      </c>
      <c r="Y297" s="46"/>
      <c r="Z297" s="46"/>
      <c r="AA297" s="46"/>
      <c r="AD297" s="46"/>
    </row>
    <row r="298" spans="1:30">
      <c r="A298">
        <v>2363</v>
      </c>
      <c r="B298" t="s">
        <v>837</v>
      </c>
      <c r="C298">
        <v>7.21</v>
      </c>
      <c r="Y298" s="46"/>
      <c r="Z298" s="46"/>
      <c r="AA298" s="46"/>
      <c r="AD298" s="46"/>
    </row>
    <row r="299" spans="1:30">
      <c r="A299">
        <v>2364</v>
      </c>
      <c r="B299" t="s">
        <v>838</v>
      </c>
      <c r="C299">
        <v>2.9</v>
      </c>
      <c r="Y299" s="46"/>
      <c r="Z299" s="46"/>
      <c r="AD299" s="46"/>
    </row>
    <row r="300" spans="1:30">
      <c r="A300">
        <v>2365</v>
      </c>
      <c r="B300" t="s">
        <v>839</v>
      </c>
      <c r="C300">
        <v>9.26</v>
      </c>
      <c r="Y300" s="46"/>
      <c r="Z300" s="46"/>
      <c r="AD300" s="46"/>
    </row>
    <row r="301" spans="1:30">
      <c r="A301">
        <v>2367</v>
      </c>
      <c r="B301" t="s">
        <v>840</v>
      </c>
      <c r="C301">
        <v>12.65</v>
      </c>
      <c r="Y301" s="46"/>
      <c r="Z301" s="46"/>
      <c r="AD301" s="46"/>
    </row>
    <row r="302" spans="1:30">
      <c r="A302">
        <v>2368</v>
      </c>
      <c r="B302" t="s">
        <v>841</v>
      </c>
      <c r="C302">
        <v>9.92</v>
      </c>
      <c r="Y302" s="46"/>
      <c r="Z302" s="46"/>
      <c r="AD302" s="46"/>
    </row>
    <row r="303" spans="1:30">
      <c r="A303">
        <v>2369</v>
      </c>
      <c r="B303" t="s">
        <v>842</v>
      </c>
      <c r="C303">
        <v>9.06</v>
      </c>
      <c r="Y303" s="46"/>
      <c r="Z303" s="46"/>
      <c r="AA303" s="46"/>
      <c r="AD303" s="46"/>
    </row>
    <row r="304" spans="1:30">
      <c r="A304">
        <v>2371</v>
      </c>
      <c r="B304" t="s">
        <v>843</v>
      </c>
      <c r="C304">
        <v>5.45</v>
      </c>
      <c r="Y304" s="46"/>
      <c r="Z304" s="46"/>
      <c r="AD304" s="46"/>
    </row>
    <row r="305" spans="1:30">
      <c r="A305">
        <v>2373</v>
      </c>
      <c r="B305" t="s">
        <v>844</v>
      </c>
      <c r="C305">
        <v>51.6</v>
      </c>
      <c r="Y305" s="46"/>
      <c r="Z305" s="46"/>
      <c r="AD305" s="46"/>
    </row>
    <row r="306" spans="1:30">
      <c r="A306">
        <v>2374</v>
      </c>
      <c r="B306" t="s">
        <v>845</v>
      </c>
      <c r="C306">
        <v>25.1</v>
      </c>
      <c r="Y306" s="46"/>
      <c r="Z306" s="46"/>
      <c r="AD306" s="46"/>
    </row>
    <row r="307" spans="1:30">
      <c r="A307">
        <v>2375</v>
      </c>
      <c r="B307" t="s">
        <v>846</v>
      </c>
      <c r="C307">
        <v>13.75</v>
      </c>
      <c r="Y307" s="46"/>
      <c r="Z307" s="46"/>
      <c r="AD307" s="46"/>
    </row>
    <row r="308" spans="1:30">
      <c r="A308">
        <v>2376</v>
      </c>
      <c r="B308" t="s">
        <v>847</v>
      </c>
      <c r="C308">
        <v>36.75</v>
      </c>
      <c r="Y308" s="46"/>
      <c r="Z308" s="46"/>
      <c r="AD308" s="46"/>
    </row>
    <row r="309" spans="1:30">
      <c r="A309">
        <v>2377</v>
      </c>
      <c r="B309" t="s">
        <v>848</v>
      </c>
      <c r="C309">
        <v>44.4</v>
      </c>
      <c r="Y309" s="46"/>
      <c r="Z309" s="46"/>
      <c r="AA309" s="46"/>
      <c r="AD309" s="46"/>
    </row>
    <row r="310" spans="1:30">
      <c r="A310">
        <v>2379</v>
      </c>
      <c r="B310" t="s">
        <v>849</v>
      </c>
      <c r="C310">
        <v>76.900000000000006</v>
      </c>
      <c r="Y310" s="46"/>
      <c r="Z310" s="46"/>
      <c r="AD310" s="46"/>
    </row>
    <row r="311" spans="1:30">
      <c r="A311">
        <v>2380</v>
      </c>
      <c r="B311" t="s">
        <v>850</v>
      </c>
      <c r="C311">
        <v>7.46</v>
      </c>
      <c r="Y311" s="46"/>
      <c r="Z311" s="46"/>
      <c r="AD311" s="46"/>
    </row>
    <row r="312" spans="1:30">
      <c r="A312">
        <v>2382</v>
      </c>
      <c r="B312" t="s">
        <v>851</v>
      </c>
      <c r="C312">
        <v>56.6</v>
      </c>
      <c r="Y312" s="46"/>
      <c r="Z312" s="46"/>
      <c r="AA312" s="46"/>
      <c r="AD312" s="46"/>
    </row>
    <row r="313" spans="1:30">
      <c r="A313">
        <v>2383</v>
      </c>
      <c r="B313" t="s">
        <v>852</v>
      </c>
      <c r="C313">
        <v>63.4</v>
      </c>
      <c r="Y313" s="46"/>
      <c r="Z313" s="46"/>
      <c r="AA313" s="46"/>
      <c r="AD313" s="46"/>
    </row>
    <row r="314" spans="1:30">
      <c r="A314">
        <v>2385</v>
      </c>
      <c r="B314" t="s">
        <v>853</v>
      </c>
      <c r="C314">
        <v>73.900000000000006</v>
      </c>
      <c r="Y314" s="46"/>
      <c r="Z314" s="46"/>
      <c r="AA314" s="46"/>
      <c r="AD314" s="46"/>
    </row>
    <row r="315" spans="1:30">
      <c r="A315">
        <v>2387</v>
      </c>
      <c r="B315" t="s">
        <v>854</v>
      </c>
      <c r="C315">
        <v>15.25</v>
      </c>
      <c r="Y315" s="46"/>
      <c r="Z315" s="46"/>
      <c r="AA315" s="46"/>
      <c r="AD315" s="46"/>
    </row>
    <row r="316" spans="1:30">
      <c r="A316">
        <v>2388</v>
      </c>
      <c r="B316" t="s">
        <v>855</v>
      </c>
      <c r="C316">
        <v>8</v>
      </c>
      <c r="Y316" s="46"/>
      <c r="Z316" s="46"/>
      <c r="AA316" s="46"/>
      <c r="AD316" s="46"/>
    </row>
    <row r="317" spans="1:30">
      <c r="A317">
        <v>2390</v>
      </c>
      <c r="B317" t="s">
        <v>856</v>
      </c>
      <c r="C317">
        <v>24.05</v>
      </c>
      <c r="Y317" s="46"/>
      <c r="Z317" s="46"/>
      <c r="AA317" s="46"/>
      <c r="AD317" s="46"/>
    </row>
    <row r="318" spans="1:30">
      <c r="A318">
        <v>2392</v>
      </c>
      <c r="B318" t="s">
        <v>857</v>
      </c>
      <c r="C318">
        <v>44.8</v>
      </c>
      <c r="Y318" s="46"/>
      <c r="Z318" s="46"/>
      <c r="AA318" s="46"/>
      <c r="AD318" s="46"/>
    </row>
    <row r="319" spans="1:30">
      <c r="A319">
        <v>2393</v>
      </c>
      <c r="B319" t="s">
        <v>858</v>
      </c>
      <c r="C319">
        <v>45.6</v>
      </c>
      <c r="Y319" s="46"/>
      <c r="Z319" s="46"/>
      <c r="AA319" s="46"/>
      <c r="AD319" s="46"/>
    </row>
    <row r="320" spans="1:30">
      <c r="A320">
        <v>2395</v>
      </c>
      <c r="B320" t="s">
        <v>859</v>
      </c>
      <c r="C320">
        <v>212</v>
      </c>
      <c r="Y320" s="46"/>
      <c r="Z320" s="46"/>
      <c r="AD320" s="46"/>
    </row>
    <row r="321" spans="1:30">
      <c r="A321">
        <v>2397</v>
      </c>
      <c r="B321" t="s">
        <v>860</v>
      </c>
      <c r="C321">
        <v>39.4</v>
      </c>
      <c r="Y321" s="46"/>
      <c r="Z321" s="46"/>
      <c r="AA321" s="46"/>
      <c r="AD321" s="46"/>
    </row>
    <row r="322" spans="1:30">
      <c r="A322">
        <v>2399</v>
      </c>
      <c r="B322" t="s">
        <v>861</v>
      </c>
      <c r="C322">
        <v>7.14</v>
      </c>
      <c r="Y322" s="46"/>
      <c r="Z322" s="46"/>
      <c r="AA322" s="46"/>
      <c r="AD322" s="46"/>
    </row>
    <row r="323" spans="1:30">
      <c r="A323">
        <v>2401</v>
      </c>
      <c r="B323" t="s">
        <v>862</v>
      </c>
      <c r="C323">
        <v>12</v>
      </c>
      <c r="Y323" s="46"/>
      <c r="Z323" s="46"/>
      <c r="AD323" s="46"/>
    </row>
    <row r="324" spans="1:30">
      <c r="A324">
        <v>2402</v>
      </c>
      <c r="B324" t="s">
        <v>863</v>
      </c>
      <c r="C324">
        <v>16.7</v>
      </c>
      <c r="Y324" s="46"/>
      <c r="Z324" s="46"/>
      <c r="AD324" s="46"/>
    </row>
    <row r="325" spans="1:30">
      <c r="A325">
        <v>2404</v>
      </c>
      <c r="B325" t="s">
        <v>864</v>
      </c>
      <c r="C325">
        <v>42.7</v>
      </c>
      <c r="Y325" s="46"/>
      <c r="Z325" s="46"/>
      <c r="AA325" s="46"/>
      <c r="AD325" s="46"/>
    </row>
    <row r="326" spans="1:30">
      <c r="A326">
        <v>2405</v>
      </c>
      <c r="B326" t="s">
        <v>865</v>
      </c>
      <c r="C326">
        <v>7.16</v>
      </c>
      <c r="Y326" s="46"/>
      <c r="Z326" s="46"/>
      <c r="AD326" s="46"/>
    </row>
    <row r="327" spans="1:30">
      <c r="A327">
        <v>2406</v>
      </c>
      <c r="B327" t="s">
        <v>866</v>
      </c>
      <c r="C327">
        <v>38.799999999999997</v>
      </c>
      <c r="Y327" s="46"/>
      <c r="Z327" s="46"/>
      <c r="AD327" s="46"/>
    </row>
    <row r="328" spans="1:30">
      <c r="A328">
        <v>2408</v>
      </c>
      <c r="B328" t="s">
        <v>867</v>
      </c>
      <c r="C328">
        <v>41.45</v>
      </c>
      <c r="Y328" s="46"/>
      <c r="Z328" s="46"/>
      <c r="AD328" s="46"/>
    </row>
    <row r="329" spans="1:30">
      <c r="A329">
        <v>2409</v>
      </c>
      <c r="B329" t="s">
        <v>868</v>
      </c>
      <c r="C329">
        <v>8.75</v>
      </c>
      <c r="Y329" s="46"/>
      <c r="Z329" s="46"/>
      <c r="AD329" s="46"/>
    </row>
    <row r="330" spans="1:30">
      <c r="A330">
        <v>2412</v>
      </c>
      <c r="B330" t="s">
        <v>869</v>
      </c>
      <c r="C330">
        <v>99</v>
      </c>
      <c r="Y330" s="46"/>
      <c r="Z330" s="46"/>
      <c r="AD330" s="46"/>
    </row>
    <row r="331" spans="1:30">
      <c r="A331">
        <v>2413</v>
      </c>
      <c r="B331" t="s">
        <v>870</v>
      </c>
      <c r="C331">
        <v>15.2</v>
      </c>
      <c r="Y331" s="46"/>
      <c r="Z331" s="46"/>
      <c r="AD331" s="46"/>
    </row>
    <row r="332" spans="1:30">
      <c r="A332">
        <v>2414</v>
      </c>
      <c r="B332" t="s">
        <v>871</v>
      </c>
      <c r="C332">
        <v>16.350000000000001</v>
      </c>
      <c r="Y332" s="46"/>
      <c r="Z332" s="46"/>
      <c r="AA332" s="46"/>
      <c r="AD332" s="46"/>
    </row>
    <row r="333" spans="1:30">
      <c r="A333">
        <v>2415</v>
      </c>
      <c r="B333" t="s">
        <v>872</v>
      </c>
      <c r="C333">
        <v>12.45</v>
      </c>
      <c r="Y333" s="46"/>
      <c r="Z333" s="46"/>
      <c r="AA333" s="46"/>
      <c r="AD333" s="46"/>
    </row>
    <row r="334" spans="1:30">
      <c r="A334">
        <v>2417</v>
      </c>
      <c r="B334" t="s">
        <v>873</v>
      </c>
      <c r="C334">
        <v>9.77</v>
      </c>
      <c r="Y334" s="46"/>
      <c r="Z334" s="46"/>
      <c r="AD334" s="46"/>
    </row>
    <row r="335" spans="1:30">
      <c r="A335">
        <v>2419</v>
      </c>
      <c r="B335" t="s">
        <v>874</v>
      </c>
      <c r="C335">
        <v>13.85</v>
      </c>
      <c r="Y335" s="46"/>
      <c r="Z335" s="46"/>
      <c r="AA335" s="46"/>
      <c r="AD335" s="46"/>
    </row>
    <row r="336" spans="1:30">
      <c r="A336">
        <v>2420</v>
      </c>
      <c r="B336" t="s">
        <v>875</v>
      </c>
      <c r="C336">
        <v>46.45</v>
      </c>
      <c r="Y336" s="46"/>
      <c r="Z336" s="46"/>
      <c r="AA336" s="46"/>
      <c r="AD336" s="46"/>
    </row>
    <row r="337" spans="1:30">
      <c r="A337">
        <v>2421</v>
      </c>
      <c r="B337" t="s">
        <v>876</v>
      </c>
      <c r="C337">
        <v>18.399999999999999</v>
      </c>
      <c r="Y337" s="46"/>
      <c r="Z337" s="46"/>
      <c r="AA337" s="46"/>
      <c r="AD337" s="46"/>
    </row>
    <row r="338" spans="1:30">
      <c r="A338">
        <v>2423</v>
      </c>
      <c r="B338" t="s">
        <v>877</v>
      </c>
      <c r="C338">
        <v>16.649999999999999</v>
      </c>
      <c r="Y338" s="46"/>
      <c r="Z338" s="46"/>
      <c r="AA338" s="46"/>
      <c r="AD338" s="46"/>
    </row>
    <row r="339" spans="1:30">
      <c r="A339">
        <v>2424</v>
      </c>
      <c r="B339" t="s">
        <v>878</v>
      </c>
      <c r="C339" t="s">
        <v>1902</v>
      </c>
      <c r="Y339" s="46"/>
      <c r="Z339" s="46"/>
      <c r="AA339" s="46"/>
      <c r="AD339" s="46"/>
    </row>
    <row r="340" spans="1:30">
      <c r="A340">
        <v>2425</v>
      </c>
      <c r="B340" t="s">
        <v>879</v>
      </c>
      <c r="C340">
        <v>20.149999999999999</v>
      </c>
      <c r="Y340" s="46"/>
      <c r="Z340" s="46"/>
      <c r="AA340" s="46"/>
      <c r="AD340" s="46"/>
    </row>
    <row r="341" spans="1:30">
      <c r="A341">
        <v>2426</v>
      </c>
      <c r="B341" t="s">
        <v>880</v>
      </c>
      <c r="C341">
        <v>16.600000000000001</v>
      </c>
      <c r="Y341" s="46"/>
      <c r="Z341" s="46"/>
      <c r="AA341" s="46"/>
      <c r="AD341" s="46"/>
    </row>
    <row r="342" spans="1:30">
      <c r="A342">
        <v>2427</v>
      </c>
      <c r="B342" t="s">
        <v>881</v>
      </c>
      <c r="C342">
        <v>6.16</v>
      </c>
      <c r="Y342" s="46"/>
      <c r="Z342" s="46"/>
      <c r="AA342" s="46"/>
      <c r="AD342" s="46"/>
    </row>
    <row r="343" spans="1:30">
      <c r="A343">
        <v>2428</v>
      </c>
      <c r="B343" t="s">
        <v>882</v>
      </c>
      <c r="C343">
        <v>54.4</v>
      </c>
      <c r="Y343" s="46"/>
      <c r="Z343" s="46"/>
      <c r="AA343" s="46"/>
      <c r="AD343" s="46"/>
    </row>
    <row r="344" spans="1:30">
      <c r="A344">
        <v>2429</v>
      </c>
      <c r="B344" t="s">
        <v>883</v>
      </c>
      <c r="C344" t="s">
        <v>1902</v>
      </c>
      <c r="Y344" s="46"/>
      <c r="Z344" s="46"/>
      <c r="AA344" s="46"/>
      <c r="AD344" s="46"/>
    </row>
    <row r="345" spans="1:30">
      <c r="A345">
        <v>2430</v>
      </c>
      <c r="B345" t="s">
        <v>884</v>
      </c>
      <c r="C345">
        <v>21.45</v>
      </c>
      <c r="Y345" s="46"/>
      <c r="Z345" s="46"/>
      <c r="AA345" s="46"/>
      <c r="AD345" s="46"/>
    </row>
    <row r="346" spans="1:30">
      <c r="A346">
        <v>2431</v>
      </c>
      <c r="B346" t="s">
        <v>885</v>
      </c>
      <c r="C346">
        <v>16.149999999999999</v>
      </c>
      <c r="Y346" s="46"/>
      <c r="Z346" s="46"/>
      <c r="AA346" s="46"/>
      <c r="AD346" s="46"/>
    </row>
    <row r="347" spans="1:30">
      <c r="A347">
        <v>2433</v>
      </c>
      <c r="B347" t="s">
        <v>886</v>
      </c>
      <c r="C347">
        <v>44.5</v>
      </c>
      <c r="Y347" s="46"/>
      <c r="Z347" s="46"/>
      <c r="AD347" s="46"/>
    </row>
    <row r="348" spans="1:30">
      <c r="A348">
        <v>2434</v>
      </c>
      <c r="B348" t="s">
        <v>887</v>
      </c>
      <c r="C348">
        <v>5.83</v>
      </c>
      <c r="Y348" s="46"/>
      <c r="Z348" s="46"/>
      <c r="AD348" s="46"/>
    </row>
    <row r="349" spans="1:30">
      <c r="A349">
        <v>2436</v>
      </c>
      <c r="B349" t="s">
        <v>888</v>
      </c>
      <c r="C349">
        <v>21.25</v>
      </c>
      <c r="Y349" s="46"/>
      <c r="Z349" s="46"/>
      <c r="AA349" s="46"/>
      <c r="AD349" s="46"/>
    </row>
    <row r="350" spans="1:30">
      <c r="A350">
        <v>2437</v>
      </c>
      <c r="B350" t="s">
        <v>889</v>
      </c>
      <c r="C350">
        <v>49.8</v>
      </c>
      <c r="Y350" s="46"/>
      <c r="Z350" s="46"/>
      <c r="AD350" s="46"/>
    </row>
    <row r="351" spans="1:30">
      <c r="A351">
        <v>2438</v>
      </c>
      <c r="B351" t="s">
        <v>890</v>
      </c>
      <c r="C351">
        <v>14.9</v>
      </c>
      <c r="Y351" s="46"/>
      <c r="Z351" s="46"/>
      <c r="AD351" s="46"/>
    </row>
    <row r="352" spans="1:30">
      <c r="A352">
        <v>2439</v>
      </c>
      <c r="B352" t="s">
        <v>891</v>
      </c>
      <c r="C352">
        <v>70.900000000000006</v>
      </c>
      <c r="M352" s="46"/>
      <c r="Y352" s="46"/>
      <c r="Z352" s="46"/>
      <c r="AD352" s="46"/>
    </row>
    <row r="353" spans="1:30">
      <c r="A353">
        <v>2440</v>
      </c>
      <c r="B353" t="s">
        <v>892</v>
      </c>
      <c r="C353">
        <v>7.89</v>
      </c>
      <c r="Y353" s="46"/>
      <c r="Z353" s="46"/>
      <c r="AD353" s="46"/>
    </row>
    <row r="354" spans="1:30">
      <c r="A354">
        <v>2441</v>
      </c>
      <c r="B354" t="s">
        <v>893</v>
      </c>
      <c r="C354">
        <v>33.299999999999997</v>
      </c>
      <c r="Y354" s="46"/>
      <c r="Z354" s="46"/>
      <c r="AD354" s="46"/>
    </row>
    <row r="355" spans="1:30">
      <c r="A355">
        <v>2442</v>
      </c>
      <c r="B355" t="s">
        <v>894</v>
      </c>
      <c r="C355">
        <v>6.58</v>
      </c>
      <c r="Y355" s="46"/>
      <c r="Z355" s="46"/>
      <c r="AD355" s="46"/>
    </row>
    <row r="356" spans="1:30">
      <c r="A356">
        <v>2443</v>
      </c>
      <c r="B356" t="s">
        <v>895</v>
      </c>
      <c r="C356">
        <v>7.82</v>
      </c>
      <c r="Y356" s="46"/>
      <c r="Z356" s="46"/>
      <c r="AD356" s="46"/>
    </row>
    <row r="357" spans="1:30">
      <c r="A357">
        <v>2444</v>
      </c>
      <c r="B357" t="s">
        <v>896</v>
      </c>
      <c r="C357">
        <v>9.36</v>
      </c>
      <c r="Y357" s="46"/>
      <c r="Z357" s="46"/>
      <c r="AD357" s="46"/>
    </row>
    <row r="358" spans="1:30">
      <c r="A358">
        <v>2448</v>
      </c>
      <c r="B358" t="s">
        <v>897</v>
      </c>
      <c r="C358">
        <v>23.2</v>
      </c>
      <c r="Y358" s="46"/>
      <c r="Z358" s="46"/>
      <c r="AD358" s="46"/>
    </row>
    <row r="359" spans="1:30">
      <c r="A359">
        <v>2449</v>
      </c>
      <c r="B359" t="s">
        <v>898</v>
      </c>
      <c r="C359">
        <v>20.55</v>
      </c>
      <c r="Y359" s="46"/>
      <c r="Z359" s="46"/>
      <c r="AD359" s="46"/>
    </row>
    <row r="360" spans="1:30">
      <c r="A360">
        <v>2450</v>
      </c>
      <c r="B360" t="s">
        <v>899</v>
      </c>
      <c r="C360">
        <v>39.6</v>
      </c>
      <c r="Y360" s="46"/>
      <c r="Z360" s="46"/>
      <c r="AD360" s="46"/>
    </row>
    <row r="361" spans="1:30">
      <c r="A361">
        <v>2451</v>
      </c>
      <c r="B361" t="s">
        <v>900</v>
      </c>
      <c r="C361">
        <v>85</v>
      </c>
      <c r="Y361" s="46"/>
      <c r="Z361" s="46"/>
      <c r="AD361" s="46"/>
    </row>
    <row r="362" spans="1:30">
      <c r="A362">
        <v>2453</v>
      </c>
      <c r="B362" t="s">
        <v>901</v>
      </c>
      <c r="C362">
        <v>10.9</v>
      </c>
      <c r="Y362" s="46"/>
      <c r="Z362" s="46"/>
      <c r="AD362" s="46"/>
    </row>
    <row r="363" spans="1:30">
      <c r="A363">
        <v>2454</v>
      </c>
      <c r="B363" t="s">
        <v>902</v>
      </c>
      <c r="C363">
        <v>269</v>
      </c>
      <c r="Y363" s="46"/>
      <c r="Z363" s="46"/>
      <c r="AA363" s="46"/>
      <c r="AD363" s="46"/>
    </row>
    <row r="364" spans="1:30">
      <c r="A364">
        <v>2455</v>
      </c>
      <c r="B364" t="s">
        <v>903</v>
      </c>
      <c r="C364">
        <v>45.2</v>
      </c>
      <c r="Y364" s="46"/>
      <c r="Z364" s="46"/>
      <c r="AD364" s="46"/>
    </row>
    <row r="365" spans="1:30">
      <c r="A365">
        <v>2456</v>
      </c>
      <c r="B365" t="s">
        <v>904</v>
      </c>
      <c r="C365">
        <v>59.4</v>
      </c>
      <c r="M365" s="46"/>
      <c r="Y365" s="46"/>
      <c r="Z365" s="46"/>
      <c r="AD365" s="46"/>
    </row>
    <row r="366" spans="1:30">
      <c r="A366">
        <v>2457</v>
      </c>
      <c r="B366" t="s">
        <v>905</v>
      </c>
      <c r="C366">
        <v>11.75</v>
      </c>
      <c r="Y366" s="46"/>
      <c r="Z366" s="46"/>
      <c r="AD366" s="46"/>
    </row>
    <row r="367" spans="1:30">
      <c r="A367">
        <v>2458</v>
      </c>
      <c r="B367" t="s">
        <v>906</v>
      </c>
      <c r="C367">
        <v>40.6</v>
      </c>
      <c r="Y367" s="46"/>
      <c r="Z367" s="46"/>
      <c r="AD367" s="46"/>
    </row>
    <row r="368" spans="1:30">
      <c r="A368">
        <v>2459</v>
      </c>
      <c r="B368" t="s">
        <v>907</v>
      </c>
      <c r="C368">
        <v>33.4</v>
      </c>
      <c r="Y368" s="46"/>
      <c r="Z368" s="46"/>
      <c r="AD368" s="46"/>
    </row>
    <row r="369" spans="1:30">
      <c r="A369">
        <v>2460</v>
      </c>
      <c r="B369" t="s">
        <v>908</v>
      </c>
      <c r="C369">
        <v>9.15</v>
      </c>
      <c r="Y369" s="46"/>
      <c r="Z369" s="46"/>
      <c r="AD369" s="46"/>
    </row>
    <row r="370" spans="1:30">
      <c r="A370">
        <v>2461</v>
      </c>
      <c r="B370" t="s">
        <v>909</v>
      </c>
      <c r="C370">
        <v>14</v>
      </c>
      <c r="Y370" s="46"/>
      <c r="Z370" s="46"/>
      <c r="AA370" s="46"/>
      <c r="AD370" s="46"/>
    </row>
    <row r="371" spans="1:30">
      <c r="A371">
        <v>2462</v>
      </c>
      <c r="B371" t="s">
        <v>910</v>
      </c>
      <c r="C371">
        <v>18.2</v>
      </c>
      <c r="Y371" s="46"/>
      <c r="Z371" s="46"/>
      <c r="AD371" s="46"/>
    </row>
    <row r="372" spans="1:30">
      <c r="A372">
        <v>2464</v>
      </c>
      <c r="B372" t="s">
        <v>911</v>
      </c>
      <c r="C372">
        <v>29.5</v>
      </c>
      <c r="Y372" s="46"/>
      <c r="Z372" s="46"/>
      <c r="AA372" s="46"/>
      <c r="AD372" s="46"/>
    </row>
    <row r="373" spans="1:30">
      <c r="A373">
        <v>2465</v>
      </c>
      <c r="B373" t="s">
        <v>912</v>
      </c>
      <c r="C373">
        <v>10.3</v>
      </c>
      <c r="Y373" s="46"/>
      <c r="Z373" s="46"/>
      <c r="AA373" s="46"/>
      <c r="AD373" s="46"/>
    </row>
    <row r="374" spans="1:30">
      <c r="A374">
        <v>2466</v>
      </c>
      <c r="B374" t="s">
        <v>913</v>
      </c>
      <c r="C374">
        <v>29.4</v>
      </c>
      <c r="Y374" s="46"/>
      <c r="Z374" s="46"/>
      <c r="AA374" s="46"/>
      <c r="AD374" s="46"/>
    </row>
    <row r="375" spans="1:30">
      <c r="A375">
        <v>2467</v>
      </c>
      <c r="B375" t="s">
        <v>914</v>
      </c>
      <c r="C375">
        <v>12.3</v>
      </c>
      <c r="Y375" s="46"/>
      <c r="Z375" s="46"/>
      <c r="AA375" s="46"/>
      <c r="AD375" s="46"/>
    </row>
    <row r="376" spans="1:30">
      <c r="A376">
        <v>2468</v>
      </c>
      <c r="B376" t="s">
        <v>915</v>
      </c>
      <c r="C376">
        <v>10.35</v>
      </c>
      <c r="Y376" s="46"/>
      <c r="Z376" s="46"/>
      <c r="AA376" s="46"/>
      <c r="AD376" s="46"/>
    </row>
    <row r="377" spans="1:30">
      <c r="A377">
        <v>2471</v>
      </c>
      <c r="B377" t="s">
        <v>916</v>
      </c>
      <c r="C377">
        <v>13.25</v>
      </c>
      <c r="Y377" s="46"/>
      <c r="Z377" s="46"/>
      <c r="AA377" s="46"/>
      <c r="AD377" s="46"/>
    </row>
    <row r="378" spans="1:30">
      <c r="A378">
        <v>2472</v>
      </c>
      <c r="B378" t="s">
        <v>1854</v>
      </c>
      <c r="C378">
        <v>31.8</v>
      </c>
      <c r="Y378" s="46"/>
      <c r="Z378" s="46"/>
      <c r="AD378" s="46"/>
    </row>
    <row r="379" spans="1:30">
      <c r="A379">
        <v>2474</v>
      </c>
      <c r="B379" t="s">
        <v>917</v>
      </c>
      <c r="C379">
        <v>317.5</v>
      </c>
      <c r="Y379" s="46"/>
      <c r="Z379" s="46"/>
      <c r="AD379" s="46"/>
    </row>
    <row r="380" spans="1:30">
      <c r="A380">
        <v>2475</v>
      </c>
      <c r="B380" t="s">
        <v>918</v>
      </c>
      <c r="C380">
        <v>0.71</v>
      </c>
      <c r="Y380" s="46"/>
      <c r="Z380" s="46"/>
      <c r="AA380" s="46"/>
      <c r="AD380" s="46"/>
    </row>
    <row r="381" spans="1:30">
      <c r="A381">
        <v>2476</v>
      </c>
      <c r="B381" t="s">
        <v>919</v>
      </c>
      <c r="C381">
        <v>22.05</v>
      </c>
      <c r="Y381" s="46"/>
      <c r="Z381" s="46"/>
      <c r="AA381" s="46"/>
      <c r="AD381" s="46"/>
    </row>
    <row r="382" spans="1:30">
      <c r="A382">
        <v>2477</v>
      </c>
      <c r="B382" t="s">
        <v>920</v>
      </c>
      <c r="C382">
        <v>12.35</v>
      </c>
      <c r="Y382" s="46"/>
      <c r="Z382" s="46"/>
      <c r="AA382" s="46"/>
      <c r="AD382" s="46"/>
    </row>
    <row r="383" spans="1:30">
      <c r="A383">
        <v>2478</v>
      </c>
      <c r="B383" t="s">
        <v>921</v>
      </c>
      <c r="C383">
        <v>14.5</v>
      </c>
      <c r="Y383" s="46"/>
      <c r="Z383" s="46"/>
      <c r="AA383" s="46"/>
      <c r="AD383" s="46"/>
    </row>
    <row r="384" spans="1:30">
      <c r="A384">
        <v>2480</v>
      </c>
      <c r="B384" t="s">
        <v>922</v>
      </c>
      <c r="C384">
        <v>25.2</v>
      </c>
      <c r="Y384" s="46"/>
      <c r="Z384" s="46"/>
      <c r="AA384" s="46"/>
      <c r="AD384" s="46"/>
    </row>
    <row r="385" spans="1:30">
      <c r="A385">
        <v>2481</v>
      </c>
      <c r="B385" t="s">
        <v>923</v>
      </c>
      <c r="C385">
        <v>15.3</v>
      </c>
      <c r="Y385" s="46"/>
      <c r="Z385" s="46"/>
      <c r="AA385" s="46"/>
      <c r="AD385" s="46"/>
    </row>
    <row r="386" spans="1:30">
      <c r="A386">
        <v>2482</v>
      </c>
      <c r="B386" t="s">
        <v>924</v>
      </c>
      <c r="C386">
        <v>13.9</v>
      </c>
      <c r="Y386" s="46"/>
      <c r="Z386" s="46"/>
      <c r="AA386" s="46"/>
      <c r="AD386" s="46"/>
    </row>
    <row r="387" spans="1:30">
      <c r="A387">
        <v>2483</v>
      </c>
      <c r="B387" t="s">
        <v>925</v>
      </c>
      <c r="C387">
        <v>19.100000000000001</v>
      </c>
      <c r="Y387" s="46"/>
      <c r="Z387" s="46"/>
      <c r="AA387" s="46"/>
      <c r="AD387" s="46"/>
    </row>
    <row r="388" spans="1:30">
      <c r="A388">
        <v>2484</v>
      </c>
      <c r="B388" t="s">
        <v>926</v>
      </c>
      <c r="C388">
        <v>20.6</v>
      </c>
      <c r="Y388" s="46"/>
      <c r="Z388" s="46"/>
      <c r="AD388" s="46"/>
    </row>
    <row r="389" spans="1:30">
      <c r="A389">
        <v>2485</v>
      </c>
      <c r="B389" t="s">
        <v>927</v>
      </c>
      <c r="C389">
        <v>49.1</v>
      </c>
      <c r="Y389" s="46"/>
      <c r="Z389" s="46"/>
      <c r="AD389" s="46"/>
    </row>
    <row r="390" spans="1:30">
      <c r="A390">
        <v>2486</v>
      </c>
      <c r="B390" t="s">
        <v>928</v>
      </c>
      <c r="C390">
        <v>10.199999999999999</v>
      </c>
      <c r="Y390" s="46"/>
      <c r="Z390" s="46"/>
      <c r="AD390" s="46"/>
    </row>
    <row r="391" spans="1:30">
      <c r="A391">
        <v>2488</v>
      </c>
      <c r="B391" t="s">
        <v>929</v>
      </c>
      <c r="C391">
        <v>26.9</v>
      </c>
      <c r="Y391" s="46"/>
      <c r="Z391" s="46"/>
      <c r="AD391" s="46"/>
    </row>
    <row r="392" spans="1:30">
      <c r="A392">
        <v>2489</v>
      </c>
      <c r="B392" t="s">
        <v>930</v>
      </c>
      <c r="C392">
        <v>15.3</v>
      </c>
      <c r="Y392" s="46"/>
      <c r="Z392" s="46"/>
      <c r="AA392" s="46"/>
      <c r="AD392" s="46"/>
    </row>
    <row r="393" spans="1:30">
      <c r="A393">
        <v>2491</v>
      </c>
      <c r="B393" t="s">
        <v>931</v>
      </c>
      <c r="C393">
        <v>8.43</v>
      </c>
      <c r="Y393" s="46"/>
      <c r="Z393" s="46"/>
      <c r="AA393" s="46"/>
      <c r="AD393" s="46"/>
    </row>
    <row r="394" spans="1:30">
      <c r="A394">
        <v>2492</v>
      </c>
      <c r="B394" t="s">
        <v>932</v>
      </c>
      <c r="C394">
        <v>19.05</v>
      </c>
      <c r="Y394" s="46"/>
      <c r="Z394" s="46"/>
      <c r="AA394" s="46"/>
      <c r="AD394" s="46"/>
    </row>
    <row r="395" spans="1:30">
      <c r="A395">
        <v>2493</v>
      </c>
      <c r="B395" t="s">
        <v>933</v>
      </c>
      <c r="C395">
        <v>23.1</v>
      </c>
      <c r="Y395" s="46"/>
      <c r="Z395" s="46"/>
      <c r="AA395" s="46"/>
      <c r="AD395" s="46"/>
    </row>
    <row r="396" spans="1:30">
      <c r="A396">
        <v>2495</v>
      </c>
      <c r="B396" t="s">
        <v>934</v>
      </c>
      <c r="C396">
        <v>14.3</v>
      </c>
      <c r="Y396" s="46"/>
      <c r="Z396" s="46"/>
      <c r="AA396" s="46"/>
      <c r="AD396" s="46"/>
    </row>
    <row r="397" spans="1:30">
      <c r="A397">
        <v>2496</v>
      </c>
      <c r="B397" t="s">
        <v>935</v>
      </c>
      <c r="C397">
        <v>15.25</v>
      </c>
      <c r="Y397" s="46"/>
      <c r="Z397" s="46"/>
      <c r="AA397" s="46"/>
      <c r="AD397" s="46"/>
    </row>
    <row r="398" spans="1:30">
      <c r="A398">
        <v>2497</v>
      </c>
      <c r="B398" t="s">
        <v>936</v>
      </c>
      <c r="C398">
        <v>38.9</v>
      </c>
      <c r="Y398" s="46"/>
      <c r="Z398" s="46"/>
      <c r="AA398" s="46"/>
      <c r="AD398" s="46"/>
    </row>
    <row r="399" spans="1:30">
      <c r="A399">
        <v>2498</v>
      </c>
      <c r="B399" t="s">
        <v>937</v>
      </c>
      <c r="C399">
        <v>82.4</v>
      </c>
      <c r="Y399" s="46"/>
      <c r="Z399" s="46"/>
      <c r="AA399" s="46"/>
      <c r="AD399" s="46"/>
    </row>
    <row r="400" spans="1:30">
      <c r="A400">
        <v>2499</v>
      </c>
      <c r="B400" t="s">
        <v>938</v>
      </c>
      <c r="C400">
        <v>20.149999999999999</v>
      </c>
      <c r="Y400" s="46"/>
      <c r="Z400" s="46"/>
      <c r="AA400" s="46"/>
      <c r="AD400" s="46"/>
    </row>
    <row r="401" spans="1:30">
      <c r="A401">
        <v>2501</v>
      </c>
      <c r="B401" t="s">
        <v>939</v>
      </c>
      <c r="C401">
        <v>13.4</v>
      </c>
      <c r="Y401" s="46"/>
      <c r="Z401" s="46"/>
      <c r="AA401" s="46"/>
      <c r="AD401" s="46"/>
    </row>
    <row r="402" spans="1:30">
      <c r="A402">
        <v>2504</v>
      </c>
      <c r="B402" t="s">
        <v>940</v>
      </c>
      <c r="C402">
        <v>9.48</v>
      </c>
      <c r="Y402" s="46"/>
      <c r="Z402" s="46"/>
      <c r="AA402" s="46"/>
      <c r="AD402" s="46"/>
    </row>
    <row r="403" spans="1:30">
      <c r="A403">
        <v>2505</v>
      </c>
      <c r="B403" t="s">
        <v>941</v>
      </c>
      <c r="C403">
        <v>10.85</v>
      </c>
      <c r="Y403" s="46"/>
      <c r="Z403" s="46"/>
      <c r="AA403" s="46"/>
      <c r="AD403" s="46"/>
    </row>
    <row r="404" spans="1:30">
      <c r="A404">
        <v>2506</v>
      </c>
      <c r="B404" t="s">
        <v>942</v>
      </c>
      <c r="C404">
        <v>16.3</v>
      </c>
      <c r="Y404" s="46"/>
      <c r="Z404" s="46"/>
      <c r="AA404" s="46"/>
      <c r="AD404" s="46"/>
    </row>
    <row r="405" spans="1:30">
      <c r="A405">
        <v>2509</v>
      </c>
      <c r="B405" t="s">
        <v>943</v>
      </c>
      <c r="C405">
        <v>23.2</v>
      </c>
      <c r="Y405" s="46"/>
      <c r="Z405" s="46"/>
      <c r="AD405" s="46"/>
    </row>
    <row r="406" spans="1:30">
      <c r="A406">
        <v>2511</v>
      </c>
      <c r="B406" t="s">
        <v>944</v>
      </c>
      <c r="C406">
        <v>9.24</v>
      </c>
      <c r="Y406" s="46"/>
      <c r="Z406" s="46"/>
      <c r="AA406" s="46"/>
      <c r="AD406" s="46"/>
    </row>
    <row r="407" spans="1:30">
      <c r="A407">
        <v>2514</v>
      </c>
      <c r="B407" t="s">
        <v>945</v>
      </c>
      <c r="C407">
        <v>20.45</v>
      </c>
      <c r="Y407" s="46"/>
      <c r="Z407" s="46"/>
      <c r="AA407" s="46"/>
      <c r="AD407" s="46"/>
    </row>
    <row r="408" spans="1:30">
      <c r="A408">
        <v>2515</v>
      </c>
      <c r="B408" t="s">
        <v>946</v>
      </c>
      <c r="C408">
        <v>7.01</v>
      </c>
      <c r="Y408" s="46"/>
      <c r="Z408" s="46"/>
      <c r="AD408" s="46"/>
    </row>
    <row r="409" spans="1:30">
      <c r="A409">
        <v>2516</v>
      </c>
      <c r="B409" t="s">
        <v>947</v>
      </c>
      <c r="C409">
        <v>6.2</v>
      </c>
      <c r="Y409" s="46"/>
      <c r="Z409" s="46"/>
      <c r="AD409" s="46"/>
    </row>
    <row r="410" spans="1:30">
      <c r="A410">
        <v>2520</v>
      </c>
      <c r="B410" t="s">
        <v>948</v>
      </c>
      <c r="C410">
        <v>16.149999999999999</v>
      </c>
      <c r="Y410" s="46"/>
      <c r="Z410" s="46"/>
      <c r="AA410" s="46"/>
      <c r="AD410" s="46"/>
    </row>
    <row r="411" spans="1:30">
      <c r="A411">
        <v>2524</v>
      </c>
      <c r="B411" t="s">
        <v>949</v>
      </c>
      <c r="C411">
        <v>15.95</v>
      </c>
      <c r="Y411" s="46"/>
      <c r="Z411" s="46"/>
      <c r="AA411" s="46"/>
      <c r="AD411" s="46"/>
    </row>
    <row r="412" spans="1:30">
      <c r="A412">
        <v>2527</v>
      </c>
      <c r="B412" t="s">
        <v>950</v>
      </c>
      <c r="C412">
        <v>16.149999999999999</v>
      </c>
      <c r="Y412" s="46"/>
      <c r="Z412" s="46"/>
      <c r="AA412" s="46"/>
      <c r="AD412" s="46"/>
    </row>
    <row r="413" spans="1:30">
      <c r="A413">
        <v>2528</v>
      </c>
      <c r="B413" t="s">
        <v>951</v>
      </c>
      <c r="C413">
        <v>9.07</v>
      </c>
      <c r="Y413" s="46"/>
      <c r="Z413" s="46"/>
      <c r="AA413" s="46"/>
      <c r="AD413" s="46"/>
    </row>
    <row r="414" spans="1:30">
      <c r="A414">
        <v>2530</v>
      </c>
      <c r="B414" t="s">
        <v>952</v>
      </c>
      <c r="C414">
        <v>15.6</v>
      </c>
      <c r="Y414" s="46"/>
      <c r="Z414" s="46"/>
      <c r="AD414" s="46"/>
    </row>
    <row r="415" spans="1:30">
      <c r="A415">
        <v>2534</v>
      </c>
      <c r="B415" t="s">
        <v>953</v>
      </c>
      <c r="C415">
        <v>16.75</v>
      </c>
      <c r="Y415" s="46"/>
      <c r="Z415" s="46"/>
      <c r="AA415" s="46"/>
      <c r="AD415" s="46"/>
    </row>
    <row r="416" spans="1:30">
      <c r="A416">
        <v>2535</v>
      </c>
      <c r="B416" t="s">
        <v>954</v>
      </c>
      <c r="C416">
        <v>14.4</v>
      </c>
      <c r="Y416" s="46"/>
      <c r="Z416" s="46"/>
      <c r="AA416" s="46"/>
      <c r="AD416" s="46"/>
    </row>
    <row r="417" spans="1:30">
      <c r="A417">
        <v>2536</v>
      </c>
      <c r="B417" t="s">
        <v>955</v>
      </c>
      <c r="C417">
        <v>21.95</v>
      </c>
      <c r="Y417" s="46"/>
      <c r="Z417" s="46"/>
      <c r="AD417" s="46"/>
    </row>
    <row r="418" spans="1:30">
      <c r="A418">
        <v>2537</v>
      </c>
      <c r="B418" t="s">
        <v>956</v>
      </c>
      <c r="C418">
        <v>8.2899999999999991</v>
      </c>
      <c r="Y418" s="46"/>
      <c r="Z418" s="46"/>
      <c r="AD418" s="46"/>
    </row>
    <row r="419" spans="1:30">
      <c r="A419">
        <v>2538</v>
      </c>
      <c r="B419" t="s">
        <v>957</v>
      </c>
      <c r="C419">
        <v>15.45</v>
      </c>
      <c r="Y419" s="46"/>
      <c r="Z419" s="46"/>
      <c r="AD419" s="46"/>
    </row>
    <row r="420" spans="1:30">
      <c r="A420">
        <v>2539</v>
      </c>
      <c r="B420" t="s">
        <v>958</v>
      </c>
      <c r="C420">
        <v>23.9</v>
      </c>
      <c r="Y420" s="46"/>
      <c r="Z420" s="46"/>
      <c r="AD420" s="46"/>
    </row>
    <row r="421" spans="1:30">
      <c r="A421">
        <v>2540</v>
      </c>
      <c r="B421" t="s">
        <v>959</v>
      </c>
      <c r="C421">
        <v>29.05</v>
      </c>
      <c r="Y421" s="46"/>
      <c r="Z421" s="46"/>
      <c r="AD421" s="46"/>
    </row>
    <row r="422" spans="1:30">
      <c r="A422">
        <v>2542</v>
      </c>
      <c r="B422" t="s">
        <v>960</v>
      </c>
      <c r="C422">
        <v>38.4</v>
      </c>
      <c r="Y422" s="46"/>
      <c r="Z422" s="46"/>
      <c r="AA422" s="46"/>
      <c r="AD422" s="46"/>
    </row>
    <row r="423" spans="1:30">
      <c r="A423">
        <v>2543</v>
      </c>
      <c r="B423" t="s">
        <v>961</v>
      </c>
      <c r="C423">
        <v>8.27</v>
      </c>
      <c r="Y423" s="46"/>
      <c r="Z423" s="46"/>
      <c r="AA423" s="46"/>
      <c r="AD423" s="46"/>
    </row>
    <row r="424" spans="1:30">
      <c r="A424">
        <v>2545</v>
      </c>
      <c r="B424" t="s">
        <v>962</v>
      </c>
      <c r="C424">
        <v>25.55</v>
      </c>
      <c r="Y424" s="46"/>
      <c r="Z424" s="46"/>
      <c r="AA424" s="46"/>
      <c r="AD424" s="46"/>
    </row>
    <row r="425" spans="1:30">
      <c r="A425">
        <v>2546</v>
      </c>
      <c r="B425" t="s">
        <v>963</v>
      </c>
      <c r="C425">
        <v>14.95</v>
      </c>
      <c r="Y425" s="46"/>
      <c r="Z425" s="46"/>
      <c r="AA425" s="46"/>
      <c r="AD425" s="46"/>
    </row>
    <row r="426" spans="1:30">
      <c r="A426">
        <v>2547</v>
      </c>
      <c r="B426" t="s">
        <v>964</v>
      </c>
      <c r="C426">
        <v>11.6</v>
      </c>
      <c r="Y426" s="46"/>
      <c r="Z426" s="46"/>
      <c r="AA426" s="46"/>
      <c r="AD426" s="46"/>
    </row>
    <row r="427" spans="1:30">
      <c r="A427">
        <v>2548</v>
      </c>
      <c r="B427" t="s">
        <v>965</v>
      </c>
      <c r="C427">
        <v>60.9</v>
      </c>
      <c r="Y427" s="46"/>
      <c r="Z427" s="46"/>
      <c r="AA427" s="46"/>
      <c r="AD427" s="46"/>
    </row>
    <row r="428" spans="1:30">
      <c r="A428">
        <v>2597</v>
      </c>
      <c r="B428" t="s">
        <v>966</v>
      </c>
      <c r="C428">
        <v>42.6</v>
      </c>
      <c r="Y428" s="46"/>
      <c r="Z428" s="46"/>
      <c r="AA428" s="46"/>
      <c r="AD428" s="46"/>
    </row>
    <row r="429" spans="1:30">
      <c r="A429">
        <v>2601</v>
      </c>
      <c r="B429" t="s">
        <v>967</v>
      </c>
      <c r="C429">
        <v>9.1199999999999992</v>
      </c>
      <c r="Y429" s="46"/>
      <c r="Z429" s="46"/>
      <c r="AA429" s="46"/>
      <c r="AD429" s="46"/>
    </row>
    <row r="430" spans="1:30">
      <c r="A430">
        <v>2603</v>
      </c>
      <c r="B430" t="s">
        <v>968</v>
      </c>
      <c r="C430">
        <v>12.95</v>
      </c>
      <c r="Y430" s="46"/>
      <c r="Z430" s="46"/>
      <c r="AA430" s="46"/>
      <c r="AD430" s="46"/>
    </row>
    <row r="431" spans="1:30">
      <c r="A431">
        <v>2605</v>
      </c>
      <c r="B431" t="s">
        <v>969</v>
      </c>
      <c r="C431">
        <v>17.850000000000001</v>
      </c>
      <c r="Y431" s="46"/>
      <c r="Z431" s="46"/>
      <c r="AA431" s="46"/>
      <c r="AD431" s="46"/>
    </row>
    <row r="432" spans="1:30">
      <c r="A432">
        <v>2606</v>
      </c>
      <c r="B432" t="s">
        <v>970</v>
      </c>
      <c r="C432">
        <v>26.9</v>
      </c>
      <c r="Y432" s="46"/>
      <c r="Z432" s="46"/>
      <c r="AA432" s="46"/>
      <c r="AD432" s="46"/>
    </row>
    <row r="433" spans="1:30">
      <c r="A433">
        <v>2607</v>
      </c>
      <c r="B433" t="s">
        <v>971</v>
      </c>
      <c r="C433">
        <v>13.3</v>
      </c>
      <c r="Y433" s="46"/>
      <c r="Z433" s="46"/>
      <c r="AA433" s="46"/>
      <c r="AD433" s="46"/>
    </row>
    <row r="434" spans="1:30">
      <c r="A434">
        <v>2608</v>
      </c>
      <c r="B434" t="s">
        <v>972</v>
      </c>
      <c r="C434">
        <v>38.700000000000003</v>
      </c>
      <c r="Y434" s="46"/>
      <c r="Z434" s="46"/>
      <c r="AA434" s="46"/>
      <c r="AD434" s="46"/>
    </row>
    <row r="435" spans="1:30">
      <c r="A435">
        <v>2609</v>
      </c>
      <c r="B435" t="s">
        <v>973</v>
      </c>
      <c r="C435">
        <v>8.01</v>
      </c>
      <c r="Y435" s="46"/>
      <c r="Z435" s="46"/>
      <c r="AA435" s="46"/>
      <c r="AD435" s="46"/>
    </row>
    <row r="436" spans="1:30">
      <c r="A436">
        <v>2610</v>
      </c>
      <c r="B436" t="s">
        <v>974</v>
      </c>
      <c r="C436">
        <v>10.85</v>
      </c>
      <c r="O436" s="46"/>
      <c r="Y436" s="46"/>
      <c r="Z436" s="46"/>
      <c r="AA436" s="46"/>
      <c r="AD436" s="46"/>
    </row>
    <row r="437" spans="1:30">
      <c r="A437">
        <v>2611</v>
      </c>
      <c r="B437" t="s">
        <v>975</v>
      </c>
      <c r="C437">
        <v>7.74</v>
      </c>
      <c r="Y437" s="46"/>
      <c r="Z437" s="46"/>
      <c r="AA437" s="46"/>
      <c r="AD437" s="46"/>
    </row>
    <row r="438" spans="1:30">
      <c r="A438">
        <v>2612</v>
      </c>
      <c r="B438" t="s">
        <v>976</v>
      </c>
      <c r="C438">
        <v>20</v>
      </c>
      <c r="Y438" s="46"/>
      <c r="Z438" s="46"/>
      <c r="AA438" s="46"/>
      <c r="AD438" s="46"/>
    </row>
    <row r="439" spans="1:30">
      <c r="A439">
        <v>2613</v>
      </c>
      <c r="B439" t="s">
        <v>977</v>
      </c>
      <c r="C439">
        <v>13.1</v>
      </c>
      <c r="Y439" s="46"/>
      <c r="Z439" s="46"/>
      <c r="AD439" s="46"/>
    </row>
    <row r="440" spans="1:30">
      <c r="A440">
        <v>2614</v>
      </c>
      <c r="B440" t="s">
        <v>978</v>
      </c>
      <c r="C440">
        <v>6.9</v>
      </c>
      <c r="Y440" s="46"/>
      <c r="Z440" s="46"/>
      <c r="AD440" s="46"/>
    </row>
    <row r="441" spans="1:30">
      <c r="A441">
        <v>2615</v>
      </c>
      <c r="B441" t="s">
        <v>979</v>
      </c>
      <c r="C441">
        <v>16.100000000000001</v>
      </c>
      <c r="M441" s="46"/>
      <c r="Y441" s="46"/>
      <c r="Z441" s="46"/>
      <c r="AD441" s="46"/>
    </row>
    <row r="442" spans="1:30">
      <c r="A442">
        <v>2616</v>
      </c>
      <c r="B442" t="s">
        <v>980</v>
      </c>
      <c r="C442">
        <v>22.5</v>
      </c>
      <c r="Y442" s="46"/>
      <c r="Z442" s="46"/>
      <c r="AD442" s="46"/>
    </row>
    <row r="443" spans="1:30">
      <c r="A443">
        <v>2617</v>
      </c>
      <c r="B443" t="s">
        <v>981</v>
      </c>
      <c r="C443">
        <v>11.95</v>
      </c>
      <c r="Y443" s="46"/>
      <c r="Z443" s="46"/>
      <c r="AD443" s="46"/>
    </row>
    <row r="444" spans="1:30">
      <c r="A444">
        <v>2618</v>
      </c>
      <c r="B444" t="s">
        <v>982</v>
      </c>
      <c r="C444">
        <v>16.649999999999999</v>
      </c>
      <c r="Y444" s="46"/>
      <c r="Z444" s="46"/>
      <c r="AD444" s="46"/>
    </row>
    <row r="445" spans="1:30">
      <c r="A445">
        <v>2634</v>
      </c>
      <c r="B445" t="s">
        <v>983</v>
      </c>
      <c r="C445">
        <v>39.9</v>
      </c>
      <c r="Y445" s="46"/>
      <c r="Z445" s="46"/>
      <c r="AD445" s="46"/>
    </row>
    <row r="446" spans="1:30">
      <c r="A446">
        <v>2637</v>
      </c>
      <c r="B446" t="s">
        <v>984</v>
      </c>
      <c r="C446">
        <v>35.799999999999997</v>
      </c>
      <c r="Y446" s="46"/>
      <c r="Z446" s="46"/>
      <c r="AD446" s="46"/>
    </row>
    <row r="447" spans="1:30">
      <c r="A447">
        <v>2642</v>
      </c>
      <c r="B447" t="s">
        <v>985</v>
      </c>
      <c r="C447">
        <v>29.5</v>
      </c>
      <c r="Y447" s="46"/>
      <c r="Z447" s="46"/>
      <c r="AD447" s="46"/>
    </row>
    <row r="448" spans="1:30">
      <c r="A448">
        <v>2701</v>
      </c>
      <c r="B448" t="s">
        <v>986</v>
      </c>
      <c r="C448">
        <v>14.25</v>
      </c>
      <c r="Y448" s="46"/>
      <c r="Z448" s="46"/>
      <c r="AD448" s="46"/>
    </row>
    <row r="449" spans="1:30">
      <c r="A449">
        <v>2702</v>
      </c>
      <c r="B449" t="s">
        <v>987</v>
      </c>
      <c r="C449">
        <v>15.5</v>
      </c>
      <c r="Y449" s="46"/>
      <c r="Z449" s="46"/>
      <c r="AD449" s="46"/>
    </row>
    <row r="450" spans="1:30">
      <c r="A450">
        <v>2704</v>
      </c>
      <c r="B450" t="s">
        <v>988</v>
      </c>
      <c r="C450">
        <v>27.55</v>
      </c>
      <c r="Y450" s="46"/>
      <c r="Z450" s="46"/>
      <c r="AD450" s="46"/>
    </row>
    <row r="451" spans="1:30">
      <c r="A451">
        <v>2705</v>
      </c>
      <c r="B451" t="s">
        <v>989</v>
      </c>
      <c r="C451">
        <v>10.4</v>
      </c>
      <c r="Y451" s="46"/>
      <c r="Z451" s="46"/>
      <c r="AD451" s="46"/>
    </row>
    <row r="452" spans="1:30">
      <c r="A452">
        <v>2706</v>
      </c>
      <c r="B452" t="s">
        <v>990</v>
      </c>
      <c r="C452">
        <v>19.149999999999999</v>
      </c>
      <c r="Y452" s="46"/>
      <c r="Z452" s="46"/>
      <c r="AA452" s="46"/>
      <c r="AD452" s="46"/>
    </row>
    <row r="453" spans="1:30">
      <c r="A453">
        <v>2707</v>
      </c>
      <c r="B453" t="s">
        <v>991</v>
      </c>
      <c r="C453">
        <v>225.5</v>
      </c>
      <c r="Y453" s="46"/>
      <c r="Z453" s="46"/>
      <c r="AD453" s="46"/>
    </row>
    <row r="454" spans="1:30">
      <c r="A454">
        <v>2712</v>
      </c>
      <c r="B454" t="s">
        <v>992</v>
      </c>
      <c r="C454" t="s">
        <v>1902</v>
      </c>
      <c r="Y454" s="46"/>
      <c r="Z454" s="46"/>
      <c r="AD454" s="46"/>
    </row>
    <row r="455" spans="1:30">
      <c r="A455">
        <v>2722</v>
      </c>
      <c r="B455" t="s">
        <v>993</v>
      </c>
      <c r="C455" t="s">
        <v>1902</v>
      </c>
      <c r="Y455" s="46"/>
      <c r="Z455" s="46"/>
      <c r="AD455" s="46"/>
    </row>
    <row r="456" spans="1:30">
      <c r="A456">
        <v>2723</v>
      </c>
      <c r="B456" t="s">
        <v>994</v>
      </c>
      <c r="C456">
        <v>219.5</v>
      </c>
      <c r="Y456" s="46"/>
      <c r="Z456" s="46"/>
      <c r="AD456" s="46"/>
    </row>
    <row r="457" spans="1:30">
      <c r="A457">
        <v>2727</v>
      </c>
      <c r="B457" t="s">
        <v>995</v>
      </c>
      <c r="C457">
        <v>152</v>
      </c>
      <c r="Y457" s="46"/>
      <c r="Z457" s="46"/>
      <c r="AD457" s="46"/>
    </row>
    <row r="458" spans="1:30">
      <c r="A458">
        <v>2731</v>
      </c>
      <c r="B458" t="s">
        <v>996</v>
      </c>
      <c r="C458">
        <v>120</v>
      </c>
      <c r="Y458" s="46"/>
      <c r="Z458" s="46"/>
      <c r="AD458" s="46"/>
    </row>
    <row r="459" spans="1:30">
      <c r="A459">
        <v>2801</v>
      </c>
      <c r="B459" t="s">
        <v>997</v>
      </c>
      <c r="C459">
        <v>15.9</v>
      </c>
      <c r="M459" s="46"/>
      <c r="Y459" s="46"/>
      <c r="Z459" s="46"/>
      <c r="AD459" s="46"/>
    </row>
    <row r="460" spans="1:30">
      <c r="A460">
        <v>2809</v>
      </c>
      <c r="B460" t="s">
        <v>998</v>
      </c>
      <c r="C460">
        <v>23.6</v>
      </c>
      <c r="Y460" s="46"/>
      <c r="Z460" s="46"/>
      <c r="AD460" s="46"/>
    </row>
    <row r="461" spans="1:30">
      <c r="A461">
        <v>2812</v>
      </c>
      <c r="B461" t="s">
        <v>999</v>
      </c>
      <c r="C461">
        <v>9.65</v>
      </c>
      <c r="Y461" s="46"/>
      <c r="Z461" s="46"/>
      <c r="AD461" s="46"/>
    </row>
    <row r="462" spans="1:30">
      <c r="A462">
        <v>2816</v>
      </c>
      <c r="B462" t="s">
        <v>1000</v>
      </c>
      <c r="C462">
        <v>15.95</v>
      </c>
      <c r="Y462" s="46"/>
      <c r="Z462" s="46"/>
      <c r="AD462" s="46"/>
    </row>
    <row r="463" spans="1:30">
      <c r="A463">
        <v>2820</v>
      </c>
      <c r="B463" t="s">
        <v>1001</v>
      </c>
      <c r="C463">
        <v>11.45</v>
      </c>
      <c r="Y463" s="46"/>
      <c r="Z463" s="46"/>
      <c r="AD463" s="46"/>
    </row>
    <row r="464" spans="1:30">
      <c r="A464">
        <v>2823</v>
      </c>
      <c r="B464" t="s">
        <v>1002</v>
      </c>
      <c r="C464">
        <v>27.1</v>
      </c>
      <c r="Y464" s="46"/>
      <c r="Z464" s="46"/>
      <c r="AA464" s="46"/>
      <c r="AD464" s="46"/>
    </row>
    <row r="465" spans="1:30">
      <c r="A465">
        <v>2832</v>
      </c>
      <c r="B465" t="s">
        <v>1003</v>
      </c>
      <c r="C465">
        <v>21.75</v>
      </c>
      <c r="Y465" s="46"/>
      <c r="Z465" s="46"/>
      <c r="AD465" s="46"/>
    </row>
    <row r="466" spans="1:30">
      <c r="A466">
        <v>2834</v>
      </c>
      <c r="B466" t="s">
        <v>1004</v>
      </c>
      <c r="C466">
        <v>8.1199999999999992</v>
      </c>
      <c r="Y466" s="46"/>
      <c r="Z466" s="46"/>
      <c r="AD466" s="46"/>
    </row>
    <row r="467" spans="1:30">
      <c r="A467">
        <v>2836</v>
      </c>
      <c r="B467" t="s">
        <v>1005</v>
      </c>
      <c r="C467">
        <v>8.74</v>
      </c>
      <c r="Y467" s="46"/>
      <c r="Z467" s="46"/>
      <c r="AD467" s="46"/>
    </row>
    <row r="468" spans="1:30">
      <c r="A468">
        <v>2838</v>
      </c>
      <c r="B468" t="s">
        <v>1006</v>
      </c>
      <c r="C468">
        <v>9.3800000000000008</v>
      </c>
      <c r="Y468" s="46"/>
      <c r="Z468" s="46"/>
      <c r="AA468" s="46"/>
      <c r="AD468" s="46"/>
    </row>
    <row r="469" spans="1:30">
      <c r="A469">
        <v>2841</v>
      </c>
      <c r="B469" t="s">
        <v>1007</v>
      </c>
      <c r="C469">
        <v>10.45</v>
      </c>
      <c r="Y469" s="46"/>
      <c r="Z469" s="46"/>
      <c r="AD469" s="46"/>
    </row>
    <row r="470" spans="1:30">
      <c r="A470">
        <v>2845</v>
      </c>
      <c r="B470" t="s">
        <v>1008</v>
      </c>
      <c r="C470">
        <v>9.86</v>
      </c>
      <c r="Y470" s="46"/>
      <c r="Z470" s="46"/>
      <c r="AD470" s="46"/>
    </row>
    <row r="471" spans="1:30">
      <c r="A471">
        <v>2847</v>
      </c>
      <c r="B471" t="s">
        <v>1009</v>
      </c>
      <c r="C471">
        <v>13.55</v>
      </c>
      <c r="Y471" s="46"/>
      <c r="Z471" s="46"/>
      <c r="AA471" s="46"/>
      <c r="AD471" s="46"/>
    </row>
    <row r="472" spans="1:30">
      <c r="A472">
        <v>2849</v>
      </c>
      <c r="B472" t="s">
        <v>1010</v>
      </c>
      <c r="C472">
        <v>16.95</v>
      </c>
      <c r="Y472" s="46"/>
      <c r="Z472" s="46"/>
      <c r="AA472" s="46"/>
      <c r="AD472" s="46"/>
    </row>
    <row r="473" spans="1:30">
      <c r="A473">
        <v>2850</v>
      </c>
      <c r="B473" t="s">
        <v>1011</v>
      </c>
      <c r="C473">
        <v>23.5</v>
      </c>
      <c r="Y473" s="46"/>
      <c r="Z473" s="46"/>
      <c r="AA473" s="46"/>
      <c r="AD473" s="46"/>
    </row>
    <row r="474" spans="1:30">
      <c r="A474">
        <v>2851</v>
      </c>
      <c r="B474" t="s">
        <v>1012</v>
      </c>
      <c r="C474">
        <v>14.95</v>
      </c>
      <c r="Y474" s="46"/>
      <c r="Z474" s="46"/>
      <c r="AA474" s="46"/>
      <c r="AD474" s="46"/>
    </row>
    <row r="475" spans="1:30">
      <c r="A475">
        <v>2852</v>
      </c>
      <c r="B475" t="s">
        <v>1013</v>
      </c>
      <c r="C475">
        <v>12.1</v>
      </c>
      <c r="Y475" s="46"/>
      <c r="Z475" s="46"/>
      <c r="AD475" s="46"/>
    </row>
    <row r="476" spans="1:30">
      <c r="A476">
        <v>2855</v>
      </c>
      <c r="B476" t="s">
        <v>1014</v>
      </c>
      <c r="C476">
        <v>13.95</v>
      </c>
      <c r="Y476" s="46"/>
      <c r="Z476" s="46"/>
      <c r="AD476" s="46"/>
    </row>
    <row r="477" spans="1:30">
      <c r="A477">
        <v>2856</v>
      </c>
      <c r="B477" t="s">
        <v>1015</v>
      </c>
      <c r="C477">
        <v>9.27</v>
      </c>
      <c r="Y477" s="46"/>
      <c r="Z477" s="46"/>
      <c r="AD477" s="46"/>
    </row>
    <row r="478" spans="1:30">
      <c r="A478">
        <v>2867</v>
      </c>
      <c r="B478" t="s">
        <v>1016</v>
      </c>
      <c r="C478">
        <v>19.3</v>
      </c>
      <c r="Y478" s="46"/>
      <c r="Z478" s="46"/>
      <c r="AD478" s="46"/>
    </row>
    <row r="479" spans="1:30">
      <c r="A479">
        <v>2880</v>
      </c>
      <c r="B479" t="s">
        <v>1017</v>
      </c>
      <c r="C479">
        <v>15.5</v>
      </c>
      <c r="Y479" s="46"/>
      <c r="Z479" s="46"/>
      <c r="AD479" s="46"/>
    </row>
    <row r="480" spans="1:30">
      <c r="A480">
        <v>2881</v>
      </c>
      <c r="B480" t="s">
        <v>1018</v>
      </c>
      <c r="C480">
        <v>50.9</v>
      </c>
      <c r="Y480" s="46"/>
      <c r="Z480" s="46"/>
      <c r="AD480" s="46"/>
    </row>
    <row r="481" spans="1:30">
      <c r="A481">
        <v>2882</v>
      </c>
      <c r="B481" t="s">
        <v>1019</v>
      </c>
      <c r="C481">
        <v>45.1</v>
      </c>
      <c r="Y481" s="46"/>
      <c r="Z481" s="46"/>
      <c r="AD481" s="46"/>
    </row>
    <row r="482" spans="1:30">
      <c r="A482">
        <v>2883</v>
      </c>
      <c r="B482" t="s">
        <v>1020</v>
      </c>
      <c r="C482">
        <v>8.43</v>
      </c>
      <c r="Y482" s="46"/>
      <c r="Z482" s="46"/>
      <c r="AD482" s="46"/>
    </row>
    <row r="483" spans="1:30">
      <c r="A483">
        <v>2884</v>
      </c>
      <c r="B483" t="s">
        <v>1021</v>
      </c>
      <c r="C483">
        <v>19.75</v>
      </c>
      <c r="Y483" s="46"/>
      <c r="Z483" s="46"/>
      <c r="AD483" s="46"/>
    </row>
    <row r="484" spans="1:30">
      <c r="A484">
        <v>2885</v>
      </c>
      <c r="B484" t="s">
        <v>1022</v>
      </c>
      <c r="C484">
        <v>12.4</v>
      </c>
      <c r="M484" s="46"/>
      <c r="Y484" s="46"/>
      <c r="Z484" s="46"/>
      <c r="AD484" s="46"/>
    </row>
    <row r="485" spans="1:30">
      <c r="A485">
        <v>2886</v>
      </c>
      <c r="B485" t="s">
        <v>1023</v>
      </c>
      <c r="C485">
        <v>22.25</v>
      </c>
      <c r="M485" s="46"/>
      <c r="O485" s="46"/>
      <c r="Y485" s="46"/>
      <c r="Z485" s="46"/>
      <c r="AD485" s="46"/>
    </row>
    <row r="486" spans="1:30">
      <c r="A486">
        <v>2887</v>
      </c>
      <c r="B486" t="s">
        <v>1024</v>
      </c>
      <c r="C486">
        <v>11.5</v>
      </c>
      <c r="M486" s="46"/>
      <c r="Y486" s="46"/>
      <c r="Z486" s="46"/>
      <c r="AD486" s="46"/>
    </row>
    <row r="487" spans="1:30">
      <c r="A487">
        <v>2888</v>
      </c>
      <c r="B487" t="s">
        <v>1025</v>
      </c>
      <c r="C487">
        <v>7.08</v>
      </c>
      <c r="Y487" s="46"/>
      <c r="Z487" s="46"/>
      <c r="AD487" s="46"/>
    </row>
    <row r="488" spans="1:30">
      <c r="A488">
        <v>2889</v>
      </c>
      <c r="B488" t="s">
        <v>1026</v>
      </c>
      <c r="C488">
        <v>7.63</v>
      </c>
      <c r="Y488" s="46"/>
      <c r="Z488" s="46"/>
      <c r="AD488" s="46"/>
    </row>
    <row r="489" spans="1:30">
      <c r="A489">
        <v>2890</v>
      </c>
      <c r="B489" t="s">
        <v>1027</v>
      </c>
      <c r="C489">
        <v>9.86</v>
      </c>
      <c r="Y489" s="46"/>
      <c r="Z489" s="46"/>
      <c r="AD489" s="46"/>
    </row>
    <row r="490" spans="1:30">
      <c r="A490">
        <v>2891</v>
      </c>
      <c r="B490" t="s">
        <v>1028</v>
      </c>
      <c r="C490">
        <v>17.350000000000001</v>
      </c>
      <c r="M490" s="46"/>
      <c r="Y490" s="46"/>
      <c r="Z490" s="46"/>
      <c r="AD490" s="46"/>
    </row>
    <row r="491" spans="1:30">
      <c r="A491" t="s">
        <v>1029</v>
      </c>
      <c r="B491" t="s">
        <v>1030</v>
      </c>
      <c r="C491" t="s">
        <v>1902</v>
      </c>
      <c r="Y491" s="46"/>
      <c r="Z491" s="46"/>
      <c r="AA491" s="46"/>
      <c r="AD491" s="46"/>
    </row>
    <row r="492" spans="1:30">
      <c r="A492">
        <v>2892</v>
      </c>
      <c r="B492" t="s">
        <v>1031</v>
      </c>
      <c r="C492">
        <v>15.2</v>
      </c>
      <c r="Y492" s="46"/>
      <c r="Z492" s="46"/>
      <c r="AD492" s="46"/>
    </row>
    <row r="493" spans="1:30">
      <c r="A493">
        <v>2901</v>
      </c>
      <c r="B493" t="s">
        <v>1032</v>
      </c>
      <c r="C493">
        <v>26.5</v>
      </c>
      <c r="Y493" s="46"/>
      <c r="Z493" s="46"/>
      <c r="AA493" s="46"/>
      <c r="AD493" s="46"/>
    </row>
    <row r="494" spans="1:30">
      <c r="A494">
        <v>2903</v>
      </c>
      <c r="B494" t="s">
        <v>1033</v>
      </c>
      <c r="C494">
        <v>18.3</v>
      </c>
      <c r="Y494" s="46"/>
      <c r="Z494" s="46"/>
      <c r="AA494" s="46"/>
      <c r="AD494" s="46"/>
    </row>
    <row r="495" spans="1:30">
      <c r="A495">
        <v>2904</v>
      </c>
      <c r="B495" t="s">
        <v>1034</v>
      </c>
      <c r="C495">
        <v>25.8</v>
      </c>
      <c r="Y495" s="46"/>
      <c r="Z495" s="46"/>
      <c r="AA495" s="46"/>
      <c r="AD495" s="46"/>
    </row>
    <row r="496" spans="1:30">
      <c r="A496">
        <v>2905</v>
      </c>
      <c r="B496" t="s">
        <v>1035</v>
      </c>
      <c r="C496">
        <v>21.85</v>
      </c>
      <c r="Y496" s="46"/>
      <c r="Z496" s="46"/>
      <c r="AA496" s="46"/>
      <c r="AD496" s="46"/>
    </row>
    <row r="497" spans="1:30">
      <c r="A497">
        <v>2906</v>
      </c>
      <c r="B497" t="s">
        <v>1036</v>
      </c>
      <c r="C497">
        <v>11.7</v>
      </c>
      <c r="Y497" s="46"/>
      <c r="Z497" s="46"/>
      <c r="AA497" s="46"/>
      <c r="AD497" s="46"/>
    </row>
    <row r="498" spans="1:30">
      <c r="A498">
        <v>2908</v>
      </c>
      <c r="B498" t="s">
        <v>1037</v>
      </c>
      <c r="C498">
        <v>19.5</v>
      </c>
      <c r="Y498" s="46"/>
      <c r="Z498" s="46"/>
      <c r="AD498" s="46"/>
    </row>
    <row r="499" spans="1:30">
      <c r="A499">
        <v>2910</v>
      </c>
      <c r="B499" t="s">
        <v>1038</v>
      </c>
      <c r="C499">
        <v>29.35</v>
      </c>
      <c r="Y499" s="46"/>
      <c r="Z499" s="46"/>
      <c r="AD499" s="46"/>
    </row>
    <row r="500" spans="1:30">
      <c r="A500">
        <v>2911</v>
      </c>
      <c r="B500" t="s">
        <v>1039</v>
      </c>
      <c r="C500">
        <v>15.9</v>
      </c>
      <c r="Y500" s="46"/>
      <c r="Z500" s="46"/>
      <c r="AD500" s="46"/>
    </row>
    <row r="501" spans="1:30">
      <c r="A501">
        <v>2912</v>
      </c>
      <c r="B501" t="s">
        <v>1040</v>
      </c>
      <c r="C501">
        <v>207</v>
      </c>
      <c r="Y501" s="46"/>
      <c r="Z501" s="46"/>
      <c r="AD501" s="46"/>
    </row>
    <row r="502" spans="1:30">
      <c r="A502">
        <v>2913</v>
      </c>
      <c r="B502" t="s">
        <v>1041</v>
      </c>
      <c r="C502">
        <v>13.8</v>
      </c>
      <c r="Y502" s="46"/>
      <c r="Z502" s="46"/>
      <c r="AD502" s="46"/>
    </row>
    <row r="503" spans="1:30">
      <c r="A503">
        <v>2915</v>
      </c>
      <c r="B503" t="s">
        <v>1042</v>
      </c>
      <c r="C503">
        <v>66</v>
      </c>
      <c r="O503" s="46"/>
      <c r="Y503" s="46"/>
      <c r="Z503" s="46"/>
      <c r="AD503" s="46"/>
    </row>
    <row r="504" spans="1:30">
      <c r="A504">
        <v>2923</v>
      </c>
      <c r="B504" t="s">
        <v>1043</v>
      </c>
      <c r="C504">
        <v>23.85</v>
      </c>
      <c r="Y504" s="46"/>
      <c r="Z504" s="46"/>
      <c r="AD504" s="46"/>
    </row>
    <row r="505" spans="1:30">
      <c r="A505">
        <v>2929</v>
      </c>
      <c r="B505" t="s">
        <v>1044</v>
      </c>
      <c r="C505">
        <v>141.5</v>
      </c>
      <c r="Y505" s="46"/>
      <c r="Z505" s="46"/>
      <c r="AD505" s="46"/>
    </row>
    <row r="506" spans="1:30">
      <c r="A506">
        <v>3002</v>
      </c>
      <c r="B506" t="s">
        <v>1045</v>
      </c>
      <c r="C506">
        <v>10.25</v>
      </c>
      <c r="Y506" s="46"/>
      <c r="Z506" s="46"/>
      <c r="AD506" s="46"/>
    </row>
    <row r="507" spans="1:30">
      <c r="A507">
        <v>3003</v>
      </c>
      <c r="B507" t="s">
        <v>1046</v>
      </c>
      <c r="C507">
        <v>39.6</v>
      </c>
      <c r="Y507" s="46"/>
      <c r="Z507" s="46"/>
      <c r="AD507" s="46"/>
    </row>
    <row r="508" spans="1:30">
      <c r="A508">
        <v>3004</v>
      </c>
      <c r="B508" t="s">
        <v>1047</v>
      </c>
      <c r="C508">
        <v>55.9</v>
      </c>
      <c r="Y508" s="46"/>
      <c r="Z508" s="46"/>
      <c r="AD508" s="46"/>
    </row>
    <row r="509" spans="1:30">
      <c r="A509">
        <v>3005</v>
      </c>
      <c r="B509" t="s">
        <v>1048</v>
      </c>
      <c r="C509">
        <v>21.1</v>
      </c>
      <c r="Y509" s="46"/>
      <c r="Z509" s="46"/>
      <c r="AD509" s="46"/>
    </row>
    <row r="510" spans="1:30">
      <c r="A510">
        <v>3006</v>
      </c>
      <c r="B510" t="s">
        <v>1049</v>
      </c>
      <c r="C510">
        <v>33.299999999999997</v>
      </c>
      <c r="Y510" s="46"/>
      <c r="Z510" s="46"/>
      <c r="AD510" s="46"/>
    </row>
    <row r="511" spans="1:30">
      <c r="A511">
        <v>3008</v>
      </c>
      <c r="B511" t="s">
        <v>1050</v>
      </c>
      <c r="C511">
        <v>2530</v>
      </c>
      <c r="Y511" s="46"/>
      <c r="Z511" s="46"/>
      <c r="AA511" s="46"/>
      <c r="AD511" s="46"/>
    </row>
    <row r="512" spans="1:30">
      <c r="A512">
        <v>3010</v>
      </c>
      <c r="B512" t="s">
        <v>1051</v>
      </c>
      <c r="C512">
        <v>45</v>
      </c>
      <c r="Y512" s="46"/>
      <c r="Z512" s="46"/>
      <c r="AA512" s="46"/>
      <c r="AD512" s="46"/>
    </row>
    <row r="513" spans="1:30">
      <c r="A513">
        <v>3011</v>
      </c>
      <c r="B513" t="s">
        <v>1052</v>
      </c>
      <c r="C513">
        <v>5.86</v>
      </c>
      <c r="Y513" s="46"/>
      <c r="Z513" s="46"/>
      <c r="AA513" s="46"/>
      <c r="AD513" s="46"/>
    </row>
    <row r="514" spans="1:30">
      <c r="A514">
        <v>3013</v>
      </c>
      <c r="B514" t="s">
        <v>1053</v>
      </c>
      <c r="C514">
        <v>17.5</v>
      </c>
      <c r="Y514" s="46"/>
      <c r="Z514" s="46"/>
      <c r="AA514" s="46"/>
      <c r="AD514" s="46"/>
    </row>
    <row r="515" spans="1:30">
      <c r="A515">
        <v>3014</v>
      </c>
      <c r="B515" t="s">
        <v>1054</v>
      </c>
      <c r="C515">
        <v>30.9</v>
      </c>
      <c r="Y515" s="46"/>
      <c r="Z515" s="46"/>
      <c r="AA515" s="46"/>
      <c r="AD515" s="46"/>
    </row>
    <row r="516" spans="1:30">
      <c r="A516">
        <v>3015</v>
      </c>
      <c r="B516" t="s">
        <v>1858</v>
      </c>
      <c r="C516">
        <v>22.85</v>
      </c>
      <c r="Y516" s="46"/>
      <c r="Z516" s="46"/>
      <c r="AA516" s="46"/>
      <c r="AD516" s="46"/>
    </row>
    <row r="517" spans="1:30">
      <c r="A517">
        <v>3016</v>
      </c>
      <c r="B517" t="s">
        <v>1055</v>
      </c>
      <c r="C517">
        <v>17.2</v>
      </c>
      <c r="Y517" s="46"/>
      <c r="Z517" s="46"/>
      <c r="AD517" s="46"/>
    </row>
    <row r="518" spans="1:30">
      <c r="A518">
        <v>3017</v>
      </c>
      <c r="B518" t="s">
        <v>1056</v>
      </c>
      <c r="C518">
        <v>32.799999999999997</v>
      </c>
      <c r="Y518" s="46"/>
      <c r="Z518" s="46"/>
      <c r="AD518" s="46"/>
    </row>
    <row r="519" spans="1:30">
      <c r="A519">
        <v>3018</v>
      </c>
      <c r="B519" t="s">
        <v>1057</v>
      </c>
      <c r="C519">
        <v>16.55</v>
      </c>
      <c r="Y519" s="46"/>
      <c r="Z519" s="46"/>
      <c r="AD519" s="46"/>
    </row>
    <row r="520" spans="1:30">
      <c r="A520">
        <v>3019</v>
      </c>
      <c r="B520" t="s">
        <v>1058</v>
      </c>
      <c r="C520">
        <v>31.7</v>
      </c>
      <c r="Y520" s="46"/>
      <c r="Z520" s="46"/>
      <c r="AA520" s="46"/>
      <c r="AD520" s="46"/>
    </row>
    <row r="521" spans="1:30">
      <c r="A521">
        <v>3021</v>
      </c>
      <c r="B521" t="s">
        <v>1059</v>
      </c>
      <c r="C521">
        <v>12.5</v>
      </c>
      <c r="Y521" s="46"/>
      <c r="Z521" s="46"/>
      <c r="AD521" s="46"/>
    </row>
    <row r="522" spans="1:30">
      <c r="A522">
        <v>3022</v>
      </c>
      <c r="B522" t="s">
        <v>1060</v>
      </c>
      <c r="C522">
        <v>40.25</v>
      </c>
      <c r="Y522" s="46"/>
      <c r="Z522" s="46"/>
      <c r="AD522" s="46"/>
    </row>
    <row r="523" spans="1:30">
      <c r="A523">
        <v>3023</v>
      </c>
      <c r="B523" t="s">
        <v>1061</v>
      </c>
      <c r="C523">
        <v>60.9</v>
      </c>
      <c r="Y523" s="46"/>
      <c r="Z523" s="46"/>
      <c r="AD523" s="46"/>
    </row>
    <row r="524" spans="1:30">
      <c r="A524">
        <v>3024</v>
      </c>
      <c r="B524" t="s">
        <v>1062</v>
      </c>
      <c r="C524">
        <v>3.84</v>
      </c>
      <c r="Y524" s="46"/>
      <c r="Z524" s="46"/>
      <c r="AD524" s="46"/>
    </row>
    <row r="525" spans="1:30">
      <c r="A525">
        <v>3025</v>
      </c>
      <c r="B525" t="s">
        <v>1063</v>
      </c>
      <c r="C525">
        <v>8.2100000000000009</v>
      </c>
      <c r="Y525" s="46"/>
      <c r="Z525" s="46"/>
      <c r="AA525" s="46"/>
      <c r="AD525" s="46"/>
    </row>
    <row r="526" spans="1:30">
      <c r="A526">
        <v>3026</v>
      </c>
      <c r="B526" t="s">
        <v>1064</v>
      </c>
      <c r="C526">
        <v>33.5</v>
      </c>
      <c r="Y526" s="46"/>
      <c r="Z526" s="46"/>
      <c r="AA526" s="46"/>
      <c r="AD526" s="46"/>
    </row>
    <row r="527" spans="1:30">
      <c r="A527">
        <v>3027</v>
      </c>
      <c r="B527" t="s">
        <v>1065</v>
      </c>
      <c r="C527">
        <v>12</v>
      </c>
      <c r="Y527" s="46"/>
      <c r="Z527" s="46"/>
      <c r="AA527" s="46"/>
      <c r="AD527" s="46"/>
    </row>
    <row r="528" spans="1:30">
      <c r="A528">
        <v>3028</v>
      </c>
      <c r="B528" t="s">
        <v>1066</v>
      </c>
      <c r="C528">
        <v>16</v>
      </c>
      <c r="Y528" s="46"/>
      <c r="Z528" s="46"/>
      <c r="AD528" s="46"/>
    </row>
    <row r="529" spans="1:30">
      <c r="A529">
        <v>3029</v>
      </c>
      <c r="B529" t="s">
        <v>1067</v>
      </c>
      <c r="C529">
        <v>19.05</v>
      </c>
      <c r="Y529" s="46"/>
      <c r="Z529" s="46"/>
      <c r="AD529" s="46"/>
    </row>
    <row r="530" spans="1:30">
      <c r="A530">
        <v>3030</v>
      </c>
      <c r="B530" t="s">
        <v>1068</v>
      </c>
      <c r="C530">
        <v>52.7</v>
      </c>
      <c r="Y530" s="46"/>
      <c r="Z530" s="46"/>
      <c r="AA530" s="46"/>
      <c r="AD530" s="46"/>
    </row>
    <row r="531" spans="1:30">
      <c r="A531">
        <v>3031</v>
      </c>
      <c r="B531" t="s">
        <v>1069</v>
      </c>
      <c r="C531">
        <v>9.9</v>
      </c>
      <c r="Y531" s="46"/>
      <c r="Z531" s="46"/>
      <c r="AD531" s="46"/>
    </row>
    <row r="532" spans="1:30">
      <c r="A532">
        <v>3032</v>
      </c>
      <c r="B532" t="s">
        <v>1070</v>
      </c>
      <c r="C532">
        <v>22.6</v>
      </c>
      <c r="Y532" s="46"/>
      <c r="Z532" s="46"/>
      <c r="AA532" s="46"/>
      <c r="AD532" s="46"/>
    </row>
    <row r="533" spans="1:30">
      <c r="A533">
        <v>3033</v>
      </c>
      <c r="B533" t="s">
        <v>1071</v>
      </c>
      <c r="C533">
        <v>19.149999999999999</v>
      </c>
      <c r="Y533" s="46"/>
      <c r="Z533" s="46"/>
      <c r="AA533" s="46"/>
      <c r="AD533" s="46"/>
    </row>
    <row r="534" spans="1:30">
      <c r="A534">
        <v>3034</v>
      </c>
      <c r="B534" t="s">
        <v>1072</v>
      </c>
      <c r="C534">
        <v>133</v>
      </c>
      <c r="Y534" s="46"/>
      <c r="Z534" s="46"/>
      <c r="AD534" s="46"/>
    </row>
    <row r="535" spans="1:30">
      <c r="A535">
        <v>3035</v>
      </c>
      <c r="B535" t="s">
        <v>1073</v>
      </c>
      <c r="C535">
        <v>47.5</v>
      </c>
      <c r="Y535" s="46"/>
      <c r="Z535" s="46"/>
      <c r="AD535" s="46"/>
    </row>
    <row r="536" spans="1:30">
      <c r="A536">
        <v>3036</v>
      </c>
      <c r="B536" t="s">
        <v>1074</v>
      </c>
      <c r="C536">
        <v>36</v>
      </c>
      <c r="Y536" s="46"/>
      <c r="Z536" s="46"/>
      <c r="AA536" s="46"/>
      <c r="AD536" s="46"/>
    </row>
    <row r="537" spans="1:30">
      <c r="A537">
        <v>3037</v>
      </c>
      <c r="B537" t="s">
        <v>1075</v>
      </c>
      <c r="C537">
        <v>14.95</v>
      </c>
      <c r="Y537" s="46"/>
      <c r="Z537" s="46"/>
      <c r="AA537" s="46"/>
      <c r="AD537" s="46"/>
    </row>
    <row r="538" spans="1:30">
      <c r="A538">
        <v>3038</v>
      </c>
      <c r="B538" t="s">
        <v>1076</v>
      </c>
      <c r="C538">
        <v>10.15</v>
      </c>
      <c r="Y538" s="46"/>
      <c r="Z538" s="46"/>
      <c r="AD538" s="46"/>
    </row>
    <row r="539" spans="1:30">
      <c r="A539">
        <v>3040</v>
      </c>
      <c r="B539" t="s">
        <v>1077</v>
      </c>
      <c r="C539">
        <v>34</v>
      </c>
      <c r="Y539" s="46"/>
      <c r="Z539" s="46"/>
      <c r="AD539" s="46"/>
    </row>
    <row r="540" spans="1:30">
      <c r="A540">
        <v>3041</v>
      </c>
      <c r="B540" t="s">
        <v>1078</v>
      </c>
      <c r="C540">
        <v>18.100000000000001</v>
      </c>
      <c r="Y540" s="46"/>
      <c r="Z540" s="46"/>
      <c r="AD540" s="46"/>
    </row>
    <row r="541" spans="1:30">
      <c r="A541">
        <v>3042</v>
      </c>
      <c r="B541" t="s">
        <v>1079</v>
      </c>
      <c r="C541">
        <v>35.35</v>
      </c>
      <c r="Y541" s="46"/>
      <c r="Z541" s="46"/>
      <c r="AD541" s="46"/>
    </row>
    <row r="542" spans="1:30">
      <c r="A542">
        <v>3043</v>
      </c>
      <c r="B542" t="s">
        <v>1080</v>
      </c>
      <c r="C542">
        <v>3.27</v>
      </c>
      <c r="Y542" s="46"/>
      <c r="Z542" s="46"/>
      <c r="AD542" s="46"/>
    </row>
    <row r="543" spans="1:30">
      <c r="A543">
        <v>3044</v>
      </c>
      <c r="B543" t="s">
        <v>1081</v>
      </c>
      <c r="C543">
        <v>57</v>
      </c>
      <c r="Y543" s="46"/>
      <c r="Z543" s="46"/>
      <c r="AD543" s="46"/>
    </row>
    <row r="544" spans="1:30">
      <c r="A544">
        <v>3045</v>
      </c>
      <c r="B544" t="s">
        <v>1082</v>
      </c>
      <c r="C544">
        <v>98.8</v>
      </c>
      <c r="Y544" s="46"/>
      <c r="Z544" s="46"/>
      <c r="AA544" s="46"/>
      <c r="AD544" s="46"/>
    </row>
    <row r="545" spans="1:30">
      <c r="A545">
        <v>3046</v>
      </c>
      <c r="B545" t="s">
        <v>1083</v>
      </c>
      <c r="C545">
        <v>10.3</v>
      </c>
      <c r="Y545" s="46"/>
      <c r="Z545" s="46"/>
      <c r="AA545" s="46"/>
      <c r="AD545" s="46"/>
    </row>
    <row r="546" spans="1:30">
      <c r="A546">
        <v>3047</v>
      </c>
      <c r="B546" t="s">
        <v>1084</v>
      </c>
      <c r="C546">
        <v>10.7</v>
      </c>
      <c r="Y546" s="46"/>
      <c r="Z546" s="46"/>
      <c r="AA546" s="46"/>
      <c r="AD546" s="46"/>
    </row>
    <row r="547" spans="1:30">
      <c r="A547">
        <v>3048</v>
      </c>
      <c r="B547" t="s">
        <v>1085</v>
      </c>
      <c r="C547">
        <v>19.8</v>
      </c>
      <c r="Y547" s="46"/>
      <c r="Z547" s="46"/>
      <c r="AA547" s="46"/>
      <c r="AD547" s="46"/>
    </row>
    <row r="548" spans="1:30">
      <c r="A548">
        <v>3049</v>
      </c>
      <c r="B548" t="s">
        <v>1086</v>
      </c>
      <c r="C548">
        <v>8.0500000000000007</v>
      </c>
      <c r="Y548" s="46"/>
      <c r="Z548" s="46"/>
      <c r="AA548" s="46"/>
      <c r="AD548" s="46"/>
    </row>
    <row r="549" spans="1:30">
      <c r="A549">
        <v>3050</v>
      </c>
      <c r="B549" t="s">
        <v>1087</v>
      </c>
      <c r="C549">
        <v>8.6999999999999993</v>
      </c>
      <c r="Y549" s="46"/>
      <c r="Z549" s="46"/>
      <c r="AA549" s="46"/>
      <c r="AD549" s="46"/>
    </row>
    <row r="550" spans="1:30">
      <c r="A550">
        <v>3051</v>
      </c>
      <c r="B550" t="s">
        <v>1088</v>
      </c>
      <c r="C550">
        <v>6.83</v>
      </c>
      <c r="Y550" s="46"/>
      <c r="Z550" s="46"/>
      <c r="AA550" s="46"/>
      <c r="AD550" s="46"/>
    </row>
    <row r="551" spans="1:30">
      <c r="A551">
        <v>3052</v>
      </c>
      <c r="B551" t="s">
        <v>1089</v>
      </c>
      <c r="C551">
        <v>10.55</v>
      </c>
      <c r="Y551" s="46"/>
      <c r="Z551" s="46"/>
      <c r="AA551" s="46"/>
      <c r="AD551" s="46"/>
    </row>
    <row r="552" spans="1:30">
      <c r="A552">
        <v>3054</v>
      </c>
      <c r="B552" t="s">
        <v>1090</v>
      </c>
      <c r="C552">
        <v>17.55</v>
      </c>
      <c r="Y552" s="46"/>
      <c r="Z552" s="46"/>
      <c r="AA552" s="46"/>
      <c r="AD552" s="46"/>
    </row>
    <row r="553" spans="1:30">
      <c r="A553">
        <v>3055</v>
      </c>
      <c r="B553" t="s">
        <v>1091</v>
      </c>
      <c r="C553">
        <v>16.45</v>
      </c>
      <c r="Y553" s="46"/>
      <c r="Z553" s="46"/>
      <c r="AA553" s="46"/>
      <c r="AD553" s="46"/>
    </row>
    <row r="554" spans="1:30">
      <c r="A554">
        <v>3056</v>
      </c>
      <c r="B554" t="s">
        <v>1092</v>
      </c>
      <c r="C554">
        <v>12.15</v>
      </c>
      <c r="Y554" s="46"/>
      <c r="Z554" s="46"/>
      <c r="AD554" s="46"/>
    </row>
    <row r="555" spans="1:30">
      <c r="A555">
        <v>3057</v>
      </c>
      <c r="B555" t="s">
        <v>1093</v>
      </c>
      <c r="C555">
        <v>19</v>
      </c>
      <c r="Y555" s="46"/>
      <c r="Z555" s="46"/>
      <c r="AD555" s="46"/>
    </row>
    <row r="556" spans="1:30">
      <c r="A556">
        <v>3058</v>
      </c>
      <c r="B556" t="s">
        <v>1094</v>
      </c>
      <c r="C556">
        <v>8.5399999999999991</v>
      </c>
      <c r="Y556" s="46"/>
      <c r="Z556" s="46"/>
      <c r="AD556" s="46"/>
    </row>
    <row r="557" spans="1:30">
      <c r="A557">
        <v>3059</v>
      </c>
      <c r="B557" t="s">
        <v>1095</v>
      </c>
      <c r="C557">
        <v>30.25</v>
      </c>
      <c r="Y557" s="46"/>
      <c r="Z557" s="46"/>
      <c r="AD557" s="46"/>
    </row>
    <row r="558" spans="1:30">
      <c r="A558">
        <v>3060</v>
      </c>
      <c r="B558" t="s">
        <v>1096</v>
      </c>
      <c r="C558">
        <v>56.2</v>
      </c>
      <c r="Y558" s="46"/>
      <c r="Z558" s="46"/>
      <c r="AD558" s="46"/>
    </row>
    <row r="559" spans="1:30">
      <c r="A559">
        <v>3062</v>
      </c>
      <c r="B559" t="s">
        <v>1097</v>
      </c>
      <c r="C559">
        <v>16.399999999999999</v>
      </c>
      <c r="Y559" s="46"/>
      <c r="Z559" s="46"/>
      <c r="AD559" s="46"/>
    </row>
    <row r="560" spans="1:30">
      <c r="A560">
        <v>3090</v>
      </c>
      <c r="B560" t="s">
        <v>1098</v>
      </c>
      <c r="C560">
        <v>23.1</v>
      </c>
      <c r="Y560" s="46"/>
      <c r="Z560" s="46"/>
      <c r="AD560" s="46"/>
    </row>
    <row r="561" spans="1:30">
      <c r="A561">
        <v>3094</v>
      </c>
      <c r="B561" t="s">
        <v>1099</v>
      </c>
      <c r="C561">
        <v>27.75</v>
      </c>
      <c r="Y561" s="46"/>
      <c r="Z561" s="46"/>
      <c r="AA561" s="46"/>
      <c r="AD561" s="46"/>
    </row>
    <row r="562" spans="1:30">
      <c r="A562">
        <v>3130</v>
      </c>
      <c r="B562" t="s">
        <v>1100</v>
      </c>
      <c r="C562">
        <v>140.5</v>
      </c>
      <c r="Y562" s="46"/>
      <c r="Z562" s="46"/>
      <c r="AA562" s="46"/>
      <c r="AD562" s="46"/>
    </row>
    <row r="563" spans="1:30">
      <c r="A563">
        <v>3149</v>
      </c>
      <c r="B563" t="s">
        <v>1101</v>
      </c>
      <c r="C563">
        <v>13.65</v>
      </c>
      <c r="Y563" s="46"/>
      <c r="Z563" s="46"/>
      <c r="AA563" s="46"/>
      <c r="AD563" s="46"/>
    </row>
    <row r="564" spans="1:30">
      <c r="A564">
        <v>3164</v>
      </c>
      <c r="B564" t="s">
        <v>1102</v>
      </c>
      <c r="C564">
        <v>28.5</v>
      </c>
      <c r="Y564" s="46"/>
      <c r="Z564" s="46"/>
      <c r="AA564" s="46"/>
      <c r="AD564" s="46"/>
    </row>
    <row r="565" spans="1:30">
      <c r="A565">
        <v>3167</v>
      </c>
      <c r="B565" t="s">
        <v>1103</v>
      </c>
      <c r="C565">
        <v>28.5</v>
      </c>
      <c r="Y565" s="46"/>
      <c r="Z565" s="46"/>
      <c r="AD565" s="46"/>
    </row>
    <row r="566" spans="1:30">
      <c r="A566">
        <v>3189</v>
      </c>
      <c r="B566" t="s">
        <v>1104</v>
      </c>
      <c r="C566">
        <v>67</v>
      </c>
      <c r="Y566" s="46"/>
      <c r="Z566" s="46"/>
      <c r="AD566" s="46"/>
    </row>
    <row r="567" spans="1:30">
      <c r="A567">
        <v>3209</v>
      </c>
      <c r="B567" t="s">
        <v>1105</v>
      </c>
      <c r="C567">
        <v>25.5</v>
      </c>
      <c r="Y567" s="46"/>
      <c r="Z567" s="46"/>
      <c r="AD567" s="46"/>
    </row>
    <row r="568" spans="1:30">
      <c r="A568">
        <v>3229</v>
      </c>
      <c r="B568" t="s">
        <v>1106</v>
      </c>
      <c r="C568">
        <v>16.399999999999999</v>
      </c>
      <c r="Y568" s="46"/>
      <c r="Z568" s="46"/>
      <c r="AD568" s="46"/>
    </row>
    <row r="569" spans="1:30">
      <c r="A569">
        <v>3231</v>
      </c>
      <c r="B569" t="s">
        <v>1107</v>
      </c>
      <c r="C569">
        <v>17</v>
      </c>
      <c r="M569" s="46"/>
      <c r="Y569" s="46"/>
      <c r="Z569" s="46"/>
      <c r="AA569" s="46"/>
      <c r="AD569" s="46"/>
    </row>
    <row r="570" spans="1:30">
      <c r="A570">
        <v>3257</v>
      </c>
      <c r="B570" t="s">
        <v>1108</v>
      </c>
      <c r="C570">
        <v>47</v>
      </c>
      <c r="Y570" s="46"/>
      <c r="Z570" s="46"/>
      <c r="AD570" s="46"/>
    </row>
    <row r="571" spans="1:30">
      <c r="A571">
        <v>3266</v>
      </c>
      <c r="B571" t="s">
        <v>1109</v>
      </c>
      <c r="C571">
        <v>12.9</v>
      </c>
      <c r="Y571" s="46"/>
      <c r="Z571" s="46"/>
      <c r="AD571" s="46"/>
    </row>
    <row r="572" spans="1:30">
      <c r="A572">
        <v>3296</v>
      </c>
      <c r="B572" t="s">
        <v>1110</v>
      </c>
      <c r="C572">
        <v>14</v>
      </c>
      <c r="Y572" s="46"/>
      <c r="Z572" s="46"/>
      <c r="AD572" s="46"/>
    </row>
    <row r="573" spans="1:30">
      <c r="A573">
        <v>3305</v>
      </c>
      <c r="B573" t="s">
        <v>1111</v>
      </c>
      <c r="C573">
        <v>26.3</v>
      </c>
      <c r="Y573" s="46"/>
      <c r="Z573" s="46"/>
      <c r="AA573" s="46"/>
      <c r="AD573" s="46"/>
    </row>
    <row r="574" spans="1:30">
      <c r="A574">
        <v>3308</v>
      </c>
      <c r="B574" t="s">
        <v>1112</v>
      </c>
      <c r="C574">
        <v>7.6</v>
      </c>
      <c r="Y574" s="46"/>
      <c r="Z574" s="46"/>
      <c r="AA574" s="46"/>
      <c r="AD574" s="46"/>
    </row>
    <row r="575" spans="1:30">
      <c r="A575">
        <v>3311</v>
      </c>
      <c r="B575" t="s">
        <v>1113</v>
      </c>
      <c r="C575">
        <v>17.45</v>
      </c>
      <c r="Y575" s="46"/>
      <c r="Z575" s="46"/>
      <c r="AA575" s="46"/>
      <c r="AD575" s="46"/>
    </row>
    <row r="576" spans="1:30">
      <c r="A576">
        <v>3312</v>
      </c>
      <c r="B576" t="s">
        <v>1114</v>
      </c>
      <c r="C576">
        <v>6.45</v>
      </c>
      <c r="Y576" s="46"/>
      <c r="Z576" s="46"/>
      <c r="AA576" s="46"/>
      <c r="AD576" s="46"/>
    </row>
    <row r="577" spans="1:30">
      <c r="A577">
        <v>3315</v>
      </c>
      <c r="B577" t="s">
        <v>1115</v>
      </c>
      <c r="C577">
        <v>16.149999999999999</v>
      </c>
      <c r="Y577" s="46"/>
      <c r="Z577" s="46"/>
      <c r="AD577" s="46"/>
    </row>
    <row r="578" spans="1:30">
      <c r="A578">
        <v>3338</v>
      </c>
      <c r="B578" t="s">
        <v>1116</v>
      </c>
      <c r="C578">
        <v>25.25</v>
      </c>
      <c r="Y578" s="46"/>
      <c r="Z578" s="46"/>
      <c r="AD578" s="46"/>
    </row>
    <row r="579" spans="1:30">
      <c r="A579">
        <v>3356</v>
      </c>
      <c r="B579" t="s">
        <v>1117</v>
      </c>
      <c r="C579">
        <v>73</v>
      </c>
      <c r="Y579" s="46"/>
      <c r="Z579" s="46"/>
      <c r="AA579" s="46"/>
      <c r="AD579" s="46"/>
    </row>
    <row r="580" spans="1:30">
      <c r="A580">
        <v>3376</v>
      </c>
      <c r="B580" t="s">
        <v>1118</v>
      </c>
      <c r="C580">
        <v>118</v>
      </c>
      <c r="Y580" s="46"/>
      <c r="Z580" s="46"/>
      <c r="AA580" s="46"/>
      <c r="AD580" s="46"/>
    </row>
    <row r="581" spans="1:30">
      <c r="A581">
        <v>3380</v>
      </c>
      <c r="B581" t="s">
        <v>1119</v>
      </c>
      <c r="C581">
        <v>17.75</v>
      </c>
      <c r="Y581" s="46"/>
      <c r="Z581" s="46"/>
      <c r="AA581" s="46"/>
      <c r="AD581" s="46"/>
    </row>
    <row r="582" spans="1:30">
      <c r="A582">
        <v>3383</v>
      </c>
      <c r="B582" t="s">
        <v>1120</v>
      </c>
      <c r="C582">
        <v>8.56</v>
      </c>
      <c r="Y582" s="46"/>
      <c r="Z582" s="46"/>
      <c r="AA582" s="46"/>
      <c r="AD582" s="46"/>
    </row>
    <row r="583" spans="1:30">
      <c r="A583">
        <v>3406</v>
      </c>
      <c r="B583" t="s">
        <v>1121</v>
      </c>
      <c r="C583">
        <v>67.8</v>
      </c>
      <c r="Y583" s="46"/>
      <c r="Z583" s="46"/>
      <c r="AA583" s="46"/>
      <c r="AD583" s="46"/>
    </row>
    <row r="584" spans="1:30">
      <c r="A584">
        <v>3413</v>
      </c>
      <c r="B584" t="s">
        <v>1122</v>
      </c>
      <c r="C584">
        <v>77.7</v>
      </c>
      <c r="Y584" s="46"/>
      <c r="Z584" s="46"/>
      <c r="AA584" s="46"/>
      <c r="AD584" s="46"/>
    </row>
    <row r="585" spans="1:30">
      <c r="A585">
        <v>3416</v>
      </c>
      <c r="B585" t="s">
        <v>1123</v>
      </c>
      <c r="C585">
        <v>58.1</v>
      </c>
      <c r="Y585" s="46"/>
      <c r="Z585" s="46"/>
      <c r="AA585" s="46"/>
      <c r="AD585" s="46"/>
    </row>
    <row r="586" spans="1:30">
      <c r="A586">
        <v>3419</v>
      </c>
      <c r="B586" t="s">
        <v>1124</v>
      </c>
      <c r="C586">
        <v>14.4</v>
      </c>
      <c r="Y586" s="46"/>
      <c r="Z586" s="46"/>
      <c r="AD586" s="46"/>
    </row>
    <row r="587" spans="1:30">
      <c r="A587">
        <v>3432</v>
      </c>
      <c r="B587" t="s">
        <v>1125</v>
      </c>
      <c r="C587">
        <v>13.65</v>
      </c>
      <c r="Y587" s="46"/>
      <c r="Z587" s="46"/>
      <c r="AA587" s="46"/>
      <c r="AD587" s="46"/>
    </row>
    <row r="588" spans="1:30">
      <c r="A588">
        <v>3437</v>
      </c>
      <c r="B588" t="s">
        <v>1126</v>
      </c>
      <c r="C588">
        <v>24.5</v>
      </c>
      <c r="Y588" s="46"/>
      <c r="Z588" s="46"/>
      <c r="AA588" s="46"/>
      <c r="AD588" s="46"/>
    </row>
    <row r="589" spans="1:30">
      <c r="A589">
        <v>3443</v>
      </c>
      <c r="B589" t="s">
        <v>1127</v>
      </c>
      <c r="C589">
        <v>72.7</v>
      </c>
      <c r="Y589" s="46"/>
      <c r="Z589" s="46"/>
      <c r="AD589" s="46"/>
    </row>
    <row r="590" spans="1:30">
      <c r="A590">
        <v>3450</v>
      </c>
      <c r="B590" t="s">
        <v>1128</v>
      </c>
      <c r="C590">
        <v>139</v>
      </c>
      <c r="Y590" s="46"/>
      <c r="Z590" s="46"/>
      <c r="AD590" s="46"/>
    </row>
    <row r="591" spans="1:30">
      <c r="A591">
        <v>3454</v>
      </c>
      <c r="B591" t="s">
        <v>1129</v>
      </c>
      <c r="C591">
        <v>74.900000000000006</v>
      </c>
      <c r="Y591" s="46"/>
      <c r="Z591" s="46"/>
      <c r="AD591" s="46"/>
    </row>
    <row r="592" spans="1:30">
      <c r="A592">
        <v>3474</v>
      </c>
      <c r="B592" t="s">
        <v>1130</v>
      </c>
      <c r="C592">
        <v>23.4</v>
      </c>
      <c r="Y592" s="46"/>
      <c r="Z592" s="46"/>
      <c r="AD592" s="46"/>
    </row>
    <row r="593" spans="1:30">
      <c r="A593">
        <v>3481</v>
      </c>
      <c r="B593" t="s">
        <v>1131</v>
      </c>
      <c r="C593">
        <v>9.9</v>
      </c>
      <c r="Y593" s="46"/>
      <c r="Z593" s="46"/>
      <c r="AD593" s="46"/>
    </row>
    <row r="594" spans="1:30">
      <c r="A594">
        <v>3494</v>
      </c>
      <c r="B594" t="s">
        <v>1132</v>
      </c>
      <c r="C594">
        <v>12.2</v>
      </c>
      <c r="Y594" s="46"/>
      <c r="Z594" s="46"/>
      <c r="AA594" s="46"/>
      <c r="AD594" s="46"/>
    </row>
    <row r="595" spans="1:30">
      <c r="A595">
        <v>3501</v>
      </c>
      <c r="B595" t="s">
        <v>1133</v>
      </c>
      <c r="C595">
        <v>57.1</v>
      </c>
      <c r="Y595" s="46"/>
      <c r="Z595" s="46"/>
      <c r="AA595" s="46"/>
      <c r="AD595" s="46"/>
    </row>
    <row r="596" spans="1:30">
      <c r="A596">
        <v>3504</v>
      </c>
      <c r="B596" t="s">
        <v>1134</v>
      </c>
      <c r="C596">
        <v>37.799999999999997</v>
      </c>
      <c r="Y596" s="46"/>
      <c r="Z596" s="46"/>
      <c r="AA596" s="46"/>
      <c r="AD596" s="46"/>
    </row>
    <row r="597" spans="1:30">
      <c r="A597">
        <v>3514</v>
      </c>
      <c r="B597" t="s">
        <v>1135</v>
      </c>
      <c r="C597">
        <v>29.05</v>
      </c>
      <c r="Y597" s="46"/>
      <c r="Z597" s="46"/>
      <c r="AA597" s="46"/>
      <c r="AD597" s="46"/>
    </row>
    <row r="598" spans="1:30">
      <c r="A598">
        <v>3515</v>
      </c>
      <c r="B598" t="s">
        <v>1136</v>
      </c>
      <c r="C598">
        <v>41.6</v>
      </c>
      <c r="Y598" s="46"/>
      <c r="Z598" s="46"/>
      <c r="AA598" s="46"/>
      <c r="AD598" s="46"/>
    </row>
    <row r="599" spans="1:30">
      <c r="A599">
        <v>3518</v>
      </c>
      <c r="B599" t="s">
        <v>1137</v>
      </c>
      <c r="C599">
        <v>39.1</v>
      </c>
      <c r="Y599" s="46"/>
      <c r="Z599" s="46"/>
      <c r="AD599" s="46"/>
    </row>
    <row r="600" spans="1:30">
      <c r="A600">
        <v>3519</v>
      </c>
      <c r="B600" t="s">
        <v>1138</v>
      </c>
      <c r="C600">
        <v>24.2</v>
      </c>
      <c r="Y600" s="46"/>
      <c r="Z600" s="46"/>
      <c r="AA600" s="46"/>
      <c r="AD600" s="46"/>
    </row>
    <row r="601" spans="1:30">
      <c r="A601">
        <v>3532</v>
      </c>
      <c r="B601" t="s">
        <v>1139</v>
      </c>
      <c r="C601">
        <v>40.25</v>
      </c>
      <c r="Y601" s="46"/>
      <c r="Z601" s="46"/>
      <c r="AA601" s="46"/>
      <c r="AD601" s="46"/>
    </row>
    <row r="602" spans="1:30">
      <c r="A602">
        <v>3533</v>
      </c>
      <c r="B602" t="s">
        <v>1140</v>
      </c>
      <c r="C602">
        <v>119.5</v>
      </c>
      <c r="Y602" s="46"/>
      <c r="Z602" s="46"/>
      <c r="AD602" s="46"/>
    </row>
    <row r="603" spans="1:30">
      <c r="A603">
        <v>3535</v>
      </c>
      <c r="B603" t="s">
        <v>1141</v>
      </c>
      <c r="C603">
        <v>9.41</v>
      </c>
      <c r="Y603" s="46"/>
      <c r="Z603" s="46"/>
      <c r="AA603" s="46"/>
      <c r="AD603" s="46"/>
    </row>
    <row r="604" spans="1:30">
      <c r="A604">
        <v>3536</v>
      </c>
      <c r="B604" t="s">
        <v>1142</v>
      </c>
      <c r="C604">
        <v>6.38</v>
      </c>
      <c r="Y604" s="46"/>
      <c r="Z604" s="46"/>
      <c r="AA604" s="46"/>
      <c r="AD604" s="46"/>
    </row>
    <row r="605" spans="1:30">
      <c r="A605">
        <v>3550</v>
      </c>
      <c r="B605" t="s">
        <v>1144</v>
      </c>
      <c r="C605">
        <v>11.85</v>
      </c>
      <c r="Y605" s="46"/>
      <c r="Z605" s="46"/>
      <c r="AD605" s="46"/>
    </row>
    <row r="606" spans="1:30">
      <c r="A606">
        <v>3557</v>
      </c>
      <c r="B606" t="s">
        <v>1145</v>
      </c>
      <c r="C606">
        <v>3.91</v>
      </c>
      <c r="Y606" s="46"/>
      <c r="Z606" s="46"/>
      <c r="AA606" s="46"/>
      <c r="AD606" s="46"/>
    </row>
    <row r="607" spans="1:30">
      <c r="A607">
        <v>3559</v>
      </c>
      <c r="B607" t="s">
        <v>1146</v>
      </c>
      <c r="C607">
        <v>21.3</v>
      </c>
      <c r="Y607" s="46"/>
      <c r="Z607" s="46"/>
      <c r="AA607" s="46"/>
      <c r="AD607" s="46"/>
    </row>
    <row r="608" spans="1:30">
      <c r="A608">
        <v>3561</v>
      </c>
      <c r="B608" t="s">
        <v>1147</v>
      </c>
      <c r="C608">
        <v>21.05</v>
      </c>
      <c r="Y608" s="46"/>
      <c r="Z608" s="46"/>
      <c r="AA608" s="46"/>
      <c r="AD608" s="46"/>
    </row>
    <row r="609" spans="1:30">
      <c r="A609">
        <v>3573</v>
      </c>
      <c r="B609" t="s">
        <v>1148</v>
      </c>
      <c r="C609">
        <v>17.95</v>
      </c>
      <c r="Y609" s="46"/>
      <c r="Z609" s="46"/>
      <c r="AA609" s="46"/>
      <c r="AD609" s="46"/>
    </row>
    <row r="610" spans="1:30">
      <c r="A610">
        <v>3576</v>
      </c>
      <c r="B610" t="s">
        <v>1149</v>
      </c>
      <c r="C610">
        <v>26.2</v>
      </c>
      <c r="Y610" s="46"/>
      <c r="Z610" s="46"/>
      <c r="AA610" s="46"/>
      <c r="AD610" s="46"/>
    </row>
    <row r="611" spans="1:30">
      <c r="A611">
        <v>3579</v>
      </c>
      <c r="B611" t="s">
        <v>1150</v>
      </c>
      <c r="C611">
        <v>14.65</v>
      </c>
      <c r="Y611" s="46"/>
      <c r="Z611" s="46"/>
      <c r="AA611" s="46"/>
      <c r="AD611" s="46"/>
    </row>
    <row r="612" spans="1:30">
      <c r="A612">
        <v>3583</v>
      </c>
      <c r="B612" t="s">
        <v>1151</v>
      </c>
      <c r="C612">
        <v>79.2</v>
      </c>
      <c r="Y612" s="46"/>
      <c r="Z612" s="46"/>
      <c r="AD612" s="46"/>
    </row>
    <row r="613" spans="1:30">
      <c r="A613">
        <v>3584</v>
      </c>
      <c r="B613" t="s">
        <v>1152</v>
      </c>
      <c r="C613">
        <v>5.68</v>
      </c>
      <c r="Y613" s="46"/>
      <c r="Z613" s="46"/>
      <c r="AA613" s="46"/>
      <c r="AD613" s="46"/>
    </row>
    <row r="614" spans="1:30">
      <c r="A614">
        <v>3588</v>
      </c>
      <c r="B614" t="s">
        <v>1153</v>
      </c>
      <c r="C614">
        <v>33</v>
      </c>
      <c r="Y614" s="46"/>
      <c r="Z614" s="46"/>
      <c r="AA614" s="46"/>
      <c r="AD614" s="46"/>
    </row>
    <row r="615" spans="1:30">
      <c r="A615">
        <v>3591</v>
      </c>
      <c r="B615" t="s">
        <v>1154</v>
      </c>
      <c r="C615">
        <v>17.399999999999999</v>
      </c>
      <c r="Y615" s="46"/>
      <c r="Z615" s="46"/>
      <c r="AD615" s="46"/>
    </row>
    <row r="616" spans="1:30">
      <c r="A616">
        <v>3593</v>
      </c>
      <c r="B616" t="s">
        <v>1155</v>
      </c>
      <c r="C616">
        <v>8.93</v>
      </c>
      <c r="Y616" s="46"/>
      <c r="Z616" s="46"/>
      <c r="AD616" s="46"/>
    </row>
    <row r="617" spans="1:30">
      <c r="A617">
        <v>3596</v>
      </c>
      <c r="B617" t="s">
        <v>1156</v>
      </c>
      <c r="C617">
        <v>31.7</v>
      </c>
      <c r="Y617" s="46"/>
      <c r="Z617" s="46"/>
      <c r="AA617" s="46"/>
      <c r="AD617" s="46"/>
    </row>
    <row r="618" spans="1:30">
      <c r="A618">
        <v>3598</v>
      </c>
      <c r="B618" t="s">
        <v>1157</v>
      </c>
      <c r="C618">
        <v>49.35</v>
      </c>
      <c r="Y618" s="46"/>
      <c r="Z618" s="46"/>
      <c r="AA618" s="46"/>
      <c r="AD618" s="46"/>
    </row>
    <row r="619" spans="1:30">
      <c r="A619">
        <v>3605</v>
      </c>
      <c r="B619" t="s">
        <v>1158</v>
      </c>
      <c r="C619">
        <v>28.9</v>
      </c>
      <c r="Y619" s="46"/>
      <c r="Z619" s="46"/>
      <c r="AA619" s="46"/>
      <c r="AD619" s="46"/>
    </row>
    <row r="620" spans="1:30">
      <c r="A620">
        <v>3607</v>
      </c>
      <c r="B620" t="s">
        <v>1159</v>
      </c>
      <c r="C620">
        <v>55.8</v>
      </c>
      <c r="Y620" s="46"/>
      <c r="Z620" s="46"/>
      <c r="AA620" s="46"/>
      <c r="AD620" s="46"/>
    </row>
    <row r="621" spans="1:30">
      <c r="A621">
        <v>3617</v>
      </c>
      <c r="B621" t="s">
        <v>1160</v>
      </c>
      <c r="C621">
        <v>120.5</v>
      </c>
      <c r="Y621" s="46"/>
      <c r="Z621" s="46"/>
      <c r="AD621" s="46"/>
    </row>
    <row r="622" spans="1:30">
      <c r="A622">
        <v>3622</v>
      </c>
      <c r="B622" t="s">
        <v>1161</v>
      </c>
      <c r="C622">
        <v>11.35</v>
      </c>
      <c r="Y622" s="46"/>
      <c r="Z622" s="46"/>
      <c r="AA622" s="46"/>
      <c r="AD622" s="46"/>
    </row>
    <row r="623" spans="1:30">
      <c r="A623">
        <v>3645</v>
      </c>
      <c r="B623" t="s">
        <v>1162</v>
      </c>
      <c r="C623">
        <v>27.5</v>
      </c>
      <c r="Y623" s="46"/>
      <c r="Z623" s="46"/>
      <c r="AA623" s="46"/>
      <c r="AD623" s="46"/>
    </row>
    <row r="624" spans="1:30">
      <c r="A624">
        <v>3653</v>
      </c>
      <c r="B624" t="s">
        <v>1163</v>
      </c>
      <c r="C624">
        <v>41.8</v>
      </c>
      <c r="Y624" s="46"/>
      <c r="Z624" s="46"/>
      <c r="AA624" s="46"/>
      <c r="AD624" s="46"/>
    </row>
    <row r="625" spans="1:30">
      <c r="A625">
        <v>3661</v>
      </c>
      <c r="B625" t="s">
        <v>1164</v>
      </c>
      <c r="C625">
        <v>37.1</v>
      </c>
      <c r="Y625" s="46"/>
      <c r="Z625" s="46"/>
      <c r="AA625" s="46"/>
      <c r="AD625" s="46"/>
    </row>
    <row r="626" spans="1:30">
      <c r="A626">
        <v>3665</v>
      </c>
      <c r="B626" t="s">
        <v>1165</v>
      </c>
      <c r="C626">
        <v>140</v>
      </c>
      <c r="Y626" s="46"/>
      <c r="Z626" s="46"/>
      <c r="AA626" s="46"/>
      <c r="AD626" s="46"/>
    </row>
    <row r="627" spans="1:30">
      <c r="A627">
        <v>3669</v>
      </c>
      <c r="B627" t="s">
        <v>1166</v>
      </c>
      <c r="C627">
        <v>14</v>
      </c>
      <c r="Y627" s="46"/>
      <c r="Z627" s="46"/>
      <c r="AD627" s="46"/>
    </row>
    <row r="628" spans="1:30">
      <c r="A628">
        <v>3673</v>
      </c>
      <c r="B628" t="s">
        <v>1167</v>
      </c>
      <c r="C628">
        <v>93.1</v>
      </c>
      <c r="Y628" s="46"/>
      <c r="Z628" s="46"/>
      <c r="AA628" s="46"/>
      <c r="AD628" s="46"/>
    </row>
    <row r="629" spans="1:30">
      <c r="A629">
        <v>3679</v>
      </c>
      <c r="B629" t="s">
        <v>1168</v>
      </c>
      <c r="C629">
        <v>44</v>
      </c>
      <c r="Y629" s="46"/>
      <c r="Z629" s="46"/>
      <c r="AD629" s="46"/>
    </row>
    <row r="630" spans="1:30">
      <c r="A630">
        <v>3682</v>
      </c>
      <c r="B630" t="s">
        <v>1169</v>
      </c>
      <c r="C630">
        <v>10.45</v>
      </c>
      <c r="Y630" s="46"/>
      <c r="Z630" s="46"/>
      <c r="AA630" s="46"/>
      <c r="AD630" s="46"/>
    </row>
    <row r="631" spans="1:30">
      <c r="A631">
        <v>3686</v>
      </c>
      <c r="B631" t="s">
        <v>1170</v>
      </c>
      <c r="C631">
        <v>11.7</v>
      </c>
      <c r="M631" s="46"/>
      <c r="Y631" s="46"/>
      <c r="Z631" s="46"/>
      <c r="AD631" s="46"/>
    </row>
    <row r="632" spans="1:30">
      <c r="A632">
        <v>3694</v>
      </c>
      <c r="B632" t="s">
        <v>1171</v>
      </c>
      <c r="C632">
        <v>19.899999999999999</v>
      </c>
      <c r="Y632" s="46"/>
      <c r="Z632" s="46"/>
      <c r="AD632" s="46"/>
    </row>
    <row r="633" spans="1:30">
      <c r="A633">
        <v>3698</v>
      </c>
      <c r="B633" t="s">
        <v>1172</v>
      </c>
      <c r="C633">
        <v>16.899999999999999</v>
      </c>
      <c r="Y633" s="46"/>
      <c r="Z633" s="46"/>
      <c r="AD633" s="46"/>
    </row>
    <row r="634" spans="1:30">
      <c r="A634">
        <v>3701</v>
      </c>
      <c r="B634" t="s">
        <v>1173</v>
      </c>
      <c r="C634">
        <v>9</v>
      </c>
      <c r="Y634" s="46"/>
      <c r="Z634" s="46"/>
      <c r="AD634" s="46"/>
    </row>
    <row r="635" spans="1:30">
      <c r="A635">
        <v>3702</v>
      </c>
      <c r="B635" t="s">
        <v>1174</v>
      </c>
      <c r="C635">
        <v>31.95</v>
      </c>
      <c r="Y635" s="46"/>
      <c r="Z635" s="46"/>
      <c r="AD635" s="46"/>
    </row>
    <row r="636" spans="1:30">
      <c r="A636">
        <v>3703</v>
      </c>
      <c r="B636" t="s">
        <v>1175</v>
      </c>
      <c r="C636">
        <v>9.9499999999999993</v>
      </c>
      <c r="Y636" s="46"/>
      <c r="Z636" s="46"/>
      <c r="AA636" s="46"/>
      <c r="AD636" s="46"/>
    </row>
    <row r="637" spans="1:30">
      <c r="A637">
        <v>3704</v>
      </c>
      <c r="B637" t="s">
        <v>1176</v>
      </c>
      <c r="C637">
        <v>12.4</v>
      </c>
      <c r="Y637" s="46"/>
      <c r="Z637" s="46"/>
      <c r="AD637" s="46"/>
    </row>
    <row r="638" spans="1:30">
      <c r="A638">
        <v>3705</v>
      </c>
      <c r="B638" t="s">
        <v>1177</v>
      </c>
      <c r="C638">
        <v>49.55</v>
      </c>
      <c r="Y638" s="46"/>
      <c r="Z638" s="46"/>
      <c r="AD638" s="46"/>
    </row>
    <row r="639" spans="1:30">
      <c r="A639">
        <v>3706</v>
      </c>
      <c r="B639" t="s">
        <v>1178</v>
      </c>
      <c r="C639">
        <v>24.75</v>
      </c>
      <c r="Y639" s="46"/>
      <c r="Z639" s="46"/>
      <c r="AA639" s="46"/>
      <c r="AD639" s="46"/>
    </row>
    <row r="640" spans="1:30">
      <c r="A640">
        <v>4104</v>
      </c>
      <c r="B640" t="s">
        <v>1179</v>
      </c>
      <c r="C640">
        <v>53.1</v>
      </c>
      <c r="Y640" s="46"/>
      <c r="Z640" s="46"/>
      <c r="AD640" s="46"/>
    </row>
    <row r="641" spans="1:30">
      <c r="A641">
        <v>4106</v>
      </c>
      <c r="B641" t="s">
        <v>1180</v>
      </c>
      <c r="C641">
        <v>40.25</v>
      </c>
      <c r="Y641" s="46"/>
      <c r="Z641" s="46"/>
      <c r="AA641" s="46"/>
      <c r="AD641" s="46"/>
    </row>
    <row r="642" spans="1:30">
      <c r="A642">
        <v>4108</v>
      </c>
      <c r="B642" t="s">
        <v>1181</v>
      </c>
      <c r="C642">
        <v>30.25</v>
      </c>
      <c r="Y642" s="46"/>
      <c r="Z642" s="46"/>
      <c r="AD642" s="46"/>
    </row>
    <row r="643" spans="1:30">
      <c r="A643">
        <v>4119</v>
      </c>
      <c r="B643" t="s">
        <v>1182</v>
      </c>
      <c r="C643">
        <v>102.5</v>
      </c>
      <c r="Y643" s="46"/>
      <c r="Z643" s="46"/>
      <c r="AA643" s="46"/>
      <c r="AD643" s="46"/>
    </row>
    <row r="644" spans="1:30">
      <c r="A644">
        <v>4133</v>
      </c>
      <c r="B644" t="s">
        <v>1183</v>
      </c>
      <c r="C644">
        <v>36.15</v>
      </c>
      <c r="Y644" s="46"/>
      <c r="Z644" s="46"/>
      <c r="AA644" s="46"/>
      <c r="AD644" s="46"/>
    </row>
    <row r="645" spans="1:30">
      <c r="A645">
        <v>4137</v>
      </c>
      <c r="B645" t="s">
        <v>1184</v>
      </c>
      <c r="C645">
        <v>342</v>
      </c>
      <c r="Y645" s="46"/>
      <c r="Z645" s="46"/>
      <c r="AA645" s="46"/>
      <c r="AD645" s="46"/>
    </row>
    <row r="646" spans="1:30">
      <c r="A646">
        <v>4141</v>
      </c>
      <c r="B646" t="s">
        <v>1185</v>
      </c>
      <c r="C646">
        <v>38.5</v>
      </c>
      <c r="Y646" s="46"/>
      <c r="Z646" s="46"/>
      <c r="AA646" s="46"/>
      <c r="AD646" s="46"/>
    </row>
    <row r="647" spans="1:30">
      <c r="A647">
        <v>4142</v>
      </c>
      <c r="B647" t="s">
        <v>1186</v>
      </c>
      <c r="C647">
        <v>25.85</v>
      </c>
      <c r="Y647" s="46"/>
      <c r="Z647" s="46"/>
      <c r="AA647" s="46"/>
      <c r="AD647" s="46"/>
    </row>
    <row r="648" spans="1:30">
      <c r="A648">
        <v>4144</v>
      </c>
      <c r="B648" t="s">
        <v>1187</v>
      </c>
      <c r="C648">
        <v>58.4</v>
      </c>
      <c r="Y648" s="46"/>
      <c r="Z648" s="46"/>
      <c r="AA648" s="46"/>
      <c r="AD648" s="46"/>
    </row>
    <row r="649" spans="1:30">
      <c r="A649">
        <v>4164</v>
      </c>
      <c r="B649" t="s">
        <v>1188</v>
      </c>
      <c r="C649">
        <v>63.5</v>
      </c>
      <c r="Y649" s="46"/>
      <c r="Z649" s="46"/>
      <c r="AA649" s="46"/>
      <c r="AD649" s="46"/>
    </row>
    <row r="650" spans="1:30">
      <c r="A650">
        <v>4190</v>
      </c>
      <c r="B650" t="s">
        <v>1876</v>
      </c>
      <c r="C650">
        <v>157</v>
      </c>
      <c r="Y650" s="46"/>
      <c r="Z650" s="46"/>
      <c r="AA650" s="46"/>
      <c r="AD650" s="46"/>
    </row>
    <row r="651" spans="1:30">
      <c r="A651">
        <v>4414</v>
      </c>
      <c r="B651" t="s">
        <v>1190</v>
      </c>
      <c r="C651">
        <v>18.600000000000001</v>
      </c>
      <c r="Y651" s="46"/>
      <c r="Z651" s="46"/>
      <c r="AA651" s="46"/>
      <c r="AD651" s="46"/>
    </row>
    <row r="652" spans="1:30">
      <c r="A652">
        <v>4426</v>
      </c>
      <c r="B652" t="s">
        <v>1191</v>
      </c>
      <c r="C652">
        <v>179.5</v>
      </c>
      <c r="Y652" s="46"/>
      <c r="Z652" s="46"/>
      <c r="AA652" s="46"/>
      <c r="AD652" s="46"/>
    </row>
    <row r="653" spans="1:30">
      <c r="A653">
        <v>4526</v>
      </c>
      <c r="B653" t="s">
        <v>1192</v>
      </c>
      <c r="C653">
        <v>22.75</v>
      </c>
      <c r="Y653" s="46"/>
      <c r="Z653" s="46"/>
      <c r="AA653" s="46"/>
      <c r="AD653" s="46"/>
    </row>
    <row r="654" spans="1:30">
      <c r="A654">
        <v>4532</v>
      </c>
      <c r="B654" t="s">
        <v>1193</v>
      </c>
      <c r="C654">
        <v>24.5</v>
      </c>
      <c r="Y654" s="46"/>
      <c r="Z654" s="46"/>
      <c r="AA654" s="46"/>
      <c r="AD654" s="46"/>
    </row>
    <row r="655" spans="1:30">
      <c r="A655">
        <v>4536</v>
      </c>
      <c r="B655" t="s">
        <v>1194</v>
      </c>
      <c r="C655">
        <v>121</v>
      </c>
      <c r="Y655" s="46"/>
      <c r="Z655" s="46"/>
      <c r="AD655" s="46"/>
    </row>
    <row r="656" spans="1:30">
      <c r="A656">
        <v>4551</v>
      </c>
      <c r="B656" t="s">
        <v>1195</v>
      </c>
      <c r="C656">
        <v>70</v>
      </c>
      <c r="Y656" s="46"/>
      <c r="Z656" s="46"/>
      <c r="AA656" s="46"/>
      <c r="AD656" s="46"/>
    </row>
    <row r="657" spans="1:30">
      <c r="A657">
        <v>4555</v>
      </c>
      <c r="B657" t="s">
        <v>1894</v>
      </c>
      <c r="C657">
        <v>75.5</v>
      </c>
      <c r="Y657" s="46"/>
      <c r="Z657" s="46"/>
      <c r="AD657" s="46"/>
    </row>
    <row r="658" spans="1:30">
      <c r="A658">
        <v>4557</v>
      </c>
      <c r="B658" t="s">
        <v>1196</v>
      </c>
      <c r="C658">
        <v>76.7</v>
      </c>
      <c r="Y658" s="46"/>
      <c r="Z658" s="46"/>
      <c r="AA658" s="46"/>
      <c r="AD658" s="46"/>
    </row>
    <row r="659" spans="1:30">
      <c r="A659">
        <v>4720</v>
      </c>
      <c r="B659" t="s">
        <v>1197</v>
      </c>
      <c r="C659">
        <v>17.100000000000001</v>
      </c>
      <c r="Y659" s="46"/>
      <c r="Z659" s="46"/>
      <c r="AD659" s="46"/>
    </row>
    <row r="660" spans="1:30">
      <c r="A660">
        <v>4722</v>
      </c>
      <c r="B660" t="s">
        <v>1198</v>
      </c>
      <c r="C660">
        <v>31.75</v>
      </c>
      <c r="Y660" s="46"/>
      <c r="Z660" s="46"/>
      <c r="AD660" s="46"/>
    </row>
    <row r="661" spans="1:30">
      <c r="A661">
        <v>4725</v>
      </c>
      <c r="B661" t="s">
        <v>1199</v>
      </c>
      <c r="C661">
        <v>15.1</v>
      </c>
      <c r="Y661" s="46"/>
      <c r="Z661" s="46"/>
      <c r="AD661" s="46"/>
    </row>
    <row r="662" spans="1:30">
      <c r="A662">
        <v>4733</v>
      </c>
      <c r="B662" t="s">
        <v>1200</v>
      </c>
      <c r="C662">
        <v>208.5</v>
      </c>
      <c r="Y662" s="46"/>
      <c r="Z662" s="46"/>
      <c r="AD662" s="46"/>
    </row>
    <row r="663" spans="1:30">
      <c r="A663">
        <v>4737</v>
      </c>
      <c r="B663" t="s">
        <v>1201</v>
      </c>
      <c r="C663">
        <v>64.5</v>
      </c>
      <c r="Y663" s="46"/>
      <c r="Z663" s="46"/>
      <c r="AD663" s="46"/>
    </row>
    <row r="664" spans="1:30">
      <c r="A664">
        <v>4746</v>
      </c>
      <c r="B664" t="s">
        <v>1202</v>
      </c>
      <c r="C664">
        <v>69.2</v>
      </c>
      <c r="Y664" s="46"/>
      <c r="Z664" s="46"/>
      <c r="AA664" s="46"/>
      <c r="AD664" s="46"/>
    </row>
    <row r="665" spans="1:30">
      <c r="A665">
        <v>4755</v>
      </c>
      <c r="B665" t="s">
        <v>1203</v>
      </c>
      <c r="C665">
        <v>23.4</v>
      </c>
      <c r="Y665" s="46"/>
      <c r="Z665" s="46"/>
      <c r="AA665" s="46"/>
      <c r="AD665" s="46"/>
    </row>
    <row r="666" spans="1:30">
      <c r="A666">
        <v>4763</v>
      </c>
      <c r="B666" t="s">
        <v>1925</v>
      </c>
      <c r="C666">
        <v>116</v>
      </c>
      <c r="Y666" s="46"/>
      <c r="Z666" s="46"/>
      <c r="AA666" s="46"/>
      <c r="AD666" s="46"/>
    </row>
    <row r="667" spans="1:30">
      <c r="A667">
        <v>4904</v>
      </c>
      <c r="B667" t="s">
        <v>1204</v>
      </c>
      <c r="C667">
        <v>68.400000000000006</v>
      </c>
      <c r="Y667" s="46"/>
      <c r="Z667" s="46"/>
      <c r="AA667" s="46"/>
      <c r="AD667" s="46"/>
    </row>
    <row r="668" spans="1:30">
      <c r="A668">
        <v>4906</v>
      </c>
      <c r="B668" t="s">
        <v>1205</v>
      </c>
      <c r="C668">
        <v>15.85</v>
      </c>
      <c r="Y668" s="46"/>
      <c r="Z668" s="46"/>
      <c r="AA668" s="46"/>
      <c r="AD668" s="46"/>
    </row>
    <row r="669" spans="1:30">
      <c r="A669">
        <v>4912</v>
      </c>
      <c r="B669" t="s">
        <v>1206</v>
      </c>
      <c r="C669">
        <v>79.599999999999994</v>
      </c>
      <c r="Y669" s="46"/>
      <c r="Z669" s="46"/>
      <c r="AA669" s="46"/>
      <c r="AD669" s="46"/>
    </row>
    <row r="670" spans="1:30">
      <c r="A670">
        <v>4915</v>
      </c>
      <c r="B670" t="s">
        <v>1207</v>
      </c>
      <c r="C670">
        <v>40.549999999999997</v>
      </c>
      <c r="Y670" s="46"/>
      <c r="Z670" s="46"/>
      <c r="AD670" s="46"/>
    </row>
    <row r="671" spans="1:30">
      <c r="A671">
        <v>4916</v>
      </c>
      <c r="B671" t="s">
        <v>1208</v>
      </c>
      <c r="C671">
        <v>23.1</v>
      </c>
      <c r="Y671" s="46"/>
      <c r="Z671" s="46"/>
      <c r="AA671" s="46"/>
      <c r="AD671" s="46"/>
    </row>
    <row r="672" spans="1:30">
      <c r="A672">
        <v>4919</v>
      </c>
      <c r="B672" t="s">
        <v>1209</v>
      </c>
      <c r="C672">
        <v>35.200000000000003</v>
      </c>
      <c r="M672" s="46"/>
      <c r="Y672" s="46"/>
      <c r="Z672" s="46"/>
      <c r="AD672" s="46"/>
    </row>
    <row r="673" spans="1:30">
      <c r="A673">
        <v>4927</v>
      </c>
      <c r="B673" t="s">
        <v>1210</v>
      </c>
      <c r="C673">
        <v>41.75</v>
      </c>
      <c r="Y673" s="46"/>
      <c r="Z673" s="46"/>
      <c r="AA673" s="46"/>
      <c r="AD673" s="46"/>
    </row>
    <row r="674" spans="1:30">
      <c r="A674">
        <v>4930</v>
      </c>
      <c r="B674" t="s">
        <v>1211</v>
      </c>
      <c r="C674">
        <v>15.05</v>
      </c>
      <c r="Y674" s="46"/>
      <c r="Z674" s="46"/>
      <c r="AA674" s="46"/>
      <c r="AD674" s="46"/>
    </row>
    <row r="675" spans="1:30">
      <c r="A675">
        <v>4934</v>
      </c>
      <c r="B675" t="s">
        <v>1212</v>
      </c>
      <c r="C675">
        <v>22.7</v>
      </c>
      <c r="Y675" s="46"/>
      <c r="Z675" s="46"/>
      <c r="AD675" s="46"/>
    </row>
    <row r="676" spans="1:30">
      <c r="A676">
        <v>4935</v>
      </c>
      <c r="B676" t="s">
        <v>1213</v>
      </c>
      <c r="C676">
        <v>77.400000000000006</v>
      </c>
      <c r="Y676" s="46"/>
      <c r="Z676" s="46"/>
      <c r="AA676" s="46"/>
      <c r="AD676" s="46"/>
    </row>
    <row r="677" spans="1:30">
      <c r="A677">
        <v>4938</v>
      </c>
      <c r="B677" t="s">
        <v>1214</v>
      </c>
      <c r="C677">
        <v>85.7</v>
      </c>
      <c r="Y677" s="46"/>
      <c r="Z677" s="46"/>
      <c r="AD677" s="46"/>
    </row>
    <row r="678" spans="1:30">
      <c r="A678">
        <v>4942</v>
      </c>
      <c r="B678" t="s">
        <v>1215</v>
      </c>
      <c r="C678">
        <v>22.3</v>
      </c>
      <c r="Y678" s="46"/>
      <c r="Z678" s="46"/>
      <c r="AA678" s="46"/>
      <c r="AD678" s="46"/>
    </row>
    <row r="679" spans="1:30">
      <c r="A679">
        <v>4952</v>
      </c>
      <c r="B679" t="s">
        <v>1216</v>
      </c>
      <c r="C679">
        <v>43.65</v>
      </c>
      <c r="Y679" s="46"/>
      <c r="Z679" s="46"/>
      <c r="AD679" s="46"/>
    </row>
    <row r="680" spans="1:30">
      <c r="A680">
        <v>4956</v>
      </c>
      <c r="B680" t="s">
        <v>1217</v>
      </c>
      <c r="C680">
        <v>11.45</v>
      </c>
      <c r="Y680" s="46"/>
      <c r="Z680" s="46"/>
      <c r="AA680" s="46"/>
      <c r="AD680" s="46"/>
    </row>
    <row r="681" spans="1:30">
      <c r="A681">
        <v>4958</v>
      </c>
      <c r="B681" t="s">
        <v>1218</v>
      </c>
      <c r="C681">
        <v>92.6</v>
      </c>
      <c r="Y681" s="46"/>
      <c r="Z681" s="46"/>
      <c r="AD681" s="46"/>
    </row>
    <row r="682" spans="1:30">
      <c r="A682">
        <v>4960</v>
      </c>
      <c r="B682" t="s">
        <v>1219</v>
      </c>
      <c r="C682">
        <v>22.25</v>
      </c>
      <c r="Y682" s="46"/>
      <c r="Z682" s="46"/>
      <c r="AA682" s="46"/>
      <c r="AD682" s="46"/>
    </row>
    <row r="683" spans="1:30">
      <c r="A683">
        <v>4968</v>
      </c>
      <c r="B683" t="s">
        <v>1934</v>
      </c>
      <c r="C683">
        <v>88.9</v>
      </c>
      <c r="Y683" s="46"/>
      <c r="Z683" s="46"/>
      <c r="AD683" s="46"/>
    </row>
    <row r="684" spans="1:30">
      <c r="A684">
        <v>4976</v>
      </c>
      <c r="B684" t="s">
        <v>1220</v>
      </c>
      <c r="C684">
        <v>15.5</v>
      </c>
      <c r="Y684" s="46"/>
      <c r="Z684" s="46"/>
      <c r="AD684" s="46"/>
    </row>
    <row r="685" spans="1:30">
      <c r="A685">
        <v>4977</v>
      </c>
      <c r="B685" t="s">
        <v>1221</v>
      </c>
      <c r="C685">
        <v>60.1</v>
      </c>
      <c r="Y685" s="46"/>
      <c r="Z685" s="46"/>
      <c r="AD685" s="46"/>
    </row>
    <row r="686" spans="1:30">
      <c r="A686">
        <v>4984</v>
      </c>
      <c r="B686" t="s">
        <v>1222</v>
      </c>
      <c r="C686">
        <v>41.95</v>
      </c>
      <c r="Y686" s="46"/>
      <c r="Z686" s="46"/>
      <c r="AD686" s="46"/>
    </row>
    <row r="687" spans="1:30">
      <c r="A687">
        <v>4994</v>
      </c>
      <c r="B687" t="s">
        <v>1223</v>
      </c>
      <c r="C687">
        <v>77.8</v>
      </c>
      <c r="Y687" s="46"/>
      <c r="Z687" s="46"/>
      <c r="AA687" s="46"/>
      <c r="AD687" s="46"/>
    </row>
    <row r="688" spans="1:30">
      <c r="A688">
        <v>4999</v>
      </c>
      <c r="B688" t="s">
        <v>1224</v>
      </c>
      <c r="C688">
        <v>45.9</v>
      </c>
      <c r="Y688" s="46"/>
      <c r="Z688" s="46"/>
      <c r="AA688" s="46"/>
      <c r="AD688" s="46"/>
    </row>
    <row r="689" spans="1:30">
      <c r="A689">
        <v>5007</v>
      </c>
      <c r="B689" t="s">
        <v>1225</v>
      </c>
      <c r="C689">
        <v>61.4</v>
      </c>
      <c r="Y689" s="46"/>
      <c r="Z689" s="46"/>
      <c r="AD689" s="46"/>
    </row>
    <row r="690" spans="1:30">
      <c r="A690">
        <v>5203</v>
      </c>
      <c r="B690" t="s">
        <v>1226</v>
      </c>
      <c r="C690">
        <v>69.8</v>
      </c>
      <c r="Y690" s="46"/>
      <c r="Z690" s="46"/>
      <c r="AA690" s="46"/>
      <c r="AD690" s="46"/>
    </row>
    <row r="691" spans="1:30">
      <c r="A691">
        <v>5215</v>
      </c>
      <c r="B691" t="s">
        <v>1227</v>
      </c>
      <c r="C691">
        <v>42.6</v>
      </c>
      <c r="Y691" s="46"/>
      <c r="Z691" s="46"/>
      <c r="AA691" s="46"/>
      <c r="AD691" s="46"/>
    </row>
    <row r="692" spans="1:30">
      <c r="A692">
        <v>5225</v>
      </c>
      <c r="B692" t="s">
        <v>1228</v>
      </c>
      <c r="C692">
        <v>52.7</v>
      </c>
      <c r="Y692" s="46"/>
      <c r="Z692" s="46"/>
      <c r="AA692" s="46"/>
      <c r="AD692" s="46"/>
    </row>
    <row r="693" spans="1:30">
      <c r="A693">
        <v>5234</v>
      </c>
      <c r="B693" t="s">
        <v>1229</v>
      </c>
      <c r="C693">
        <v>31</v>
      </c>
      <c r="Y693" s="46"/>
      <c r="Z693" s="46"/>
      <c r="AD693" s="46"/>
    </row>
    <row r="694" spans="1:30">
      <c r="A694">
        <v>5243</v>
      </c>
      <c r="B694" t="s">
        <v>1230</v>
      </c>
      <c r="C694">
        <v>27.45</v>
      </c>
      <c r="Y694" s="46"/>
      <c r="Z694" s="46"/>
      <c r="AA694" s="46"/>
      <c r="AD694" s="46"/>
    </row>
    <row r="695" spans="1:30">
      <c r="A695">
        <v>5259</v>
      </c>
      <c r="B695" t="s">
        <v>1231</v>
      </c>
      <c r="C695">
        <v>7.28</v>
      </c>
      <c r="Y695" s="46"/>
      <c r="Z695" s="46"/>
      <c r="AA695" s="46"/>
      <c r="AD695" s="46"/>
    </row>
    <row r="696" spans="1:30">
      <c r="A696">
        <v>5264</v>
      </c>
      <c r="B696" t="s">
        <v>1232</v>
      </c>
      <c r="C696">
        <v>166</v>
      </c>
      <c r="Y696" s="46"/>
      <c r="Z696" s="46"/>
      <c r="AA696" s="46"/>
      <c r="AD696" s="46"/>
    </row>
    <row r="697" spans="1:30">
      <c r="A697">
        <v>5269</v>
      </c>
      <c r="B697" t="s">
        <v>1233</v>
      </c>
      <c r="C697">
        <v>214.5</v>
      </c>
      <c r="Y697" s="46"/>
      <c r="Z697" s="46"/>
      <c r="AD697" s="46"/>
    </row>
    <row r="698" spans="1:30">
      <c r="A698">
        <v>5285</v>
      </c>
      <c r="B698" t="s">
        <v>1234</v>
      </c>
      <c r="C698">
        <v>30.5</v>
      </c>
      <c r="Y698" s="46"/>
      <c r="Z698" s="46"/>
      <c r="AD698" s="46"/>
    </row>
    <row r="699" spans="1:30">
      <c r="A699">
        <v>5288</v>
      </c>
      <c r="B699" t="s">
        <v>1235</v>
      </c>
      <c r="C699">
        <v>117</v>
      </c>
      <c r="Y699" s="46"/>
      <c r="Z699" s="46"/>
      <c r="AA699" s="46"/>
      <c r="AD699" s="46"/>
    </row>
    <row r="700" spans="1:30">
      <c r="A700">
        <v>5305</v>
      </c>
      <c r="B700" t="s">
        <v>1236</v>
      </c>
      <c r="C700">
        <v>21.5</v>
      </c>
      <c r="Y700" s="46"/>
      <c r="Z700" s="46"/>
      <c r="AD700" s="46"/>
    </row>
    <row r="701" spans="1:30">
      <c r="A701">
        <v>5388</v>
      </c>
      <c r="B701" t="s">
        <v>1237</v>
      </c>
      <c r="C701">
        <v>86.8</v>
      </c>
      <c r="Y701" s="46"/>
      <c r="Z701" s="46"/>
      <c r="AD701" s="46"/>
    </row>
    <row r="702" spans="1:30">
      <c r="A702">
        <v>5434</v>
      </c>
      <c r="B702" t="s">
        <v>1238</v>
      </c>
      <c r="C702">
        <v>53.4</v>
      </c>
      <c r="Y702" s="46"/>
      <c r="Z702" s="46"/>
      <c r="AD702" s="46"/>
    </row>
    <row r="703" spans="1:30">
      <c r="A703">
        <v>5469</v>
      </c>
      <c r="B703" t="s">
        <v>1239</v>
      </c>
      <c r="C703">
        <v>10.55</v>
      </c>
      <c r="Y703" s="46"/>
      <c r="Z703" s="46"/>
      <c r="AD703" s="46"/>
    </row>
    <row r="704" spans="1:30">
      <c r="A704">
        <v>5471</v>
      </c>
      <c r="B704" t="s">
        <v>1240</v>
      </c>
      <c r="C704">
        <v>36.4</v>
      </c>
      <c r="Y704" s="46"/>
      <c r="Z704" s="46"/>
      <c r="AD704" s="46"/>
    </row>
    <row r="705" spans="1:30">
      <c r="A705">
        <v>5484</v>
      </c>
      <c r="B705" t="s">
        <v>1241</v>
      </c>
      <c r="C705">
        <v>4.0999999999999996</v>
      </c>
      <c r="Y705" s="46"/>
      <c r="Z705" s="46"/>
      <c r="AD705" s="46"/>
    </row>
    <row r="706" spans="1:30">
      <c r="A706">
        <v>5515</v>
      </c>
      <c r="B706" t="s">
        <v>1242</v>
      </c>
      <c r="C706">
        <v>8.5500000000000007</v>
      </c>
      <c r="Y706" s="46"/>
      <c r="Z706" s="46"/>
      <c r="AD706" s="46"/>
    </row>
    <row r="707" spans="1:30">
      <c r="A707">
        <v>5519</v>
      </c>
      <c r="B707" t="s">
        <v>1243</v>
      </c>
      <c r="C707">
        <v>13.6</v>
      </c>
    </row>
    <row r="708" spans="1:30">
      <c r="A708">
        <v>5521</v>
      </c>
      <c r="B708" t="s">
        <v>1244</v>
      </c>
      <c r="C708">
        <v>10.9</v>
      </c>
    </row>
    <row r="709" spans="1:30">
      <c r="A709">
        <v>5522</v>
      </c>
      <c r="B709" t="s">
        <v>1245</v>
      </c>
      <c r="C709">
        <v>34.5</v>
      </c>
    </row>
    <row r="710" spans="1:30">
      <c r="A710">
        <v>5525</v>
      </c>
      <c r="B710" t="s">
        <v>1246</v>
      </c>
      <c r="C710">
        <v>16.399999999999999</v>
      </c>
    </row>
    <row r="711" spans="1:30">
      <c r="A711">
        <v>5531</v>
      </c>
      <c r="B711" t="s">
        <v>1247</v>
      </c>
      <c r="C711">
        <v>10.95</v>
      </c>
    </row>
    <row r="712" spans="1:30">
      <c r="A712">
        <v>5533</v>
      </c>
      <c r="B712" t="s">
        <v>1248</v>
      </c>
      <c r="C712">
        <v>17</v>
      </c>
    </row>
    <row r="713" spans="1:30">
      <c r="A713">
        <v>5534</v>
      </c>
      <c r="B713" t="s">
        <v>1249</v>
      </c>
      <c r="C713">
        <v>44.9</v>
      </c>
    </row>
    <row r="714" spans="1:30">
      <c r="A714">
        <v>5538</v>
      </c>
      <c r="B714" t="s">
        <v>1250</v>
      </c>
      <c r="C714">
        <v>26.2</v>
      </c>
    </row>
    <row r="715" spans="1:30">
      <c r="A715">
        <v>5607</v>
      </c>
      <c r="B715" t="s">
        <v>1251</v>
      </c>
      <c r="C715">
        <v>15</v>
      </c>
    </row>
    <row r="716" spans="1:30">
      <c r="A716">
        <v>5608</v>
      </c>
      <c r="B716" t="s">
        <v>1252</v>
      </c>
      <c r="C716">
        <v>11.75</v>
      </c>
    </row>
    <row r="717" spans="1:30">
      <c r="A717">
        <v>5706</v>
      </c>
      <c r="B717" t="s">
        <v>1253</v>
      </c>
      <c r="C717">
        <v>38.35</v>
      </c>
    </row>
    <row r="718" spans="1:30">
      <c r="A718">
        <v>5871</v>
      </c>
      <c r="B718" t="s">
        <v>1254</v>
      </c>
      <c r="C718">
        <v>56</v>
      </c>
    </row>
    <row r="719" spans="1:30">
      <c r="A719">
        <v>5880</v>
      </c>
      <c r="B719" t="s">
        <v>1255</v>
      </c>
      <c r="C719">
        <v>13.85</v>
      </c>
    </row>
    <row r="720" spans="1:30">
      <c r="A720">
        <v>5906</v>
      </c>
      <c r="B720" t="s">
        <v>1256</v>
      </c>
      <c r="C720">
        <v>1.9</v>
      </c>
    </row>
    <row r="721" spans="1:3">
      <c r="A721">
        <v>5907</v>
      </c>
      <c r="B721" t="s">
        <v>1257</v>
      </c>
      <c r="C721">
        <v>29.15</v>
      </c>
    </row>
    <row r="722" spans="1:3">
      <c r="A722">
        <v>6005</v>
      </c>
      <c r="B722" t="s">
        <v>1258</v>
      </c>
      <c r="C722">
        <v>9.4600000000000009</v>
      </c>
    </row>
    <row r="723" spans="1:3">
      <c r="A723">
        <v>6108</v>
      </c>
      <c r="B723" t="s">
        <v>1259</v>
      </c>
      <c r="C723">
        <v>12.1</v>
      </c>
    </row>
    <row r="724" spans="1:3">
      <c r="A724">
        <v>6112</v>
      </c>
      <c r="B724" t="s">
        <v>1260</v>
      </c>
      <c r="C724">
        <v>26.75</v>
      </c>
    </row>
    <row r="725" spans="1:3">
      <c r="A725">
        <v>6115</v>
      </c>
      <c r="B725" t="s">
        <v>1261</v>
      </c>
      <c r="C725">
        <v>32.799999999999997</v>
      </c>
    </row>
    <row r="726" spans="1:3">
      <c r="A726">
        <v>6116</v>
      </c>
      <c r="B726" t="s">
        <v>1262</v>
      </c>
      <c r="C726">
        <v>3.96</v>
      </c>
    </row>
    <row r="727" spans="1:3">
      <c r="A727">
        <v>6117</v>
      </c>
      <c r="B727" t="s">
        <v>1263</v>
      </c>
      <c r="C727">
        <v>14.6</v>
      </c>
    </row>
    <row r="728" spans="1:3">
      <c r="A728">
        <v>6120</v>
      </c>
      <c r="B728" t="s">
        <v>1264</v>
      </c>
      <c r="C728">
        <v>10.75</v>
      </c>
    </row>
    <row r="729" spans="1:3">
      <c r="A729">
        <v>6128</v>
      </c>
      <c r="B729" t="s">
        <v>1265</v>
      </c>
      <c r="C729">
        <v>35</v>
      </c>
    </row>
    <row r="730" spans="1:3">
      <c r="A730">
        <v>6131</v>
      </c>
      <c r="B730" t="s">
        <v>1266</v>
      </c>
      <c r="C730">
        <v>11.7</v>
      </c>
    </row>
    <row r="731" spans="1:3">
      <c r="A731">
        <v>6133</v>
      </c>
      <c r="B731" t="s">
        <v>1267</v>
      </c>
      <c r="C731">
        <v>11</v>
      </c>
    </row>
    <row r="732" spans="1:3">
      <c r="A732">
        <v>6136</v>
      </c>
      <c r="B732" t="s">
        <v>1268</v>
      </c>
      <c r="C732">
        <v>23.95</v>
      </c>
    </row>
    <row r="733" spans="1:3">
      <c r="A733">
        <v>6139</v>
      </c>
      <c r="B733" t="s">
        <v>1269</v>
      </c>
      <c r="C733">
        <v>17.649999999999999</v>
      </c>
    </row>
    <row r="734" spans="1:3">
      <c r="A734">
        <v>6141</v>
      </c>
      <c r="B734" t="s">
        <v>1270</v>
      </c>
      <c r="C734">
        <v>9.8699999999999992</v>
      </c>
    </row>
    <row r="735" spans="1:3">
      <c r="A735">
        <v>6142</v>
      </c>
      <c r="B735" t="s">
        <v>1271</v>
      </c>
      <c r="C735">
        <v>5.8</v>
      </c>
    </row>
    <row r="736" spans="1:3">
      <c r="A736">
        <v>6145</v>
      </c>
      <c r="B736" t="s">
        <v>1272</v>
      </c>
      <c r="C736">
        <v>13.15</v>
      </c>
    </row>
    <row r="737" spans="1:3">
      <c r="A737">
        <v>6152</v>
      </c>
      <c r="B737" t="s">
        <v>1273</v>
      </c>
      <c r="C737">
        <v>7.37</v>
      </c>
    </row>
    <row r="738" spans="1:3">
      <c r="A738">
        <v>6153</v>
      </c>
      <c r="B738" t="s">
        <v>1274</v>
      </c>
      <c r="C738">
        <v>26.8</v>
      </c>
    </row>
    <row r="739" spans="1:3">
      <c r="A739">
        <v>6155</v>
      </c>
      <c r="B739" t="s">
        <v>1275</v>
      </c>
      <c r="C739">
        <v>18.100000000000001</v>
      </c>
    </row>
    <row r="740" spans="1:3">
      <c r="A740">
        <v>6164</v>
      </c>
      <c r="B740" t="s">
        <v>1276</v>
      </c>
      <c r="C740">
        <v>10.15</v>
      </c>
    </row>
    <row r="741" spans="1:3">
      <c r="A741">
        <v>6165</v>
      </c>
      <c r="B741" t="s">
        <v>1277</v>
      </c>
      <c r="C741">
        <v>11.8</v>
      </c>
    </row>
    <row r="742" spans="1:3">
      <c r="A742">
        <v>6166</v>
      </c>
      <c r="B742" t="s">
        <v>1278</v>
      </c>
      <c r="C742">
        <v>82.4</v>
      </c>
    </row>
    <row r="743" spans="1:3">
      <c r="A743">
        <v>6168</v>
      </c>
      <c r="B743" t="s">
        <v>1279</v>
      </c>
      <c r="C743">
        <v>13.05</v>
      </c>
    </row>
    <row r="744" spans="1:3">
      <c r="A744">
        <v>6172</v>
      </c>
      <c r="B744" t="s">
        <v>1280</v>
      </c>
      <c r="C744">
        <v>5.03</v>
      </c>
    </row>
    <row r="745" spans="1:3">
      <c r="A745">
        <v>6176</v>
      </c>
      <c r="B745" t="s">
        <v>1281</v>
      </c>
      <c r="C745">
        <v>84.1</v>
      </c>
    </row>
    <row r="746" spans="1:3">
      <c r="A746">
        <v>6177</v>
      </c>
      <c r="B746" t="s">
        <v>1282</v>
      </c>
      <c r="C746">
        <v>20</v>
      </c>
    </row>
    <row r="747" spans="1:3">
      <c r="A747">
        <v>6183</v>
      </c>
      <c r="B747" t="s">
        <v>1283</v>
      </c>
      <c r="C747">
        <v>26.55</v>
      </c>
    </row>
    <row r="748" spans="1:3">
      <c r="A748">
        <v>6184</v>
      </c>
      <c r="B748" t="s">
        <v>1284</v>
      </c>
      <c r="C748">
        <v>52.9</v>
      </c>
    </row>
    <row r="749" spans="1:3">
      <c r="A749">
        <v>6189</v>
      </c>
      <c r="B749" t="s">
        <v>1285</v>
      </c>
      <c r="C749">
        <v>30</v>
      </c>
    </row>
    <row r="750" spans="1:3">
      <c r="A750">
        <v>6191</v>
      </c>
      <c r="B750" t="s">
        <v>1286</v>
      </c>
      <c r="C750">
        <v>7.3</v>
      </c>
    </row>
    <row r="751" spans="1:3">
      <c r="A751">
        <v>6192</v>
      </c>
      <c r="B751" t="s">
        <v>1287</v>
      </c>
      <c r="C751">
        <v>43.8</v>
      </c>
    </row>
    <row r="752" spans="1:3">
      <c r="A752">
        <v>6196</v>
      </c>
      <c r="B752" t="s">
        <v>1288</v>
      </c>
      <c r="C752">
        <v>24.5</v>
      </c>
    </row>
    <row r="753" spans="1:3">
      <c r="A753">
        <v>6197</v>
      </c>
      <c r="B753" t="s">
        <v>1289</v>
      </c>
      <c r="C753">
        <v>32.1</v>
      </c>
    </row>
    <row r="754" spans="1:3">
      <c r="A754">
        <v>6201</v>
      </c>
      <c r="B754" t="s">
        <v>1290</v>
      </c>
      <c r="C754">
        <v>25.8</v>
      </c>
    </row>
    <row r="755" spans="1:3">
      <c r="A755">
        <v>6202</v>
      </c>
      <c r="B755" t="s">
        <v>1291</v>
      </c>
      <c r="C755">
        <v>55.5</v>
      </c>
    </row>
    <row r="756" spans="1:3">
      <c r="A756">
        <v>6205</v>
      </c>
      <c r="B756" t="s">
        <v>1292</v>
      </c>
      <c r="C756">
        <v>28.95</v>
      </c>
    </row>
    <row r="757" spans="1:3">
      <c r="A757">
        <v>6206</v>
      </c>
      <c r="B757" t="s">
        <v>1293</v>
      </c>
      <c r="C757">
        <v>93.9</v>
      </c>
    </row>
    <row r="758" spans="1:3">
      <c r="A758">
        <v>6209</v>
      </c>
      <c r="B758" t="s">
        <v>1294</v>
      </c>
      <c r="C758">
        <v>15.65</v>
      </c>
    </row>
    <row r="759" spans="1:3">
      <c r="A759">
        <v>6213</v>
      </c>
      <c r="B759" t="s">
        <v>1295</v>
      </c>
      <c r="C759">
        <v>21.95</v>
      </c>
    </row>
    <row r="760" spans="1:3">
      <c r="A760">
        <v>6214</v>
      </c>
      <c r="B760" t="s">
        <v>1296</v>
      </c>
      <c r="C760">
        <v>57.7</v>
      </c>
    </row>
    <row r="761" spans="1:3">
      <c r="A761">
        <v>6215</v>
      </c>
      <c r="B761" t="s">
        <v>1297</v>
      </c>
      <c r="C761">
        <v>12.6</v>
      </c>
    </row>
    <row r="762" spans="1:3">
      <c r="A762">
        <v>6216</v>
      </c>
      <c r="B762" t="s">
        <v>1298</v>
      </c>
      <c r="C762">
        <v>27.8</v>
      </c>
    </row>
    <row r="763" spans="1:3">
      <c r="A763">
        <v>6224</v>
      </c>
      <c r="B763" t="s">
        <v>1299</v>
      </c>
      <c r="C763">
        <v>65</v>
      </c>
    </row>
    <row r="764" spans="1:3">
      <c r="A764">
        <v>6225</v>
      </c>
      <c r="B764" t="s">
        <v>1300</v>
      </c>
      <c r="C764">
        <v>3.39</v>
      </c>
    </row>
    <row r="765" spans="1:3">
      <c r="A765">
        <v>6226</v>
      </c>
      <c r="B765" t="s">
        <v>1301</v>
      </c>
      <c r="C765">
        <v>5.76</v>
      </c>
    </row>
    <row r="766" spans="1:3">
      <c r="A766">
        <v>6230</v>
      </c>
      <c r="B766" t="s">
        <v>1302</v>
      </c>
      <c r="C766">
        <v>115</v>
      </c>
    </row>
    <row r="767" spans="1:3">
      <c r="A767">
        <v>6235</v>
      </c>
      <c r="B767" t="s">
        <v>1303</v>
      </c>
      <c r="C767">
        <v>8.44</v>
      </c>
    </row>
    <row r="768" spans="1:3">
      <c r="A768">
        <v>6239</v>
      </c>
      <c r="B768" t="s">
        <v>1304</v>
      </c>
      <c r="C768">
        <v>71.8</v>
      </c>
    </row>
    <row r="769" spans="1:3">
      <c r="A769">
        <v>6243</v>
      </c>
      <c r="B769" t="s">
        <v>1305</v>
      </c>
      <c r="C769">
        <v>18.100000000000001</v>
      </c>
    </row>
    <row r="770" spans="1:3">
      <c r="A770">
        <v>6251</v>
      </c>
      <c r="B770" t="s">
        <v>1306</v>
      </c>
      <c r="C770">
        <v>9.1</v>
      </c>
    </row>
    <row r="771" spans="1:3">
      <c r="A771">
        <v>6257</v>
      </c>
      <c r="B771" t="s">
        <v>1307</v>
      </c>
      <c r="C771">
        <v>21.9</v>
      </c>
    </row>
    <row r="772" spans="1:3">
      <c r="A772">
        <v>6269</v>
      </c>
      <c r="B772" t="s">
        <v>1308</v>
      </c>
      <c r="C772">
        <v>91.9</v>
      </c>
    </row>
    <row r="773" spans="1:3">
      <c r="A773">
        <v>6271</v>
      </c>
      <c r="B773" t="s">
        <v>1309</v>
      </c>
      <c r="C773">
        <v>81.099999999999994</v>
      </c>
    </row>
    <row r="774" spans="1:3">
      <c r="A774">
        <v>6277</v>
      </c>
      <c r="B774" t="s">
        <v>1310</v>
      </c>
      <c r="C774">
        <v>70.900000000000006</v>
      </c>
    </row>
    <row r="775" spans="1:3">
      <c r="A775">
        <v>6278</v>
      </c>
      <c r="B775" t="s">
        <v>1311</v>
      </c>
      <c r="C775">
        <v>33.299999999999997</v>
      </c>
    </row>
    <row r="776" spans="1:3">
      <c r="A776">
        <v>6281</v>
      </c>
      <c r="B776" t="s">
        <v>1312</v>
      </c>
      <c r="C776">
        <v>56.2</v>
      </c>
    </row>
    <row r="777" spans="1:3">
      <c r="A777">
        <v>6282</v>
      </c>
      <c r="B777" t="s">
        <v>1313</v>
      </c>
      <c r="C777">
        <v>26.05</v>
      </c>
    </row>
    <row r="778" spans="1:3">
      <c r="A778">
        <v>6283</v>
      </c>
      <c r="B778" t="s">
        <v>1314</v>
      </c>
      <c r="C778">
        <v>4.91</v>
      </c>
    </row>
    <row r="779" spans="1:3">
      <c r="A779">
        <v>6285</v>
      </c>
      <c r="B779" t="s">
        <v>1315</v>
      </c>
      <c r="C779">
        <v>91.8</v>
      </c>
    </row>
    <row r="780" spans="1:3">
      <c r="A780">
        <v>6286</v>
      </c>
      <c r="B780" t="s">
        <v>1316</v>
      </c>
      <c r="C780">
        <v>189.5</v>
      </c>
    </row>
    <row r="781" spans="1:3">
      <c r="A781">
        <v>6289</v>
      </c>
      <c r="B781" t="s">
        <v>1317</v>
      </c>
      <c r="C781">
        <v>1.1100000000000001</v>
      </c>
    </row>
    <row r="782" spans="1:3">
      <c r="A782">
        <v>6405</v>
      </c>
      <c r="B782" t="s">
        <v>1318</v>
      </c>
      <c r="C782">
        <v>21.7</v>
      </c>
    </row>
    <row r="783" spans="1:3">
      <c r="A783">
        <v>6409</v>
      </c>
      <c r="B783" t="s">
        <v>1319</v>
      </c>
      <c r="C783">
        <v>493</v>
      </c>
    </row>
    <row r="784" spans="1:3">
      <c r="A784">
        <v>6412</v>
      </c>
      <c r="B784" t="s">
        <v>1320</v>
      </c>
      <c r="C784">
        <v>32.5</v>
      </c>
    </row>
    <row r="785" spans="1:3">
      <c r="A785">
        <v>6414</v>
      </c>
      <c r="B785" t="s">
        <v>1321</v>
      </c>
      <c r="C785">
        <v>360</v>
      </c>
    </row>
    <row r="786" spans="1:3">
      <c r="A786">
        <v>6415</v>
      </c>
      <c r="B786" t="s">
        <v>1322</v>
      </c>
      <c r="C786">
        <v>380</v>
      </c>
    </row>
    <row r="787" spans="1:3">
      <c r="A787">
        <v>6422</v>
      </c>
      <c r="B787" t="s">
        <v>1323</v>
      </c>
      <c r="C787">
        <v>52.4</v>
      </c>
    </row>
    <row r="788" spans="1:3">
      <c r="A788">
        <v>6431</v>
      </c>
      <c r="B788" t="s">
        <v>1324</v>
      </c>
      <c r="C788">
        <v>9.89</v>
      </c>
    </row>
    <row r="789" spans="1:3">
      <c r="A789">
        <v>6442</v>
      </c>
      <c r="B789" t="s">
        <v>1325</v>
      </c>
      <c r="C789">
        <v>54.8</v>
      </c>
    </row>
    <row r="790" spans="1:3">
      <c r="A790">
        <v>6443</v>
      </c>
      <c r="B790" t="s">
        <v>1326</v>
      </c>
      <c r="C790">
        <v>19.95</v>
      </c>
    </row>
    <row r="791" spans="1:3">
      <c r="A791">
        <v>6449</v>
      </c>
      <c r="B791" t="s">
        <v>1327</v>
      </c>
      <c r="C791">
        <v>30.45</v>
      </c>
    </row>
    <row r="792" spans="1:3">
      <c r="A792">
        <v>6451</v>
      </c>
      <c r="B792" t="s">
        <v>1328</v>
      </c>
      <c r="C792">
        <v>150</v>
      </c>
    </row>
    <row r="793" spans="1:3">
      <c r="A793">
        <v>6452</v>
      </c>
      <c r="B793" t="s">
        <v>1329</v>
      </c>
      <c r="C793">
        <v>396</v>
      </c>
    </row>
    <row r="794" spans="1:3">
      <c r="A794">
        <v>6456</v>
      </c>
      <c r="B794" t="s">
        <v>1330</v>
      </c>
      <c r="C794">
        <v>135.5</v>
      </c>
    </row>
    <row r="795" spans="1:3">
      <c r="A795">
        <v>6504</v>
      </c>
      <c r="B795" t="s">
        <v>1331</v>
      </c>
      <c r="C795">
        <v>182.5</v>
      </c>
    </row>
    <row r="796" spans="1:3">
      <c r="A796">
        <v>6505</v>
      </c>
      <c r="B796" t="s">
        <v>1332</v>
      </c>
      <c r="C796">
        <v>75.5</v>
      </c>
    </row>
    <row r="797" spans="1:3">
      <c r="A797">
        <v>6605</v>
      </c>
      <c r="B797" t="s">
        <v>1333</v>
      </c>
      <c r="C797">
        <v>113</v>
      </c>
    </row>
    <row r="798" spans="1:3">
      <c r="A798">
        <v>6702</v>
      </c>
      <c r="B798" t="s">
        <v>1334</v>
      </c>
      <c r="C798">
        <v>7.1</v>
      </c>
    </row>
    <row r="799" spans="1:3">
      <c r="A799">
        <v>8011</v>
      </c>
      <c r="B799" t="s">
        <v>1335</v>
      </c>
      <c r="C799">
        <v>20.399999999999999</v>
      </c>
    </row>
    <row r="800" spans="1:3">
      <c r="A800">
        <v>8016</v>
      </c>
      <c r="B800" t="s">
        <v>1336</v>
      </c>
      <c r="C800">
        <v>90.6</v>
      </c>
    </row>
    <row r="801" spans="1:3">
      <c r="A801">
        <v>8021</v>
      </c>
      <c r="B801" t="s">
        <v>1337</v>
      </c>
      <c r="C801">
        <v>24.1</v>
      </c>
    </row>
    <row r="802" spans="1:3">
      <c r="A802">
        <v>8033</v>
      </c>
      <c r="B802" t="s">
        <v>1338</v>
      </c>
      <c r="C802">
        <v>10.199999999999999</v>
      </c>
    </row>
    <row r="803" spans="1:3">
      <c r="A803">
        <v>8039</v>
      </c>
      <c r="B803" t="s">
        <v>1339</v>
      </c>
      <c r="C803">
        <v>40.799999999999997</v>
      </c>
    </row>
    <row r="804" spans="1:3">
      <c r="A804">
        <v>8046</v>
      </c>
      <c r="B804" t="s">
        <v>1340</v>
      </c>
      <c r="C804">
        <v>34.200000000000003</v>
      </c>
    </row>
    <row r="805" spans="1:3">
      <c r="A805">
        <v>8070</v>
      </c>
      <c r="B805" t="s">
        <v>1341</v>
      </c>
      <c r="C805">
        <v>90.7</v>
      </c>
    </row>
    <row r="806" spans="1:3">
      <c r="A806">
        <v>8072</v>
      </c>
      <c r="B806" t="s">
        <v>1342</v>
      </c>
      <c r="C806">
        <v>25.65</v>
      </c>
    </row>
    <row r="807" spans="1:3">
      <c r="A807">
        <v>8081</v>
      </c>
      <c r="B807" t="s">
        <v>1343</v>
      </c>
      <c r="C807">
        <v>56.5</v>
      </c>
    </row>
    <row r="808" spans="1:3">
      <c r="A808">
        <v>8101</v>
      </c>
      <c r="B808" t="s">
        <v>1344</v>
      </c>
      <c r="C808">
        <v>8.1199999999999992</v>
      </c>
    </row>
    <row r="809" spans="1:3">
      <c r="A809">
        <v>8103</v>
      </c>
      <c r="B809" t="s">
        <v>1345</v>
      </c>
      <c r="C809">
        <v>25</v>
      </c>
    </row>
    <row r="810" spans="1:3">
      <c r="A810">
        <v>8105</v>
      </c>
      <c r="B810" t="s">
        <v>1346</v>
      </c>
      <c r="C810">
        <v>20.399999999999999</v>
      </c>
    </row>
    <row r="811" spans="1:3">
      <c r="A811">
        <v>8110</v>
      </c>
      <c r="B811" t="s">
        <v>1347</v>
      </c>
      <c r="C811">
        <v>9.64</v>
      </c>
    </row>
    <row r="812" spans="1:3">
      <c r="A812">
        <v>8112</v>
      </c>
      <c r="B812" t="s">
        <v>1348</v>
      </c>
      <c r="C812">
        <v>13.05</v>
      </c>
    </row>
    <row r="813" spans="1:3">
      <c r="A813">
        <v>8114</v>
      </c>
      <c r="B813" t="s">
        <v>1349</v>
      </c>
      <c r="C813">
        <v>166.5</v>
      </c>
    </row>
    <row r="814" spans="1:3">
      <c r="A814">
        <v>8131</v>
      </c>
      <c r="B814" t="s">
        <v>1350</v>
      </c>
      <c r="C814">
        <v>21.05</v>
      </c>
    </row>
    <row r="815" spans="1:3">
      <c r="A815">
        <v>8150</v>
      </c>
      <c r="B815" t="s">
        <v>1351</v>
      </c>
      <c r="C815">
        <v>32.5</v>
      </c>
    </row>
    <row r="816" spans="1:3">
      <c r="A816">
        <v>8163</v>
      </c>
      <c r="B816" t="s">
        <v>1352</v>
      </c>
      <c r="C816">
        <v>19.649999999999999</v>
      </c>
    </row>
    <row r="817" spans="1:3">
      <c r="A817">
        <v>8201</v>
      </c>
      <c r="B817" t="s">
        <v>1353</v>
      </c>
      <c r="C817">
        <v>9.6</v>
      </c>
    </row>
    <row r="818" spans="1:3">
      <c r="A818">
        <v>8210</v>
      </c>
      <c r="B818" t="s">
        <v>1354</v>
      </c>
      <c r="C818">
        <v>42.65</v>
      </c>
    </row>
    <row r="819" spans="1:3">
      <c r="A819">
        <v>8213</v>
      </c>
      <c r="B819" t="s">
        <v>1355</v>
      </c>
      <c r="C819">
        <v>34.549999999999997</v>
      </c>
    </row>
    <row r="820" spans="1:3">
      <c r="A820">
        <v>8215</v>
      </c>
      <c r="B820" t="s">
        <v>1356</v>
      </c>
      <c r="C820">
        <v>23.9</v>
      </c>
    </row>
    <row r="821" spans="1:3">
      <c r="A821">
        <v>8222</v>
      </c>
      <c r="B821" t="s">
        <v>1357</v>
      </c>
      <c r="C821">
        <v>22.85</v>
      </c>
    </row>
    <row r="822" spans="1:3">
      <c r="A822">
        <v>8249</v>
      </c>
      <c r="B822" t="s">
        <v>1358</v>
      </c>
      <c r="C822">
        <v>23.4</v>
      </c>
    </row>
    <row r="823" spans="1:3">
      <c r="A823">
        <v>8261</v>
      </c>
      <c r="B823" t="s">
        <v>1359</v>
      </c>
      <c r="C823">
        <v>28.8</v>
      </c>
    </row>
    <row r="824" spans="1:3">
      <c r="A824">
        <v>8271</v>
      </c>
      <c r="B824" t="s">
        <v>1360</v>
      </c>
      <c r="C824">
        <v>17.5</v>
      </c>
    </row>
    <row r="825" spans="1:3">
      <c r="A825">
        <v>8341</v>
      </c>
      <c r="B825" t="s">
        <v>1361</v>
      </c>
      <c r="C825">
        <v>132</v>
      </c>
    </row>
    <row r="826" spans="1:3">
      <c r="A826">
        <v>8374</v>
      </c>
      <c r="B826" t="s">
        <v>1362</v>
      </c>
      <c r="C826">
        <v>10.6</v>
      </c>
    </row>
    <row r="827" spans="1:3">
      <c r="A827">
        <v>8404</v>
      </c>
      <c r="B827" t="s">
        <v>1363</v>
      </c>
      <c r="C827">
        <v>34.299999999999997</v>
      </c>
    </row>
    <row r="828" spans="1:3">
      <c r="A828">
        <v>8411</v>
      </c>
      <c r="B828" t="s">
        <v>1364</v>
      </c>
      <c r="C828">
        <v>25.65</v>
      </c>
    </row>
    <row r="829" spans="1:3">
      <c r="A829">
        <v>8422</v>
      </c>
      <c r="B829" t="s">
        <v>1365</v>
      </c>
      <c r="C829">
        <v>183.5</v>
      </c>
    </row>
    <row r="830" spans="1:3">
      <c r="A830">
        <v>8427</v>
      </c>
      <c r="B830" t="s">
        <v>1366</v>
      </c>
      <c r="C830">
        <v>55.3</v>
      </c>
    </row>
    <row r="831" spans="1:3">
      <c r="A831">
        <v>8429</v>
      </c>
      <c r="B831" t="s">
        <v>1367</v>
      </c>
      <c r="C831">
        <v>65.099999999999994</v>
      </c>
    </row>
    <row r="832" spans="1:3">
      <c r="A832">
        <v>8443</v>
      </c>
      <c r="B832" t="s">
        <v>1368</v>
      </c>
      <c r="C832">
        <v>22</v>
      </c>
    </row>
    <row r="833" spans="1:3">
      <c r="A833">
        <v>8454</v>
      </c>
      <c r="B833" t="s">
        <v>1369</v>
      </c>
      <c r="C833">
        <v>221</v>
      </c>
    </row>
    <row r="834" spans="1:3">
      <c r="A834">
        <v>8463</v>
      </c>
      <c r="B834" t="s">
        <v>1370</v>
      </c>
      <c r="C834">
        <v>28.7</v>
      </c>
    </row>
    <row r="835" spans="1:3">
      <c r="A835">
        <v>8926</v>
      </c>
      <c r="B835" t="s">
        <v>1371</v>
      </c>
      <c r="C835">
        <v>23.1</v>
      </c>
    </row>
    <row r="836" spans="1:3">
      <c r="A836">
        <v>8940</v>
      </c>
      <c r="B836" t="s">
        <v>1372</v>
      </c>
      <c r="C836">
        <v>15.35</v>
      </c>
    </row>
    <row r="837" spans="1:3">
      <c r="A837">
        <v>8996</v>
      </c>
      <c r="B837" t="s">
        <v>1373</v>
      </c>
      <c r="C837">
        <v>41.4</v>
      </c>
    </row>
    <row r="838" spans="1:3">
      <c r="A838">
        <v>9103</v>
      </c>
      <c r="B838" t="s">
        <v>1374</v>
      </c>
      <c r="C838">
        <v>1.99</v>
      </c>
    </row>
    <row r="839" spans="1:3">
      <c r="A839">
        <v>910322</v>
      </c>
      <c r="B839" t="s">
        <v>1375</v>
      </c>
      <c r="C839">
        <v>23</v>
      </c>
    </row>
    <row r="840" spans="1:3">
      <c r="A840">
        <v>910482</v>
      </c>
      <c r="B840" t="s">
        <v>1376</v>
      </c>
      <c r="C840">
        <v>1.92</v>
      </c>
    </row>
    <row r="841" spans="1:3">
      <c r="A841">
        <v>9105</v>
      </c>
      <c r="B841" t="s">
        <v>1377</v>
      </c>
      <c r="C841">
        <v>3.34</v>
      </c>
    </row>
    <row r="842" spans="1:3">
      <c r="A842">
        <v>9106</v>
      </c>
      <c r="B842" t="s">
        <v>1378</v>
      </c>
      <c r="C842" t="s">
        <v>1902</v>
      </c>
    </row>
    <row r="843" spans="1:3">
      <c r="A843">
        <v>910708</v>
      </c>
      <c r="B843" t="s">
        <v>1379</v>
      </c>
      <c r="C843">
        <v>432</v>
      </c>
    </row>
    <row r="844" spans="1:3">
      <c r="A844">
        <v>910801</v>
      </c>
      <c r="B844" t="s">
        <v>1380</v>
      </c>
      <c r="C844">
        <v>4.78</v>
      </c>
    </row>
    <row r="845" spans="1:3">
      <c r="A845">
        <v>910861</v>
      </c>
      <c r="B845" t="s">
        <v>1381</v>
      </c>
      <c r="C845">
        <v>17.95</v>
      </c>
    </row>
    <row r="846" spans="1:3">
      <c r="A846">
        <v>9110</v>
      </c>
      <c r="B846" t="s">
        <v>1382</v>
      </c>
      <c r="C846">
        <v>3.78</v>
      </c>
    </row>
    <row r="847" spans="1:3">
      <c r="A847">
        <v>911608</v>
      </c>
      <c r="B847" t="s">
        <v>1383</v>
      </c>
      <c r="C847" t="s">
        <v>1902</v>
      </c>
    </row>
    <row r="848" spans="1:3">
      <c r="A848">
        <v>911611</v>
      </c>
      <c r="B848" t="s">
        <v>1384</v>
      </c>
      <c r="C848">
        <v>0.81</v>
      </c>
    </row>
    <row r="849" spans="1:3">
      <c r="A849">
        <v>911612</v>
      </c>
      <c r="B849" t="s">
        <v>1385</v>
      </c>
      <c r="C849">
        <v>0.42</v>
      </c>
    </row>
    <row r="850" spans="1:3">
      <c r="A850">
        <v>911616</v>
      </c>
      <c r="B850" t="s">
        <v>1386</v>
      </c>
      <c r="C850">
        <v>2.4700000000000002</v>
      </c>
    </row>
    <row r="851" spans="1:3">
      <c r="A851">
        <v>911619</v>
      </c>
      <c r="B851" t="s">
        <v>1387</v>
      </c>
      <c r="C851">
        <v>1.35</v>
      </c>
    </row>
    <row r="852" spans="1:3">
      <c r="A852">
        <v>911622</v>
      </c>
      <c r="B852" t="s">
        <v>1388</v>
      </c>
      <c r="C852" t="s">
        <v>1902</v>
      </c>
    </row>
    <row r="853" spans="1:3">
      <c r="A853">
        <v>911626</v>
      </c>
      <c r="B853" t="s">
        <v>1389</v>
      </c>
      <c r="C853" t="s">
        <v>1902</v>
      </c>
    </row>
    <row r="854" spans="1:3">
      <c r="A854">
        <v>911868</v>
      </c>
      <c r="B854" t="s">
        <v>1390</v>
      </c>
      <c r="C854">
        <v>2.58</v>
      </c>
    </row>
    <row r="855" spans="1:3">
      <c r="A855">
        <v>912000</v>
      </c>
      <c r="B855" t="s">
        <v>1391</v>
      </c>
      <c r="C855">
        <v>3.76</v>
      </c>
    </row>
    <row r="856" spans="1:3">
      <c r="A856">
        <v>912398</v>
      </c>
      <c r="B856" t="s">
        <v>1392</v>
      </c>
      <c r="C856" t="s">
        <v>1902</v>
      </c>
    </row>
    <row r="857" spans="1:3">
      <c r="A857">
        <v>9136</v>
      </c>
      <c r="B857" t="s">
        <v>1393</v>
      </c>
      <c r="C857">
        <v>17.149999999999999</v>
      </c>
    </row>
    <row r="858" spans="1:3">
      <c r="A858">
        <v>913889</v>
      </c>
      <c r="B858" t="s">
        <v>1394</v>
      </c>
      <c r="C858">
        <v>1.62</v>
      </c>
    </row>
    <row r="859" spans="1:3">
      <c r="A859">
        <v>9157</v>
      </c>
      <c r="B859" t="s">
        <v>1395</v>
      </c>
      <c r="C859">
        <v>1.37</v>
      </c>
    </row>
    <row r="860" spans="1:3">
      <c r="A860">
        <v>9188</v>
      </c>
      <c r="B860" t="s">
        <v>1396</v>
      </c>
      <c r="C860">
        <v>3.81</v>
      </c>
    </row>
    <row r="861" spans="1:3">
      <c r="A861">
        <v>9802</v>
      </c>
      <c r="B861" t="s">
        <v>1397</v>
      </c>
      <c r="C861">
        <v>54.7</v>
      </c>
    </row>
    <row r="862" spans="1:3">
      <c r="A862">
        <v>9902</v>
      </c>
      <c r="B862" t="s">
        <v>1398</v>
      </c>
      <c r="C862">
        <v>10</v>
      </c>
    </row>
    <row r="863" spans="1:3">
      <c r="A863">
        <v>9904</v>
      </c>
      <c r="B863" t="s">
        <v>1399</v>
      </c>
      <c r="C863">
        <v>42.55</v>
      </c>
    </row>
    <row r="864" spans="1:3">
      <c r="A864">
        <v>9905</v>
      </c>
      <c r="B864" t="s">
        <v>1400</v>
      </c>
      <c r="C864">
        <v>28.1</v>
      </c>
    </row>
    <row r="865" spans="1:3">
      <c r="A865">
        <v>9906</v>
      </c>
      <c r="B865" t="s">
        <v>1401</v>
      </c>
      <c r="C865">
        <v>13.7</v>
      </c>
    </row>
    <row r="866" spans="1:3">
      <c r="A866">
        <v>9907</v>
      </c>
      <c r="B866" t="s">
        <v>1402</v>
      </c>
      <c r="C866">
        <v>15</v>
      </c>
    </row>
    <row r="867" spans="1:3">
      <c r="A867">
        <v>9908</v>
      </c>
      <c r="B867" t="s">
        <v>1403</v>
      </c>
      <c r="C867">
        <v>22.1</v>
      </c>
    </row>
    <row r="868" spans="1:3">
      <c r="A868">
        <v>9910</v>
      </c>
      <c r="B868" t="s">
        <v>1404</v>
      </c>
      <c r="C868">
        <v>177</v>
      </c>
    </row>
    <row r="869" spans="1:3">
      <c r="A869">
        <v>9911</v>
      </c>
      <c r="B869" t="s">
        <v>1405</v>
      </c>
      <c r="C869">
        <v>18.55</v>
      </c>
    </row>
    <row r="870" spans="1:3">
      <c r="A870">
        <v>9912</v>
      </c>
      <c r="B870" t="s">
        <v>1406</v>
      </c>
      <c r="C870">
        <v>8.93</v>
      </c>
    </row>
    <row r="871" spans="1:3">
      <c r="A871">
        <v>9914</v>
      </c>
      <c r="B871" t="s">
        <v>1407</v>
      </c>
      <c r="C871">
        <v>177.5</v>
      </c>
    </row>
    <row r="872" spans="1:3">
      <c r="A872">
        <v>9917</v>
      </c>
      <c r="B872" t="s">
        <v>1408</v>
      </c>
      <c r="C872">
        <v>94.4</v>
      </c>
    </row>
    <row r="873" spans="1:3">
      <c r="A873">
        <v>9918</v>
      </c>
      <c r="B873" t="s">
        <v>1409</v>
      </c>
      <c r="C873">
        <v>31</v>
      </c>
    </row>
    <row r="874" spans="1:3">
      <c r="A874">
        <v>9919</v>
      </c>
      <c r="B874" t="s">
        <v>1410</v>
      </c>
      <c r="C874">
        <v>11.4</v>
      </c>
    </row>
    <row r="875" spans="1:3">
      <c r="A875">
        <v>9921</v>
      </c>
      <c r="B875" t="s">
        <v>1411</v>
      </c>
      <c r="C875">
        <v>221.5</v>
      </c>
    </row>
    <row r="876" spans="1:3">
      <c r="A876">
        <v>9924</v>
      </c>
      <c r="B876" t="s">
        <v>1412</v>
      </c>
      <c r="C876">
        <v>47.1</v>
      </c>
    </row>
    <row r="877" spans="1:3">
      <c r="A877">
        <v>9925</v>
      </c>
      <c r="B877" t="s">
        <v>1413</v>
      </c>
      <c r="C877">
        <v>38.700000000000003</v>
      </c>
    </row>
    <row r="878" spans="1:3">
      <c r="A878">
        <v>9926</v>
      </c>
      <c r="B878" t="s">
        <v>1414</v>
      </c>
      <c r="C878">
        <v>40.6</v>
      </c>
    </row>
    <row r="879" spans="1:3">
      <c r="A879">
        <v>9927</v>
      </c>
      <c r="B879" t="s">
        <v>1415</v>
      </c>
      <c r="C879">
        <v>27.5</v>
      </c>
    </row>
    <row r="880" spans="1:3">
      <c r="A880">
        <v>9928</v>
      </c>
      <c r="B880" t="s">
        <v>1416</v>
      </c>
      <c r="C880">
        <v>10.25</v>
      </c>
    </row>
    <row r="881" spans="1:3">
      <c r="A881">
        <v>9929</v>
      </c>
      <c r="B881" t="s">
        <v>1417</v>
      </c>
      <c r="C881">
        <v>13.2</v>
      </c>
    </row>
    <row r="882" spans="1:3">
      <c r="A882">
        <v>9930</v>
      </c>
      <c r="B882" t="s">
        <v>1418</v>
      </c>
      <c r="C882">
        <v>61</v>
      </c>
    </row>
    <row r="883" spans="1:3">
      <c r="A883">
        <v>9931</v>
      </c>
      <c r="B883" t="s">
        <v>1419</v>
      </c>
      <c r="C883">
        <v>31</v>
      </c>
    </row>
    <row r="884" spans="1:3">
      <c r="A884">
        <v>9933</v>
      </c>
      <c r="B884" t="s">
        <v>1420</v>
      </c>
      <c r="C884">
        <v>36.15</v>
      </c>
    </row>
    <row r="885" spans="1:3">
      <c r="A885">
        <v>9934</v>
      </c>
      <c r="B885" t="s">
        <v>1421</v>
      </c>
      <c r="C885">
        <v>14.2</v>
      </c>
    </row>
    <row r="886" spans="1:3">
      <c r="A886">
        <v>9935</v>
      </c>
      <c r="B886" t="s">
        <v>1422</v>
      </c>
      <c r="C886">
        <v>10.9</v>
      </c>
    </row>
    <row r="887" spans="1:3">
      <c r="A887">
        <v>9937</v>
      </c>
      <c r="B887" t="s">
        <v>1423</v>
      </c>
      <c r="C887">
        <v>36.4</v>
      </c>
    </row>
    <row r="888" spans="1:3">
      <c r="A888">
        <v>9938</v>
      </c>
      <c r="B888" t="s">
        <v>1424</v>
      </c>
      <c r="C888">
        <v>78.400000000000006</v>
      </c>
    </row>
    <row r="889" spans="1:3">
      <c r="A889">
        <v>9939</v>
      </c>
      <c r="B889" t="s">
        <v>1425</v>
      </c>
      <c r="C889">
        <v>48.2</v>
      </c>
    </row>
    <row r="890" spans="1:3">
      <c r="A890">
        <v>9940</v>
      </c>
      <c r="B890" t="s">
        <v>1426</v>
      </c>
      <c r="C890">
        <v>27.7</v>
      </c>
    </row>
    <row r="891" spans="1:3">
      <c r="A891">
        <v>9941</v>
      </c>
      <c r="B891" t="s">
        <v>1427</v>
      </c>
      <c r="C891">
        <v>73.8</v>
      </c>
    </row>
    <row r="892" spans="1:3">
      <c r="A892">
        <v>9942</v>
      </c>
      <c r="B892" t="s">
        <v>1428</v>
      </c>
      <c r="C892">
        <v>71.099999999999994</v>
      </c>
    </row>
    <row r="893" spans="1:3">
      <c r="A893">
        <v>9943</v>
      </c>
      <c r="B893" t="s">
        <v>1429</v>
      </c>
      <c r="C893">
        <v>54.5</v>
      </c>
    </row>
    <row r="894" spans="1:3">
      <c r="A894">
        <v>9944</v>
      </c>
      <c r="B894" t="s">
        <v>1430</v>
      </c>
      <c r="C894">
        <v>29.45</v>
      </c>
    </row>
    <row r="895" spans="1:3">
      <c r="A895">
        <v>9945</v>
      </c>
      <c r="B895" t="s">
        <v>1431</v>
      </c>
      <c r="C895">
        <v>44.5</v>
      </c>
    </row>
    <row r="896" spans="1:3">
      <c r="A896">
        <v>9946</v>
      </c>
      <c r="B896" t="s">
        <v>1432</v>
      </c>
      <c r="C896">
        <v>14.05</v>
      </c>
    </row>
    <row r="897" spans="1:3">
      <c r="A897">
        <v>9955</v>
      </c>
      <c r="B897" t="s">
        <v>1433</v>
      </c>
      <c r="C897">
        <v>13.95</v>
      </c>
    </row>
    <row r="898" spans="1:3">
      <c r="A898">
        <v>9958</v>
      </c>
      <c r="B898" t="s">
        <v>1434</v>
      </c>
      <c r="C898">
        <v>9.92</v>
      </c>
    </row>
    <row r="899" spans="1:3">
      <c r="A899">
        <v>6201</v>
      </c>
      <c r="B899" t="s">
        <v>1435</v>
      </c>
      <c r="C899">
        <v>11.5</v>
      </c>
    </row>
    <row r="900" spans="1:3">
      <c r="A900">
        <v>1256</v>
      </c>
      <c r="B900" t="s">
        <v>1436</v>
      </c>
      <c r="C900">
        <v>140</v>
      </c>
    </row>
    <row r="901" spans="1:3">
      <c r="A901">
        <v>1258</v>
      </c>
      <c r="B901" t="s">
        <v>1437</v>
      </c>
      <c r="C901">
        <v>38.700000000000003</v>
      </c>
    </row>
    <row r="902" spans="1:3">
      <c r="A902">
        <v>1259</v>
      </c>
      <c r="B902" t="s">
        <v>261</v>
      </c>
      <c r="C902">
        <v>70.599999999999994</v>
      </c>
    </row>
    <row r="903" spans="1:3">
      <c r="A903">
        <v>1264</v>
      </c>
      <c r="B903" t="s">
        <v>262</v>
      </c>
      <c r="C903">
        <v>183</v>
      </c>
    </row>
    <row r="904" spans="1:3">
      <c r="A904">
        <v>1333</v>
      </c>
      <c r="B904" t="s">
        <v>263</v>
      </c>
      <c r="C904">
        <v>5.67</v>
      </c>
    </row>
    <row r="905" spans="1:3">
      <c r="A905">
        <v>1336</v>
      </c>
      <c r="B905" t="s">
        <v>264</v>
      </c>
      <c r="C905">
        <v>7.65</v>
      </c>
    </row>
    <row r="906" spans="1:3">
      <c r="A906">
        <v>1565</v>
      </c>
      <c r="B906" t="s">
        <v>1438</v>
      </c>
      <c r="C906">
        <v>660</v>
      </c>
    </row>
    <row r="907" spans="1:3">
      <c r="A907">
        <v>1566</v>
      </c>
      <c r="B907" t="s">
        <v>265</v>
      </c>
      <c r="C907">
        <v>23</v>
      </c>
    </row>
    <row r="908" spans="1:3">
      <c r="A908">
        <v>1569</v>
      </c>
      <c r="B908" t="s">
        <v>266</v>
      </c>
      <c r="C908">
        <v>9.9600000000000009</v>
      </c>
    </row>
    <row r="909" spans="1:3">
      <c r="A909">
        <v>1570</v>
      </c>
      <c r="B909" t="s">
        <v>1439</v>
      </c>
      <c r="C909">
        <v>17.7</v>
      </c>
    </row>
    <row r="910" spans="1:3">
      <c r="A910">
        <v>1580</v>
      </c>
      <c r="B910" t="s">
        <v>1440</v>
      </c>
      <c r="C910">
        <v>113</v>
      </c>
    </row>
    <row r="911" spans="1:3">
      <c r="A911">
        <v>1584</v>
      </c>
      <c r="B911" t="s">
        <v>1441</v>
      </c>
      <c r="C911">
        <v>13.6</v>
      </c>
    </row>
    <row r="912" spans="1:3">
      <c r="A912">
        <v>1586</v>
      </c>
      <c r="B912" t="s">
        <v>1442</v>
      </c>
      <c r="C912">
        <v>31.3</v>
      </c>
    </row>
    <row r="913" spans="1:3">
      <c r="A913">
        <v>1591</v>
      </c>
      <c r="B913" t="s">
        <v>1443</v>
      </c>
      <c r="C913">
        <v>25.7</v>
      </c>
    </row>
    <row r="914" spans="1:3">
      <c r="A914">
        <v>1593</v>
      </c>
      <c r="B914" t="s">
        <v>267</v>
      </c>
      <c r="C914">
        <v>38.85</v>
      </c>
    </row>
    <row r="915" spans="1:3">
      <c r="A915">
        <v>1595</v>
      </c>
      <c r="B915" t="s">
        <v>1444</v>
      </c>
      <c r="C915">
        <v>60.5</v>
      </c>
    </row>
    <row r="916" spans="1:3">
      <c r="A916">
        <v>1597</v>
      </c>
      <c r="B916" t="s">
        <v>268</v>
      </c>
      <c r="C916">
        <v>28.4</v>
      </c>
    </row>
    <row r="917" spans="1:3">
      <c r="A917">
        <v>1599</v>
      </c>
      <c r="B917" t="s">
        <v>1445</v>
      </c>
      <c r="C917">
        <v>62</v>
      </c>
    </row>
    <row r="918" spans="1:3">
      <c r="A918">
        <v>1742</v>
      </c>
      <c r="B918" t="s">
        <v>538</v>
      </c>
      <c r="C918">
        <v>11.5</v>
      </c>
    </row>
    <row r="919" spans="1:3">
      <c r="A919">
        <v>1752</v>
      </c>
      <c r="B919" t="s">
        <v>269</v>
      </c>
      <c r="C919">
        <v>49.1</v>
      </c>
    </row>
    <row r="920" spans="1:3">
      <c r="A920">
        <v>1777</v>
      </c>
      <c r="B920" t="s">
        <v>270</v>
      </c>
      <c r="C920">
        <v>86.1</v>
      </c>
    </row>
    <row r="921" spans="1:3">
      <c r="A921">
        <v>1781</v>
      </c>
      <c r="B921" t="s">
        <v>1446</v>
      </c>
      <c r="C921">
        <v>27</v>
      </c>
    </row>
    <row r="922" spans="1:3">
      <c r="A922">
        <v>1784</v>
      </c>
      <c r="B922" t="s">
        <v>1447</v>
      </c>
      <c r="C922">
        <v>37.950000000000003</v>
      </c>
    </row>
    <row r="923" spans="1:3">
      <c r="A923">
        <v>1785</v>
      </c>
      <c r="B923" t="s">
        <v>1448</v>
      </c>
      <c r="C923">
        <v>19</v>
      </c>
    </row>
    <row r="924" spans="1:3">
      <c r="A924">
        <v>1787</v>
      </c>
      <c r="B924" t="s">
        <v>271</v>
      </c>
      <c r="C924">
        <v>23.45</v>
      </c>
    </row>
    <row r="925" spans="1:3">
      <c r="A925">
        <v>1788</v>
      </c>
      <c r="B925" t="s">
        <v>1449</v>
      </c>
      <c r="C925">
        <v>100.5</v>
      </c>
    </row>
    <row r="926" spans="1:3">
      <c r="A926">
        <v>1795</v>
      </c>
      <c r="B926" t="s">
        <v>1450</v>
      </c>
      <c r="C926">
        <v>78.400000000000006</v>
      </c>
    </row>
    <row r="927" spans="1:3">
      <c r="A927">
        <v>1799</v>
      </c>
      <c r="B927" t="s">
        <v>272</v>
      </c>
      <c r="C927">
        <v>36.299999999999997</v>
      </c>
    </row>
    <row r="928" spans="1:3">
      <c r="A928">
        <v>1813</v>
      </c>
      <c r="B928" t="s">
        <v>273</v>
      </c>
      <c r="C928">
        <v>29</v>
      </c>
    </row>
    <row r="929" spans="1:3">
      <c r="A929">
        <v>1815</v>
      </c>
      <c r="B929" t="s">
        <v>1451</v>
      </c>
      <c r="C929">
        <v>11.05</v>
      </c>
    </row>
    <row r="930" spans="1:3">
      <c r="A930">
        <v>2035</v>
      </c>
      <c r="B930" t="s">
        <v>1452</v>
      </c>
      <c r="C930">
        <v>45</v>
      </c>
    </row>
    <row r="931" spans="1:3">
      <c r="A931">
        <v>2061</v>
      </c>
      <c r="B931" t="s">
        <v>274</v>
      </c>
      <c r="C931">
        <v>12.4</v>
      </c>
    </row>
    <row r="932" spans="1:3">
      <c r="A932">
        <v>2063</v>
      </c>
      <c r="B932" t="s">
        <v>275</v>
      </c>
      <c r="C932">
        <v>24</v>
      </c>
    </row>
    <row r="933" spans="1:3">
      <c r="A933">
        <v>2064</v>
      </c>
      <c r="B933" t="s">
        <v>276</v>
      </c>
      <c r="C933">
        <v>0</v>
      </c>
    </row>
    <row r="934" spans="1:3">
      <c r="A934">
        <v>2066</v>
      </c>
      <c r="B934" t="s">
        <v>277</v>
      </c>
      <c r="C934">
        <v>108</v>
      </c>
    </row>
    <row r="935" spans="1:3">
      <c r="A935">
        <v>2067</v>
      </c>
      <c r="B935" t="s">
        <v>1453</v>
      </c>
      <c r="C935">
        <v>0</v>
      </c>
    </row>
    <row r="936" spans="1:3">
      <c r="A936">
        <v>2221</v>
      </c>
      <c r="B936" t="s">
        <v>1454</v>
      </c>
      <c r="C936">
        <v>19.3</v>
      </c>
    </row>
    <row r="937" spans="1:3">
      <c r="A937">
        <v>2230</v>
      </c>
      <c r="B937" t="s">
        <v>278</v>
      </c>
      <c r="C937">
        <v>14.6</v>
      </c>
    </row>
    <row r="938" spans="1:3">
      <c r="A938">
        <v>2233</v>
      </c>
      <c r="B938" t="s">
        <v>279</v>
      </c>
      <c r="C938">
        <v>76.8</v>
      </c>
    </row>
    <row r="939" spans="1:3">
      <c r="A939">
        <v>2235</v>
      </c>
      <c r="B939" t="s">
        <v>280</v>
      </c>
      <c r="C939">
        <v>142</v>
      </c>
    </row>
    <row r="940" spans="1:3">
      <c r="A940">
        <v>2596</v>
      </c>
      <c r="B940" t="s">
        <v>1455</v>
      </c>
      <c r="C940">
        <v>12.8</v>
      </c>
    </row>
    <row r="941" spans="1:3">
      <c r="A941">
        <v>2636</v>
      </c>
      <c r="B941" t="s">
        <v>1456</v>
      </c>
      <c r="C941">
        <v>30.55</v>
      </c>
    </row>
    <row r="942" spans="1:3">
      <c r="A942">
        <v>2640</v>
      </c>
      <c r="B942" t="s">
        <v>1457</v>
      </c>
      <c r="C942">
        <v>68.2</v>
      </c>
    </row>
    <row r="943" spans="1:3">
      <c r="A943">
        <v>2641</v>
      </c>
      <c r="B943" t="s">
        <v>1458</v>
      </c>
      <c r="C943">
        <v>8.75</v>
      </c>
    </row>
    <row r="944" spans="1:3">
      <c r="A944">
        <v>2718</v>
      </c>
      <c r="B944" t="s">
        <v>1891</v>
      </c>
      <c r="C944">
        <v>0</v>
      </c>
    </row>
    <row r="945" spans="1:3">
      <c r="A945">
        <v>2719</v>
      </c>
      <c r="B945" t="s">
        <v>282</v>
      </c>
      <c r="C945">
        <v>16.850000000000001</v>
      </c>
    </row>
    <row r="946" spans="1:3">
      <c r="A946">
        <v>2724</v>
      </c>
      <c r="B946" t="s">
        <v>1459</v>
      </c>
      <c r="C946">
        <v>14.6</v>
      </c>
    </row>
    <row r="947" spans="1:3">
      <c r="A947">
        <v>2726</v>
      </c>
      <c r="B947" t="s">
        <v>1460</v>
      </c>
      <c r="C947">
        <v>59.8</v>
      </c>
    </row>
    <row r="948" spans="1:3">
      <c r="A948">
        <v>2729</v>
      </c>
      <c r="B948" t="s">
        <v>1461</v>
      </c>
      <c r="C948">
        <v>231</v>
      </c>
    </row>
    <row r="949" spans="1:3">
      <c r="A949">
        <v>2732</v>
      </c>
      <c r="B949" t="s">
        <v>1462</v>
      </c>
      <c r="C949">
        <v>86.2</v>
      </c>
    </row>
    <row r="950" spans="1:3">
      <c r="A950">
        <v>2734</v>
      </c>
      <c r="B950" t="s">
        <v>283</v>
      </c>
      <c r="C950">
        <v>24.4</v>
      </c>
    </row>
    <row r="951" spans="1:3">
      <c r="A951">
        <v>2916</v>
      </c>
      <c r="B951" t="s">
        <v>1463</v>
      </c>
      <c r="C951">
        <v>18</v>
      </c>
    </row>
    <row r="952" spans="1:3">
      <c r="A952">
        <v>2924</v>
      </c>
      <c r="B952" t="s">
        <v>1464</v>
      </c>
      <c r="C952">
        <v>59.5</v>
      </c>
    </row>
    <row r="953" spans="1:3">
      <c r="A953">
        <v>2926</v>
      </c>
      <c r="B953" t="s">
        <v>1465</v>
      </c>
      <c r="C953">
        <v>174.5</v>
      </c>
    </row>
    <row r="954" spans="1:3">
      <c r="A954">
        <v>3064</v>
      </c>
      <c r="B954" t="s">
        <v>1466</v>
      </c>
      <c r="C954">
        <v>22.2</v>
      </c>
    </row>
    <row r="955" spans="1:3">
      <c r="A955">
        <v>3066</v>
      </c>
      <c r="B955" t="s">
        <v>1467</v>
      </c>
      <c r="C955">
        <v>7.9</v>
      </c>
    </row>
    <row r="956" spans="1:3">
      <c r="A956">
        <v>3067</v>
      </c>
      <c r="B956" t="s">
        <v>284</v>
      </c>
      <c r="C956">
        <v>13.35</v>
      </c>
    </row>
    <row r="957" spans="1:3">
      <c r="A957">
        <v>3068</v>
      </c>
      <c r="B957" t="s">
        <v>285</v>
      </c>
      <c r="C957">
        <v>34.6</v>
      </c>
    </row>
    <row r="958" spans="1:3">
      <c r="A958">
        <v>3071</v>
      </c>
      <c r="B958" t="s">
        <v>1468</v>
      </c>
      <c r="C958">
        <v>6.7</v>
      </c>
    </row>
    <row r="959" spans="1:3">
      <c r="A959">
        <v>3073</v>
      </c>
      <c r="B959" t="s">
        <v>1469</v>
      </c>
      <c r="C959">
        <v>6.08</v>
      </c>
    </row>
    <row r="960" spans="1:3">
      <c r="A960">
        <v>3078</v>
      </c>
      <c r="B960" t="s">
        <v>1470</v>
      </c>
      <c r="C960">
        <v>21.65</v>
      </c>
    </row>
    <row r="961" spans="1:3">
      <c r="A961">
        <v>3081</v>
      </c>
      <c r="B961" t="s">
        <v>1471</v>
      </c>
      <c r="C961">
        <v>416</v>
      </c>
    </row>
    <row r="962" spans="1:3">
      <c r="A962">
        <v>3083</v>
      </c>
      <c r="B962" t="s">
        <v>1472</v>
      </c>
      <c r="C962">
        <v>39</v>
      </c>
    </row>
    <row r="963" spans="1:3">
      <c r="A963">
        <v>3085</v>
      </c>
      <c r="B963" t="s">
        <v>286</v>
      </c>
      <c r="C963">
        <v>7</v>
      </c>
    </row>
    <row r="964" spans="1:3">
      <c r="A964">
        <v>3086</v>
      </c>
      <c r="B964" t="s">
        <v>1473</v>
      </c>
      <c r="C964">
        <v>12.5</v>
      </c>
    </row>
    <row r="965" spans="1:3">
      <c r="A965">
        <v>3088</v>
      </c>
      <c r="B965" t="s">
        <v>287</v>
      </c>
      <c r="C965">
        <v>71.2</v>
      </c>
    </row>
    <row r="966" spans="1:3">
      <c r="A966">
        <v>3089</v>
      </c>
      <c r="B966" t="s">
        <v>288</v>
      </c>
      <c r="C966">
        <v>20.95</v>
      </c>
    </row>
    <row r="967" spans="1:3">
      <c r="A967">
        <v>3092</v>
      </c>
      <c r="B967" t="s">
        <v>289</v>
      </c>
      <c r="C967">
        <v>17.45</v>
      </c>
    </row>
    <row r="968" spans="1:3">
      <c r="A968">
        <v>3093</v>
      </c>
      <c r="B968" t="s">
        <v>290</v>
      </c>
      <c r="C968">
        <v>29.75</v>
      </c>
    </row>
    <row r="969" spans="1:3">
      <c r="A969">
        <v>3095</v>
      </c>
      <c r="B969" t="s">
        <v>291</v>
      </c>
      <c r="C969">
        <v>5.9</v>
      </c>
    </row>
    <row r="970" spans="1:3">
      <c r="A970">
        <v>3105</v>
      </c>
      <c r="B970" t="s">
        <v>292</v>
      </c>
      <c r="C970">
        <v>52.2</v>
      </c>
    </row>
    <row r="971" spans="1:3">
      <c r="A971">
        <v>3114</v>
      </c>
      <c r="B971" t="s">
        <v>1474</v>
      </c>
      <c r="C971">
        <v>14</v>
      </c>
    </row>
    <row r="972" spans="1:3">
      <c r="A972">
        <v>3115</v>
      </c>
      <c r="B972" t="s">
        <v>1475</v>
      </c>
      <c r="C972">
        <v>12.85</v>
      </c>
    </row>
    <row r="973" spans="1:3">
      <c r="A973">
        <v>3118</v>
      </c>
      <c r="B973" t="s">
        <v>1476</v>
      </c>
      <c r="C973">
        <v>39.450000000000003</v>
      </c>
    </row>
    <row r="974" spans="1:3">
      <c r="A974">
        <v>3122</v>
      </c>
      <c r="B974" t="s">
        <v>1477</v>
      </c>
      <c r="C974">
        <v>15.7</v>
      </c>
    </row>
    <row r="975" spans="1:3">
      <c r="A975">
        <v>3128</v>
      </c>
      <c r="B975" t="s">
        <v>1478</v>
      </c>
      <c r="C975">
        <v>13.2</v>
      </c>
    </row>
    <row r="976" spans="1:3">
      <c r="A976">
        <v>3131</v>
      </c>
      <c r="B976" t="s">
        <v>1479</v>
      </c>
      <c r="C976">
        <v>219</v>
      </c>
    </row>
    <row r="977" spans="1:3">
      <c r="A977">
        <v>3141</v>
      </c>
      <c r="B977" t="s">
        <v>293</v>
      </c>
      <c r="C977">
        <v>20.55</v>
      </c>
    </row>
    <row r="978" spans="1:3">
      <c r="A978">
        <v>3144</v>
      </c>
      <c r="B978" t="s">
        <v>294</v>
      </c>
      <c r="C978">
        <v>15.85</v>
      </c>
    </row>
    <row r="979" spans="1:3">
      <c r="A979">
        <v>3152</v>
      </c>
      <c r="B979" t="s">
        <v>1480</v>
      </c>
      <c r="C979">
        <v>241.5</v>
      </c>
    </row>
    <row r="980" spans="1:3">
      <c r="A980">
        <v>3162</v>
      </c>
      <c r="B980" t="s">
        <v>1481</v>
      </c>
      <c r="C980">
        <v>5.85</v>
      </c>
    </row>
    <row r="981" spans="1:3">
      <c r="A981">
        <v>3163</v>
      </c>
      <c r="B981" t="s">
        <v>295</v>
      </c>
      <c r="C981">
        <v>33</v>
      </c>
    </row>
    <row r="982" spans="1:3">
      <c r="A982">
        <v>3169</v>
      </c>
      <c r="B982" t="s">
        <v>1482</v>
      </c>
      <c r="C982">
        <v>30.35</v>
      </c>
    </row>
    <row r="983" spans="1:3">
      <c r="A983">
        <v>3171</v>
      </c>
      <c r="B983" t="s">
        <v>1483</v>
      </c>
      <c r="C983">
        <v>20.7</v>
      </c>
    </row>
    <row r="984" spans="1:3">
      <c r="A984">
        <v>3176</v>
      </c>
      <c r="B984" t="s">
        <v>296</v>
      </c>
      <c r="C984">
        <v>99</v>
      </c>
    </row>
    <row r="985" spans="1:3">
      <c r="A985">
        <v>3188</v>
      </c>
      <c r="B985" t="s">
        <v>297</v>
      </c>
      <c r="C985">
        <v>10.1</v>
      </c>
    </row>
    <row r="986" spans="1:3">
      <c r="A986">
        <v>3191</v>
      </c>
      <c r="B986" t="s">
        <v>1484</v>
      </c>
      <c r="C986">
        <v>14.6</v>
      </c>
    </row>
    <row r="987" spans="1:3">
      <c r="A987">
        <v>3202</v>
      </c>
      <c r="B987" t="s">
        <v>1485</v>
      </c>
      <c r="C987">
        <v>6.1</v>
      </c>
    </row>
    <row r="988" spans="1:3">
      <c r="A988">
        <v>3205</v>
      </c>
      <c r="B988" t="s">
        <v>298</v>
      </c>
      <c r="C988">
        <v>296.5</v>
      </c>
    </row>
    <row r="989" spans="1:3">
      <c r="A989">
        <v>3206</v>
      </c>
      <c r="B989" t="s">
        <v>1486</v>
      </c>
      <c r="C989">
        <v>21.75</v>
      </c>
    </row>
    <row r="990" spans="1:3">
      <c r="A990">
        <v>3207</v>
      </c>
      <c r="B990" t="s">
        <v>299</v>
      </c>
      <c r="C990">
        <v>7.96</v>
      </c>
    </row>
    <row r="991" spans="1:3">
      <c r="A991">
        <v>3211</v>
      </c>
      <c r="B991" t="s">
        <v>1487</v>
      </c>
      <c r="C991">
        <v>50.7</v>
      </c>
    </row>
    <row r="992" spans="1:3">
      <c r="A992">
        <v>3213</v>
      </c>
      <c r="B992" t="s">
        <v>1488</v>
      </c>
      <c r="C992">
        <v>43.35</v>
      </c>
    </row>
    <row r="993" spans="1:3">
      <c r="A993">
        <v>3217</v>
      </c>
      <c r="B993" t="s">
        <v>1489</v>
      </c>
      <c r="C993">
        <v>12.95</v>
      </c>
    </row>
    <row r="994" spans="1:3">
      <c r="A994">
        <v>3218</v>
      </c>
      <c r="B994" t="s">
        <v>300</v>
      </c>
      <c r="C994">
        <v>26.1</v>
      </c>
    </row>
    <row r="995" spans="1:3">
      <c r="A995">
        <v>3219</v>
      </c>
      <c r="B995" t="s">
        <v>1490</v>
      </c>
      <c r="C995">
        <v>10</v>
      </c>
    </row>
    <row r="996" spans="1:3">
      <c r="A996">
        <v>3221</v>
      </c>
      <c r="B996" t="s">
        <v>1491</v>
      </c>
      <c r="C996">
        <v>18.399999999999999</v>
      </c>
    </row>
    <row r="997" spans="1:3">
      <c r="A997">
        <v>3224</v>
      </c>
      <c r="B997" t="s">
        <v>1492</v>
      </c>
      <c r="C997">
        <v>39.700000000000003</v>
      </c>
    </row>
    <row r="998" spans="1:3">
      <c r="A998">
        <v>3226</v>
      </c>
      <c r="B998" t="s">
        <v>301</v>
      </c>
      <c r="C998">
        <v>64.099999999999994</v>
      </c>
    </row>
    <row r="999" spans="1:3">
      <c r="A999">
        <v>3227</v>
      </c>
      <c r="B999" t="s">
        <v>302</v>
      </c>
      <c r="C999">
        <v>84.5</v>
      </c>
    </row>
    <row r="1000" spans="1:3">
      <c r="A1000">
        <v>3228</v>
      </c>
      <c r="B1000" t="s">
        <v>303</v>
      </c>
      <c r="C1000">
        <v>25.1</v>
      </c>
    </row>
    <row r="1001" spans="1:3">
      <c r="A1001">
        <v>3230</v>
      </c>
      <c r="B1001" t="s">
        <v>1493</v>
      </c>
      <c r="C1001">
        <v>6.28</v>
      </c>
    </row>
    <row r="1002" spans="1:3">
      <c r="A1002">
        <v>3232</v>
      </c>
      <c r="B1002" t="s">
        <v>304</v>
      </c>
      <c r="C1002">
        <v>27.45</v>
      </c>
    </row>
    <row r="1003" spans="1:3">
      <c r="A1003">
        <v>3234</v>
      </c>
      <c r="B1003" t="s">
        <v>305</v>
      </c>
      <c r="C1003">
        <v>105</v>
      </c>
    </row>
    <row r="1004" spans="1:3">
      <c r="A1004">
        <v>3236</v>
      </c>
      <c r="B1004" t="s">
        <v>306</v>
      </c>
      <c r="C1004">
        <v>13.25</v>
      </c>
    </row>
    <row r="1005" spans="1:3">
      <c r="A1005">
        <v>3252</v>
      </c>
      <c r="B1005" t="s">
        <v>307</v>
      </c>
      <c r="C1005">
        <v>18.95</v>
      </c>
    </row>
    <row r="1006" spans="1:3">
      <c r="A1006">
        <v>3259</v>
      </c>
      <c r="B1006" t="s">
        <v>1494</v>
      </c>
      <c r="C1006">
        <v>28.25</v>
      </c>
    </row>
    <row r="1007" spans="1:3">
      <c r="A1007">
        <v>3260</v>
      </c>
      <c r="B1007" t="s">
        <v>1495</v>
      </c>
      <c r="C1007">
        <v>32.9</v>
      </c>
    </row>
    <row r="1008" spans="1:3">
      <c r="A1008">
        <v>3264</v>
      </c>
      <c r="B1008" t="s">
        <v>1496</v>
      </c>
      <c r="C1008">
        <v>21.95</v>
      </c>
    </row>
    <row r="1009" spans="1:3">
      <c r="A1009">
        <v>3265</v>
      </c>
      <c r="B1009" t="s">
        <v>308</v>
      </c>
      <c r="C1009">
        <v>22.3</v>
      </c>
    </row>
    <row r="1010" spans="1:3">
      <c r="A1010">
        <v>3268</v>
      </c>
      <c r="B1010" t="s">
        <v>309</v>
      </c>
      <c r="C1010">
        <v>16.899999999999999</v>
      </c>
    </row>
    <row r="1011" spans="1:3">
      <c r="A1011">
        <v>3272</v>
      </c>
      <c r="B1011" t="s">
        <v>310</v>
      </c>
      <c r="C1011">
        <v>69.3</v>
      </c>
    </row>
    <row r="1012" spans="1:3">
      <c r="A1012">
        <v>3276</v>
      </c>
      <c r="B1012" t="s">
        <v>1497</v>
      </c>
      <c r="C1012">
        <v>8.76</v>
      </c>
    </row>
    <row r="1013" spans="1:3">
      <c r="A1013">
        <v>3284</v>
      </c>
      <c r="B1013" t="s">
        <v>311</v>
      </c>
      <c r="C1013">
        <v>9.93</v>
      </c>
    </row>
    <row r="1014" spans="1:3">
      <c r="A1014">
        <v>3285</v>
      </c>
      <c r="B1014" t="s">
        <v>312</v>
      </c>
      <c r="C1014">
        <v>32.299999999999997</v>
      </c>
    </row>
    <row r="1015" spans="1:3">
      <c r="A1015">
        <v>3287</v>
      </c>
      <c r="B1015" t="s">
        <v>1498</v>
      </c>
      <c r="C1015">
        <v>8.52</v>
      </c>
    </row>
    <row r="1016" spans="1:3">
      <c r="A1016">
        <v>3288</v>
      </c>
      <c r="B1016" t="s">
        <v>1499</v>
      </c>
      <c r="C1016">
        <v>7.64</v>
      </c>
    </row>
    <row r="1017" spans="1:3">
      <c r="A1017">
        <v>3289</v>
      </c>
      <c r="B1017" t="s">
        <v>1500</v>
      </c>
      <c r="C1017">
        <v>87.6</v>
      </c>
    </row>
    <row r="1018" spans="1:3">
      <c r="A1018">
        <v>3290</v>
      </c>
      <c r="B1018" t="s">
        <v>1501</v>
      </c>
      <c r="C1018">
        <v>14.75</v>
      </c>
    </row>
    <row r="1019" spans="1:3">
      <c r="A1019">
        <v>3291</v>
      </c>
      <c r="B1019" t="s">
        <v>313</v>
      </c>
      <c r="C1019">
        <v>16.95</v>
      </c>
    </row>
    <row r="1020" spans="1:3">
      <c r="A1020">
        <v>3293</v>
      </c>
      <c r="B1020" t="s">
        <v>1502</v>
      </c>
      <c r="C1020">
        <v>94.8</v>
      </c>
    </row>
    <row r="1021" spans="1:3">
      <c r="A1021">
        <v>3294</v>
      </c>
      <c r="B1021" t="s">
        <v>314</v>
      </c>
      <c r="C1021">
        <v>17.95</v>
      </c>
    </row>
    <row r="1022" spans="1:3">
      <c r="A1022">
        <v>3297</v>
      </c>
      <c r="B1022" t="s">
        <v>315</v>
      </c>
      <c r="C1022">
        <v>19</v>
      </c>
    </row>
    <row r="1023" spans="1:3">
      <c r="A1023">
        <v>3299</v>
      </c>
      <c r="B1023" t="s">
        <v>316</v>
      </c>
      <c r="C1023">
        <v>51.4</v>
      </c>
    </row>
    <row r="1024" spans="1:3">
      <c r="A1024">
        <v>3303</v>
      </c>
      <c r="B1024" t="s">
        <v>317</v>
      </c>
      <c r="C1024">
        <v>17.350000000000001</v>
      </c>
    </row>
    <row r="1025" spans="1:3">
      <c r="A1025">
        <v>3306</v>
      </c>
      <c r="B1025" t="s">
        <v>1503</v>
      </c>
      <c r="C1025">
        <v>24.8</v>
      </c>
    </row>
    <row r="1026" spans="1:3">
      <c r="A1026">
        <v>3310</v>
      </c>
      <c r="B1026" t="s">
        <v>1504</v>
      </c>
      <c r="C1026">
        <v>13.35</v>
      </c>
    </row>
    <row r="1027" spans="1:3">
      <c r="A1027">
        <v>3313</v>
      </c>
      <c r="B1027" t="s">
        <v>318</v>
      </c>
      <c r="C1027">
        <v>7.58</v>
      </c>
    </row>
    <row r="1028" spans="1:3">
      <c r="A1028">
        <v>3317</v>
      </c>
      <c r="B1028" t="s">
        <v>1505</v>
      </c>
      <c r="C1028">
        <v>11.35</v>
      </c>
    </row>
    <row r="1029" spans="1:3">
      <c r="A1029">
        <v>3322</v>
      </c>
      <c r="B1029" t="s">
        <v>1506</v>
      </c>
      <c r="C1029">
        <v>11.1</v>
      </c>
    </row>
    <row r="1030" spans="1:3">
      <c r="A1030">
        <v>3323</v>
      </c>
      <c r="B1030" t="s">
        <v>319</v>
      </c>
      <c r="C1030">
        <v>18.8</v>
      </c>
    </row>
    <row r="1031" spans="1:3">
      <c r="A1031">
        <v>3324</v>
      </c>
      <c r="B1031" t="s">
        <v>1507</v>
      </c>
      <c r="C1031">
        <v>41</v>
      </c>
    </row>
    <row r="1032" spans="1:3">
      <c r="A1032">
        <v>3325</v>
      </c>
      <c r="B1032" t="s">
        <v>1508</v>
      </c>
      <c r="C1032">
        <v>19.05</v>
      </c>
    </row>
    <row r="1033" spans="1:3">
      <c r="A1033">
        <v>3332</v>
      </c>
      <c r="B1033" t="s">
        <v>320</v>
      </c>
      <c r="C1033">
        <v>38.15</v>
      </c>
    </row>
    <row r="1034" spans="1:3">
      <c r="A1034">
        <v>3339</v>
      </c>
      <c r="B1034" t="s">
        <v>1509</v>
      </c>
      <c r="C1034">
        <v>4.16</v>
      </c>
    </row>
    <row r="1035" spans="1:3">
      <c r="A1035">
        <v>3354</v>
      </c>
      <c r="B1035" t="s">
        <v>1510</v>
      </c>
      <c r="C1035">
        <v>7.8</v>
      </c>
    </row>
    <row r="1036" spans="1:3">
      <c r="A1036">
        <v>3360</v>
      </c>
      <c r="B1036" t="s">
        <v>321</v>
      </c>
      <c r="C1036">
        <v>12.1</v>
      </c>
    </row>
    <row r="1037" spans="1:3">
      <c r="A1037">
        <v>3362</v>
      </c>
      <c r="B1037" t="s">
        <v>1511</v>
      </c>
      <c r="C1037">
        <v>14.05</v>
      </c>
    </row>
    <row r="1038" spans="1:3">
      <c r="A1038">
        <v>3363</v>
      </c>
      <c r="B1038" t="s">
        <v>322</v>
      </c>
      <c r="C1038">
        <v>24.2</v>
      </c>
    </row>
    <row r="1039" spans="1:3">
      <c r="A1039">
        <v>3372</v>
      </c>
      <c r="B1039" t="s">
        <v>323</v>
      </c>
      <c r="C1039">
        <v>8.02</v>
      </c>
    </row>
    <row r="1040" spans="1:3">
      <c r="A1040">
        <v>3373</v>
      </c>
      <c r="B1040" t="s">
        <v>324</v>
      </c>
      <c r="C1040">
        <v>27.6</v>
      </c>
    </row>
    <row r="1041" spans="1:3">
      <c r="A1041">
        <v>3374</v>
      </c>
      <c r="B1041" t="s">
        <v>325</v>
      </c>
      <c r="C1041">
        <v>37.5</v>
      </c>
    </row>
    <row r="1042" spans="1:3">
      <c r="A1042">
        <v>3379</v>
      </c>
      <c r="B1042" t="s">
        <v>1512</v>
      </c>
      <c r="C1042">
        <v>13.9</v>
      </c>
    </row>
    <row r="1043" spans="1:3">
      <c r="A1043">
        <v>3388</v>
      </c>
      <c r="B1043" t="s">
        <v>326</v>
      </c>
      <c r="C1043">
        <v>61.3</v>
      </c>
    </row>
    <row r="1044" spans="1:3">
      <c r="A1044">
        <v>3390</v>
      </c>
      <c r="B1044" t="s">
        <v>1513</v>
      </c>
      <c r="C1044">
        <v>15.3</v>
      </c>
    </row>
    <row r="1045" spans="1:3">
      <c r="A1045">
        <v>3402</v>
      </c>
      <c r="B1045" t="s">
        <v>1514</v>
      </c>
      <c r="C1045">
        <v>13.8</v>
      </c>
    </row>
    <row r="1046" spans="1:3">
      <c r="A1046">
        <v>3428</v>
      </c>
      <c r="B1046" t="s">
        <v>327</v>
      </c>
      <c r="C1046">
        <v>44.7</v>
      </c>
    </row>
    <row r="1047" spans="1:3">
      <c r="A1047">
        <v>3431</v>
      </c>
      <c r="B1047" t="s">
        <v>1515</v>
      </c>
      <c r="C1047">
        <v>8.5</v>
      </c>
    </row>
    <row r="1048" spans="1:3">
      <c r="A1048">
        <v>3434</v>
      </c>
      <c r="B1048" t="s">
        <v>328</v>
      </c>
      <c r="C1048">
        <v>12.6</v>
      </c>
    </row>
    <row r="1049" spans="1:3">
      <c r="A1049">
        <v>3438</v>
      </c>
      <c r="B1049" t="s">
        <v>1516</v>
      </c>
      <c r="C1049">
        <v>18.2</v>
      </c>
    </row>
    <row r="1050" spans="1:3">
      <c r="A1050">
        <v>3441</v>
      </c>
      <c r="B1050" t="s">
        <v>1517</v>
      </c>
      <c r="C1050">
        <v>11.8</v>
      </c>
    </row>
    <row r="1051" spans="1:3">
      <c r="A1051">
        <v>3444</v>
      </c>
      <c r="B1051" t="s">
        <v>1518</v>
      </c>
      <c r="C1051">
        <v>16.25</v>
      </c>
    </row>
    <row r="1052" spans="1:3">
      <c r="A1052">
        <v>3452</v>
      </c>
      <c r="B1052" t="s">
        <v>1519</v>
      </c>
      <c r="C1052">
        <v>14</v>
      </c>
    </row>
    <row r="1053" spans="1:3">
      <c r="A1053">
        <v>3455</v>
      </c>
      <c r="B1053" t="s">
        <v>329</v>
      </c>
      <c r="C1053">
        <v>29.5</v>
      </c>
    </row>
    <row r="1054" spans="1:3">
      <c r="A1054">
        <v>3465</v>
      </c>
      <c r="B1054" t="s">
        <v>1520</v>
      </c>
      <c r="C1054">
        <v>0</v>
      </c>
    </row>
    <row r="1055" spans="1:3">
      <c r="A1055">
        <v>3466</v>
      </c>
      <c r="B1055" t="s">
        <v>330</v>
      </c>
      <c r="C1055">
        <v>22.8</v>
      </c>
    </row>
    <row r="1056" spans="1:3">
      <c r="A1056">
        <v>3479</v>
      </c>
      <c r="B1056" t="s">
        <v>1521</v>
      </c>
      <c r="C1056">
        <v>74</v>
      </c>
    </row>
    <row r="1057" spans="1:3">
      <c r="A1057">
        <v>3483</v>
      </c>
      <c r="B1057" t="s">
        <v>331</v>
      </c>
      <c r="C1057">
        <v>13.65</v>
      </c>
    </row>
    <row r="1058" spans="1:3">
      <c r="A1058">
        <v>3484</v>
      </c>
      <c r="B1058" t="s">
        <v>332</v>
      </c>
      <c r="C1058">
        <v>33.700000000000003</v>
      </c>
    </row>
    <row r="1059" spans="1:3">
      <c r="A1059">
        <v>3489</v>
      </c>
      <c r="B1059" t="s">
        <v>333</v>
      </c>
      <c r="C1059">
        <v>9.69</v>
      </c>
    </row>
    <row r="1060" spans="1:3">
      <c r="A1060">
        <v>3490</v>
      </c>
      <c r="B1060" t="s">
        <v>334</v>
      </c>
      <c r="C1060">
        <v>77.400000000000006</v>
      </c>
    </row>
    <row r="1061" spans="1:3">
      <c r="A1061">
        <v>3491</v>
      </c>
      <c r="B1061" t="s">
        <v>1522</v>
      </c>
      <c r="C1061">
        <v>76.2</v>
      </c>
    </row>
    <row r="1062" spans="1:3">
      <c r="A1062">
        <v>3492</v>
      </c>
      <c r="B1062" t="s">
        <v>1523</v>
      </c>
      <c r="C1062">
        <v>37.049999999999997</v>
      </c>
    </row>
    <row r="1063" spans="1:3">
      <c r="A1063">
        <v>3498</v>
      </c>
      <c r="B1063" t="s">
        <v>1524</v>
      </c>
      <c r="C1063">
        <v>70.5</v>
      </c>
    </row>
    <row r="1064" spans="1:3">
      <c r="A1064">
        <v>3499</v>
      </c>
      <c r="B1064" t="s">
        <v>335</v>
      </c>
      <c r="C1064">
        <v>23.65</v>
      </c>
    </row>
    <row r="1065" spans="1:3">
      <c r="A1065">
        <v>3508</v>
      </c>
      <c r="B1065" t="s">
        <v>336</v>
      </c>
      <c r="C1065">
        <v>15.3</v>
      </c>
    </row>
    <row r="1066" spans="1:3">
      <c r="A1066">
        <v>3511</v>
      </c>
      <c r="B1066" t="s">
        <v>1525</v>
      </c>
      <c r="C1066">
        <v>31.55</v>
      </c>
    </row>
    <row r="1067" spans="1:3">
      <c r="A1067">
        <v>3512</v>
      </c>
      <c r="B1067" t="s">
        <v>1526</v>
      </c>
      <c r="C1067">
        <v>31.7</v>
      </c>
    </row>
    <row r="1068" spans="1:3">
      <c r="A1068">
        <v>3516</v>
      </c>
      <c r="B1068" t="s">
        <v>337</v>
      </c>
      <c r="C1068">
        <v>9.15</v>
      </c>
    </row>
    <row r="1069" spans="1:3">
      <c r="A1069">
        <v>3520</v>
      </c>
      <c r="B1069" t="s">
        <v>1527</v>
      </c>
      <c r="C1069">
        <v>114</v>
      </c>
    </row>
    <row r="1070" spans="1:3">
      <c r="A1070">
        <v>3521</v>
      </c>
      <c r="B1070" t="s">
        <v>1528</v>
      </c>
      <c r="C1070">
        <v>14.65</v>
      </c>
    </row>
    <row r="1071" spans="1:3">
      <c r="A1071">
        <v>3522</v>
      </c>
      <c r="B1071" t="s">
        <v>338</v>
      </c>
      <c r="C1071">
        <v>10</v>
      </c>
    </row>
    <row r="1072" spans="1:3">
      <c r="A1072">
        <v>3523</v>
      </c>
      <c r="B1072" t="s">
        <v>1529</v>
      </c>
      <c r="C1072">
        <v>22.8</v>
      </c>
    </row>
    <row r="1073" spans="1:3">
      <c r="A1073">
        <v>3526</v>
      </c>
      <c r="B1073" t="s">
        <v>1530</v>
      </c>
      <c r="C1073">
        <v>21.9</v>
      </c>
    </row>
    <row r="1074" spans="1:3">
      <c r="A1074">
        <v>3527</v>
      </c>
      <c r="B1074" t="s">
        <v>339</v>
      </c>
      <c r="C1074">
        <v>45.1</v>
      </c>
    </row>
    <row r="1075" spans="1:3">
      <c r="A1075">
        <v>3528</v>
      </c>
      <c r="B1075" t="s">
        <v>1531</v>
      </c>
      <c r="C1075">
        <v>30.4</v>
      </c>
    </row>
    <row r="1076" spans="1:3">
      <c r="A1076">
        <v>3529</v>
      </c>
      <c r="B1076" t="s">
        <v>340</v>
      </c>
      <c r="C1076">
        <v>384.5</v>
      </c>
    </row>
    <row r="1077" spans="1:3">
      <c r="A1077">
        <v>3531</v>
      </c>
      <c r="B1077" t="s">
        <v>1532</v>
      </c>
      <c r="C1077">
        <v>13.7</v>
      </c>
    </row>
    <row r="1078" spans="1:3">
      <c r="A1078">
        <v>3537</v>
      </c>
      <c r="B1078" t="s">
        <v>341</v>
      </c>
      <c r="C1078">
        <v>19.55</v>
      </c>
    </row>
    <row r="1079" spans="1:3">
      <c r="A1079">
        <v>3540</v>
      </c>
      <c r="B1079" t="s">
        <v>1533</v>
      </c>
      <c r="C1079">
        <v>13.2</v>
      </c>
    </row>
    <row r="1080" spans="1:3">
      <c r="A1080">
        <v>3541</v>
      </c>
      <c r="B1080" t="s">
        <v>1534</v>
      </c>
      <c r="C1080">
        <v>70.2</v>
      </c>
    </row>
    <row r="1081" spans="1:3">
      <c r="A1081">
        <v>3546</v>
      </c>
      <c r="B1081" t="s">
        <v>1535</v>
      </c>
      <c r="C1081">
        <v>31.8</v>
      </c>
    </row>
    <row r="1082" spans="1:3">
      <c r="A1082">
        <v>3548</v>
      </c>
      <c r="B1082" t="s">
        <v>342</v>
      </c>
      <c r="C1082">
        <v>37.6</v>
      </c>
    </row>
    <row r="1083" spans="1:3">
      <c r="A1083">
        <v>3551</v>
      </c>
      <c r="B1083" t="s">
        <v>343</v>
      </c>
      <c r="C1083">
        <v>34.15</v>
      </c>
    </row>
    <row r="1084" spans="1:3">
      <c r="A1084">
        <v>3552</v>
      </c>
      <c r="B1084" t="s">
        <v>1536</v>
      </c>
      <c r="C1084">
        <v>302.5</v>
      </c>
    </row>
    <row r="1085" spans="1:3">
      <c r="A1085">
        <v>3553</v>
      </c>
      <c r="B1085" t="s">
        <v>344</v>
      </c>
      <c r="C1085">
        <v>14.2</v>
      </c>
    </row>
    <row r="1086" spans="1:3">
      <c r="A1086">
        <v>3555</v>
      </c>
      <c r="B1086" t="s">
        <v>1537</v>
      </c>
      <c r="C1086">
        <v>11.2</v>
      </c>
    </row>
    <row r="1087" spans="1:3">
      <c r="A1087">
        <v>3556</v>
      </c>
      <c r="B1087" t="s">
        <v>345</v>
      </c>
      <c r="C1087">
        <v>56</v>
      </c>
    </row>
    <row r="1088" spans="1:3">
      <c r="A1088">
        <v>3558</v>
      </c>
      <c r="B1088" t="s">
        <v>346</v>
      </c>
      <c r="C1088">
        <v>247.5</v>
      </c>
    </row>
    <row r="1089" spans="1:3">
      <c r="A1089">
        <v>3562</v>
      </c>
      <c r="B1089" t="s">
        <v>347</v>
      </c>
      <c r="C1089">
        <v>4.9000000000000004</v>
      </c>
    </row>
    <row r="1090" spans="1:3">
      <c r="A1090">
        <v>3563</v>
      </c>
      <c r="B1090" t="s">
        <v>348</v>
      </c>
      <c r="C1090">
        <v>46.2</v>
      </c>
    </row>
    <row r="1091" spans="1:3">
      <c r="A1091">
        <v>3564</v>
      </c>
      <c r="B1091" t="s">
        <v>1538</v>
      </c>
      <c r="C1091">
        <v>68.5</v>
      </c>
    </row>
    <row r="1092" spans="1:3">
      <c r="A1092">
        <v>3567</v>
      </c>
      <c r="B1092" t="s">
        <v>1539</v>
      </c>
      <c r="C1092">
        <v>12.2</v>
      </c>
    </row>
    <row r="1093" spans="1:3">
      <c r="A1093">
        <v>3570</v>
      </c>
      <c r="B1093" t="s">
        <v>1540</v>
      </c>
      <c r="C1093">
        <v>71.400000000000006</v>
      </c>
    </row>
    <row r="1094" spans="1:3">
      <c r="A1094">
        <v>3577</v>
      </c>
      <c r="B1094" t="s">
        <v>1541</v>
      </c>
      <c r="C1094">
        <v>29.6</v>
      </c>
    </row>
    <row r="1095" spans="1:3">
      <c r="A1095">
        <v>3580</v>
      </c>
      <c r="B1095" t="s">
        <v>1542</v>
      </c>
      <c r="C1095">
        <v>8.65</v>
      </c>
    </row>
    <row r="1096" spans="1:3">
      <c r="A1096">
        <v>3581</v>
      </c>
      <c r="B1096" t="s">
        <v>1543</v>
      </c>
      <c r="C1096">
        <v>13.95</v>
      </c>
    </row>
    <row r="1097" spans="1:3">
      <c r="A1097">
        <v>3587</v>
      </c>
      <c r="B1097" t="s">
        <v>1544</v>
      </c>
      <c r="C1097">
        <v>61</v>
      </c>
    </row>
    <row r="1098" spans="1:3">
      <c r="A1098">
        <v>3594</v>
      </c>
      <c r="B1098" t="s">
        <v>349</v>
      </c>
      <c r="C1098">
        <v>28.7</v>
      </c>
    </row>
    <row r="1099" spans="1:3">
      <c r="A1099">
        <v>3609</v>
      </c>
      <c r="B1099" t="s">
        <v>350</v>
      </c>
      <c r="C1099">
        <v>12.85</v>
      </c>
    </row>
    <row r="1100" spans="1:3">
      <c r="A1100">
        <v>3611</v>
      </c>
      <c r="B1100" t="s">
        <v>351</v>
      </c>
      <c r="C1100">
        <v>309</v>
      </c>
    </row>
    <row r="1101" spans="1:3">
      <c r="A1101">
        <v>3615</v>
      </c>
      <c r="B1101" t="s">
        <v>1545</v>
      </c>
      <c r="C1101">
        <v>20.100000000000001</v>
      </c>
    </row>
    <row r="1102" spans="1:3">
      <c r="A1102">
        <v>3623</v>
      </c>
      <c r="B1102" t="s">
        <v>352</v>
      </c>
      <c r="C1102">
        <v>44.75</v>
      </c>
    </row>
    <row r="1103" spans="1:3">
      <c r="A1103">
        <v>3624</v>
      </c>
      <c r="B1103" t="s">
        <v>353</v>
      </c>
      <c r="C1103">
        <v>24.4</v>
      </c>
    </row>
    <row r="1104" spans="1:3">
      <c r="A1104">
        <v>3625</v>
      </c>
      <c r="B1104" t="s">
        <v>354</v>
      </c>
      <c r="C1104">
        <v>10.199999999999999</v>
      </c>
    </row>
    <row r="1105" spans="1:3">
      <c r="A1105">
        <v>3628</v>
      </c>
      <c r="B1105" t="s">
        <v>1546</v>
      </c>
      <c r="C1105">
        <v>52</v>
      </c>
    </row>
    <row r="1106" spans="1:3">
      <c r="A1106">
        <v>3629</v>
      </c>
      <c r="B1106" t="s">
        <v>1547</v>
      </c>
      <c r="C1106">
        <v>30.95</v>
      </c>
    </row>
    <row r="1107" spans="1:3">
      <c r="A1107">
        <v>3630</v>
      </c>
      <c r="B1107" t="s">
        <v>355</v>
      </c>
      <c r="C1107">
        <v>17.649999999999999</v>
      </c>
    </row>
    <row r="1108" spans="1:3">
      <c r="A1108">
        <v>3631</v>
      </c>
      <c r="B1108" t="s">
        <v>356</v>
      </c>
      <c r="C1108">
        <v>26</v>
      </c>
    </row>
    <row r="1109" spans="1:3">
      <c r="A1109">
        <v>3632</v>
      </c>
      <c r="B1109" t="s">
        <v>1548</v>
      </c>
      <c r="C1109">
        <v>26.3</v>
      </c>
    </row>
    <row r="1110" spans="1:3">
      <c r="A1110">
        <v>3642</v>
      </c>
      <c r="B1110" t="s">
        <v>1549</v>
      </c>
      <c r="C1110">
        <v>20.9</v>
      </c>
    </row>
    <row r="1111" spans="1:3">
      <c r="A1111">
        <v>3646</v>
      </c>
      <c r="B1111" t="s">
        <v>1550</v>
      </c>
      <c r="C1111">
        <v>14.5</v>
      </c>
    </row>
    <row r="1112" spans="1:3">
      <c r="A1112">
        <v>3652</v>
      </c>
      <c r="B1112" t="s">
        <v>357</v>
      </c>
      <c r="C1112">
        <v>17.100000000000001</v>
      </c>
    </row>
    <row r="1113" spans="1:3">
      <c r="A1113">
        <v>3658</v>
      </c>
      <c r="B1113" t="s">
        <v>358</v>
      </c>
      <c r="C1113">
        <v>1140</v>
      </c>
    </row>
    <row r="1114" spans="1:3">
      <c r="A1114">
        <v>3662</v>
      </c>
      <c r="B1114" t="s">
        <v>1551</v>
      </c>
      <c r="C1114">
        <v>93.8</v>
      </c>
    </row>
    <row r="1115" spans="1:3">
      <c r="A1115">
        <v>3663</v>
      </c>
      <c r="B1115" t="s">
        <v>1552</v>
      </c>
      <c r="C1115">
        <v>16.100000000000001</v>
      </c>
    </row>
    <row r="1116" spans="1:3">
      <c r="A1116">
        <v>3664</v>
      </c>
      <c r="B1116" t="s">
        <v>1553</v>
      </c>
      <c r="C1116">
        <v>15.1</v>
      </c>
    </row>
    <row r="1117" spans="1:3">
      <c r="A1117">
        <v>3666</v>
      </c>
      <c r="B1117" t="s">
        <v>359</v>
      </c>
      <c r="C1117">
        <v>24</v>
      </c>
    </row>
    <row r="1118" spans="1:3">
      <c r="A1118">
        <v>3672</v>
      </c>
      <c r="B1118" t="s">
        <v>360</v>
      </c>
      <c r="C1118">
        <v>38.299999999999997</v>
      </c>
    </row>
    <row r="1119" spans="1:3">
      <c r="A1119">
        <v>3675</v>
      </c>
      <c r="B1119" t="s">
        <v>1554</v>
      </c>
      <c r="C1119">
        <v>22</v>
      </c>
    </row>
    <row r="1120" spans="1:3">
      <c r="A1120">
        <v>3680</v>
      </c>
      <c r="B1120" t="s">
        <v>1555</v>
      </c>
      <c r="C1120">
        <v>30.05</v>
      </c>
    </row>
    <row r="1121" spans="1:3">
      <c r="A1121">
        <v>3684</v>
      </c>
      <c r="B1121" t="s">
        <v>1556</v>
      </c>
      <c r="C1121">
        <v>61.4</v>
      </c>
    </row>
    <row r="1122" spans="1:3">
      <c r="A1122">
        <v>3685</v>
      </c>
      <c r="B1122" t="s">
        <v>1557</v>
      </c>
      <c r="C1122">
        <v>43.7</v>
      </c>
    </row>
    <row r="1123" spans="1:3">
      <c r="A1123">
        <v>3687</v>
      </c>
      <c r="B1123" t="s">
        <v>361</v>
      </c>
      <c r="C1123">
        <v>67.099999999999994</v>
      </c>
    </row>
    <row r="1124" spans="1:3">
      <c r="A1124">
        <v>3689</v>
      </c>
      <c r="B1124" t="s">
        <v>1558</v>
      </c>
      <c r="C1124">
        <v>34.299999999999997</v>
      </c>
    </row>
    <row r="1125" spans="1:3">
      <c r="A1125">
        <v>3691</v>
      </c>
      <c r="B1125" t="s">
        <v>1559</v>
      </c>
      <c r="C1125">
        <v>702</v>
      </c>
    </row>
    <row r="1126" spans="1:3">
      <c r="A1126">
        <v>3693</v>
      </c>
      <c r="B1126" t="s">
        <v>362</v>
      </c>
      <c r="C1126">
        <v>135</v>
      </c>
    </row>
    <row r="1127" spans="1:3">
      <c r="A1127">
        <v>3707</v>
      </c>
      <c r="B1127" t="s">
        <v>363</v>
      </c>
      <c r="C1127">
        <v>9.4</v>
      </c>
    </row>
    <row r="1128" spans="1:3">
      <c r="A1128">
        <v>4102</v>
      </c>
      <c r="B1128" t="s">
        <v>1560</v>
      </c>
      <c r="C1128">
        <v>27</v>
      </c>
    </row>
    <row r="1129" spans="1:3">
      <c r="A1129">
        <v>4103</v>
      </c>
      <c r="B1129" t="s">
        <v>1561</v>
      </c>
      <c r="C1129">
        <v>100.5</v>
      </c>
    </row>
    <row r="1130" spans="1:3">
      <c r="A1130">
        <v>4105</v>
      </c>
      <c r="B1130" t="s">
        <v>1562</v>
      </c>
      <c r="C1130">
        <v>113</v>
      </c>
    </row>
    <row r="1131" spans="1:3">
      <c r="A1131">
        <v>4107</v>
      </c>
      <c r="B1131" t="s">
        <v>1563</v>
      </c>
      <c r="C1131">
        <v>139.5</v>
      </c>
    </row>
    <row r="1132" spans="1:3">
      <c r="A1132">
        <v>4109</v>
      </c>
      <c r="B1132" t="s">
        <v>1564</v>
      </c>
      <c r="C1132">
        <v>25.3</v>
      </c>
    </row>
    <row r="1133" spans="1:3">
      <c r="A1133">
        <v>4111</v>
      </c>
      <c r="B1133" t="s">
        <v>1565</v>
      </c>
      <c r="C1133">
        <v>28.4</v>
      </c>
    </row>
    <row r="1134" spans="1:3">
      <c r="A1134">
        <v>4113</v>
      </c>
      <c r="B1134" t="s">
        <v>364</v>
      </c>
      <c r="C1134">
        <v>10.1</v>
      </c>
    </row>
    <row r="1135" spans="1:3">
      <c r="A1135">
        <v>4114</v>
      </c>
      <c r="B1135" t="s">
        <v>1566</v>
      </c>
      <c r="C1135">
        <v>36.9</v>
      </c>
    </row>
    <row r="1136" spans="1:3">
      <c r="A1136">
        <v>4120</v>
      </c>
      <c r="B1136" t="s">
        <v>365</v>
      </c>
      <c r="C1136">
        <v>63.3</v>
      </c>
    </row>
    <row r="1137" spans="1:3">
      <c r="A1137">
        <v>4121</v>
      </c>
      <c r="B1137" t="s">
        <v>1567</v>
      </c>
      <c r="C1137">
        <v>17.3</v>
      </c>
    </row>
    <row r="1138" spans="1:3">
      <c r="A1138">
        <v>4123</v>
      </c>
      <c r="B1138" t="s">
        <v>1568</v>
      </c>
      <c r="C1138">
        <v>79</v>
      </c>
    </row>
    <row r="1139" spans="1:3">
      <c r="A1139">
        <v>4126</v>
      </c>
      <c r="B1139" t="s">
        <v>366</v>
      </c>
      <c r="C1139">
        <v>79.5</v>
      </c>
    </row>
    <row r="1140" spans="1:3">
      <c r="A1140">
        <v>4127</v>
      </c>
      <c r="B1140" t="s">
        <v>1569</v>
      </c>
      <c r="C1140">
        <v>24.65</v>
      </c>
    </row>
    <row r="1141" spans="1:3">
      <c r="A1141">
        <v>4128</v>
      </c>
      <c r="B1141" t="s">
        <v>1570</v>
      </c>
      <c r="C1141">
        <v>29.25</v>
      </c>
    </row>
    <row r="1142" spans="1:3">
      <c r="A1142">
        <v>4129</v>
      </c>
      <c r="B1142" t="s">
        <v>1571</v>
      </c>
      <c r="C1142">
        <v>75.2</v>
      </c>
    </row>
    <row r="1143" spans="1:3">
      <c r="A1143">
        <v>4130</v>
      </c>
      <c r="B1143" t="s">
        <v>367</v>
      </c>
      <c r="C1143">
        <v>60.5</v>
      </c>
    </row>
    <row r="1144" spans="1:3">
      <c r="A1144">
        <v>4131</v>
      </c>
      <c r="B1144" t="s">
        <v>1572</v>
      </c>
      <c r="C1144">
        <v>9.64</v>
      </c>
    </row>
    <row r="1145" spans="1:3">
      <c r="A1145">
        <v>4138</v>
      </c>
      <c r="B1145" t="s">
        <v>1573</v>
      </c>
      <c r="C1145">
        <v>71.5</v>
      </c>
    </row>
    <row r="1146" spans="1:3">
      <c r="A1146">
        <v>4139</v>
      </c>
      <c r="B1146" t="s">
        <v>1574</v>
      </c>
      <c r="C1146">
        <v>69.099999999999994</v>
      </c>
    </row>
    <row r="1147" spans="1:3">
      <c r="A1147">
        <v>4147</v>
      </c>
      <c r="B1147" t="s">
        <v>1957</v>
      </c>
      <c r="C1147">
        <v>256</v>
      </c>
    </row>
    <row r="1148" spans="1:3">
      <c r="A1148">
        <v>4152</v>
      </c>
      <c r="B1148" t="s">
        <v>368</v>
      </c>
      <c r="C1148">
        <v>162.5</v>
      </c>
    </row>
    <row r="1149" spans="1:3">
      <c r="A1149">
        <v>4153</v>
      </c>
      <c r="B1149" t="s">
        <v>369</v>
      </c>
      <c r="C1149">
        <v>82.1</v>
      </c>
    </row>
    <row r="1150" spans="1:3">
      <c r="A1150">
        <v>4154</v>
      </c>
      <c r="B1150" t="s">
        <v>1575</v>
      </c>
      <c r="C1150">
        <v>24.55</v>
      </c>
    </row>
    <row r="1151" spans="1:3">
      <c r="A1151">
        <v>4157</v>
      </c>
      <c r="B1151" t="s">
        <v>1576</v>
      </c>
      <c r="C1151">
        <v>37</v>
      </c>
    </row>
    <row r="1152" spans="1:3">
      <c r="A1152">
        <v>4160</v>
      </c>
      <c r="B1152" t="s">
        <v>1577</v>
      </c>
      <c r="C1152">
        <v>32.9</v>
      </c>
    </row>
    <row r="1153" spans="1:3">
      <c r="A1153">
        <v>4161</v>
      </c>
      <c r="B1153" t="s">
        <v>1578</v>
      </c>
      <c r="C1153">
        <v>71.900000000000006</v>
      </c>
    </row>
    <row r="1154" spans="1:3">
      <c r="A1154">
        <v>4162</v>
      </c>
      <c r="B1154" t="s">
        <v>370</v>
      </c>
      <c r="C1154">
        <v>270</v>
      </c>
    </row>
    <row r="1155" spans="1:3">
      <c r="A1155">
        <v>4163</v>
      </c>
      <c r="B1155" t="s">
        <v>1579</v>
      </c>
      <c r="C1155">
        <v>134</v>
      </c>
    </row>
    <row r="1156" spans="1:3">
      <c r="A1156">
        <v>4167</v>
      </c>
      <c r="B1156" t="s">
        <v>371</v>
      </c>
      <c r="C1156">
        <v>33.9</v>
      </c>
    </row>
    <row r="1157" spans="1:3">
      <c r="A1157">
        <v>4168</v>
      </c>
      <c r="B1157" t="s">
        <v>372</v>
      </c>
      <c r="C1157">
        <v>66.7</v>
      </c>
    </row>
    <row r="1158" spans="1:3">
      <c r="A1158">
        <v>4171</v>
      </c>
      <c r="B1158" t="s">
        <v>1580</v>
      </c>
      <c r="C1158">
        <v>38.299999999999997</v>
      </c>
    </row>
    <row r="1159" spans="1:3">
      <c r="A1159">
        <v>4173</v>
      </c>
      <c r="B1159" t="s">
        <v>373</v>
      </c>
      <c r="C1159">
        <v>30.6</v>
      </c>
    </row>
    <row r="1160" spans="1:3">
      <c r="A1160">
        <v>4174</v>
      </c>
      <c r="B1160" t="s">
        <v>374</v>
      </c>
      <c r="C1160">
        <v>670</v>
      </c>
    </row>
    <row r="1161" spans="1:3">
      <c r="A1161">
        <v>4175</v>
      </c>
      <c r="B1161" t="s">
        <v>375</v>
      </c>
      <c r="C1161">
        <v>79.2</v>
      </c>
    </row>
    <row r="1162" spans="1:3">
      <c r="A1162">
        <v>4180</v>
      </c>
      <c r="B1162" t="s">
        <v>1581</v>
      </c>
      <c r="C1162">
        <v>179</v>
      </c>
    </row>
    <row r="1163" spans="1:3">
      <c r="A1163">
        <v>4188</v>
      </c>
      <c r="B1163" t="s">
        <v>1582</v>
      </c>
      <c r="C1163">
        <v>33.15</v>
      </c>
    </row>
    <row r="1164" spans="1:3">
      <c r="A1164">
        <v>4192</v>
      </c>
      <c r="B1164" t="s">
        <v>1583</v>
      </c>
      <c r="C1164">
        <v>53</v>
      </c>
    </row>
    <row r="1165" spans="1:3">
      <c r="A1165">
        <v>4198</v>
      </c>
      <c r="B1165" t="s">
        <v>376</v>
      </c>
      <c r="C1165">
        <v>37.9</v>
      </c>
    </row>
    <row r="1166" spans="1:3">
      <c r="A1166">
        <v>4205</v>
      </c>
      <c r="B1166" t="s">
        <v>1584</v>
      </c>
      <c r="C1166">
        <v>38.75</v>
      </c>
    </row>
    <row r="1167" spans="1:3">
      <c r="A1167">
        <v>4207</v>
      </c>
      <c r="B1167" t="s">
        <v>1585</v>
      </c>
      <c r="C1167">
        <v>9.2200000000000006</v>
      </c>
    </row>
    <row r="1168" spans="1:3">
      <c r="A1168">
        <v>4303</v>
      </c>
      <c r="B1168" t="s">
        <v>1586</v>
      </c>
      <c r="C1168">
        <v>0</v>
      </c>
    </row>
    <row r="1169" spans="1:3">
      <c r="A1169">
        <v>4304</v>
      </c>
      <c r="B1169" t="s">
        <v>377</v>
      </c>
      <c r="C1169">
        <v>14.45</v>
      </c>
    </row>
    <row r="1170" spans="1:3">
      <c r="A1170">
        <v>4305</v>
      </c>
      <c r="B1170" t="s">
        <v>1587</v>
      </c>
      <c r="C1170">
        <v>27.1</v>
      </c>
    </row>
    <row r="1171" spans="1:3">
      <c r="A1171">
        <v>4401</v>
      </c>
      <c r="B1171" t="s">
        <v>1588</v>
      </c>
      <c r="C1171">
        <v>94.7</v>
      </c>
    </row>
    <row r="1172" spans="1:3">
      <c r="A1172">
        <v>4402</v>
      </c>
      <c r="B1172" t="s">
        <v>378</v>
      </c>
      <c r="C1172">
        <v>5.65</v>
      </c>
    </row>
    <row r="1173" spans="1:3">
      <c r="A1173">
        <v>4406</v>
      </c>
      <c r="B1173" t="s">
        <v>1589</v>
      </c>
      <c r="C1173">
        <v>11.4</v>
      </c>
    </row>
    <row r="1174" spans="1:3">
      <c r="A1174">
        <v>4413</v>
      </c>
      <c r="B1174" t="s">
        <v>1590</v>
      </c>
      <c r="C1174">
        <v>0</v>
      </c>
    </row>
    <row r="1175" spans="1:3">
      <c r="A1175">
        <v>4415</v>
      </c>
      <c r="B1175" t="s">
        <v>1591</v>
      </c>
      <c r="C1175">
        <v>19.100000000000001</v>
      </c>
    </row>
    <row r="1176" spans="1:3">
      <c r="A1176">
        <v>4416</v>
      </c>
      <c r="B1176" t="s">
        <v>379</v>
      </c>
      <c r="C1176">
        <v>0</v>
      </c>
    </row>
    <row r="1177" spans="1:3">
      <c r="A1177">
        <v>4417</v>
      </c>
      <c r="B1177" t="s">
        <v>1592</v>
      </c>
      <c r="C1177">
        <v>37.799999999999997</v>
      </c>
    </row>
    <row r="1178" spans="1:3">
      <c r="A1178">
        <v>4419</v>
      </c>
      <c r="B1178" t="s">
        <v>1593</v>
      </c>
      <c r="C1178">
        <v>0</v>
      </c>
    </row>
    <row r="1179" spans="1:3">
      <c r="A1179">
        <v>4420</v>
      </c>
      <c r="B1179" t="s">
        <v>1594</v>
      </c>
      <c r="C1179">
        <v>43.3</v>
      </c>
    </row>
    <row r="1180" spans="1:3">
      <c r="A1180">
        <v>4429</v>
      </c>
      <c r="B1180" t="s">
        <v>380</v>
      </c>
      <c r="C1180">
        <v>24.1</v>
      </c>
    </row>
    <row r="1181" spans="1:3">
      <c r="A1181">
        <v>4430</v>
      </c>
      <c r="B1181" t="s">
        <v>1595</v>
      </c>
      <c r="C1181">
        <v>28.95</v>
      </c>
    </row>
    <row r="1182" spans="1:3">
      <c r="A1182">
        <v>4432</v>
      </c>
      <c r="B1182" t="s">
        <v>1596</v>
      </c>
      <c r="C1182">
        <v>77.2</v>
      </c>
    </row>
    <row r="1183" spans="1:3">
      <c r="A1183">
        <v>4433</v>
      </c>
      <c r="B1183" t="s">
        <v>1597</v>
      </c>
      <c r="C1183">
        <v>35.6</v>
      </c>
    </row>
    <row r="1184" spans="1:3">
      <c r="A1184">
        <v>4502</v>
      </c>
      <c r="B1184" t="s">
        <v>1958</v>
      </c>
      <c r="C1184">
        <v>24.5</v>
      </c>
    </row>
    <row r="1185" spans="1:3">
      <c r="A1185">
        <v>4503</v>
      </c>
      <c r="B1185" t="s">
        <v>381</v>
      </c>
      <c r="C1185">
        <v>12.6</v>
      </c>
    </row>
    <row r="1186" spans="1:3">
      <c r="A1186">
        <v>4506</v>
      </c>
      <c r="B1186" t="s">
        <v>382</v>
      </c>
      <c r="C1186">
        <v>27.95</v>
      </c>
    </row>
    <row r="1187" spans="1:3">
      <c r="A1187">
        <v>4510</v>
      </c>
      <c r="B1187" t="s">
        <v>1599</v>
      </c>
      <c r="C1187">
        <v>16.649999999999999</v>
      </c>
    </row>
    <row r="1188" spans="1:3">
      <c r="A1188">
        <v>4513</v>
      </c>
      <c r="B1188" t="s">
        <v>1600</v>
      </c>
      <c r="C1188">
        <v>10.65</v>
      </c>
    </row>
    <row r="1189" spans="1:3">
      <c r="A1189">
        <v>4523</v>
      </c>
      <c r="B1189" t="s">
        <v>1601</v>
      </c>
      <c r="C1189">
        <v>17.95</v>
      </c>
    </row>
    <row r="1190" spans="1:3">
      <c r="A1190">
        <v>4527</v>
      </c>
      <c r="B1190" t="s">
        <v>1602</v>
      </c>
      <c r="C1190">
        <v>22.6</v>
      </c>
    </row>
    <row r="1191" spans="1:3">
      <c r="A1191">
        <v>4528</v>
      </c>
      <c r="B1191" t="s">
        <v>1603</v>
      </c>
      <c r="C1191">
        <v>60.7</v>
      </c>
    </row>
    <row r="1192" spans="1:3">
      <c r="A1192">
        <v>4529</v>
      </c>
      <c r="B1192" t="s">
        <v>1604</v>
      </c>
      <c r="C1192">
        <v>46.6</v>
      </c>
    </row>
    <row r="1193" spans="1:3">
      <c r="A1193">
        <v>4530</v>
      </c>
      <c r="B1193" t="s">
        <v>1605</v>
      </c>
      <c r="C1193">
        <v>4.7</v>
      </c>
    </row>
    <row r="1194" spans="1:3">
      <c r="A1194">
        <v>4533</v>
      </c>
      <c r="B1194" t="s">
        <v>1606</v>
      </c>
      <c r="C1194">
        <v>11.6</v>
      </c>
    </row>
    <row r="1195" spans="1:3">
      <c r="A1195">
        <v>4534</v>
      </c>
      <c r="B1195" t="s">
        <v>1607</v>
      </c>
      <c r="C1195">
        <v>10.15</v>
      </c>
    </row>
    <row r="1196" spans="1:3">
      <c r="A1196">
        <v>4535</v>
      </c>
      <c r="B1196" t="s">
        <v>1608</v>
      </c>
      <c r="C1196">
        <v>44.2</v>
      </c>
    </row>
    <row r="1197" spans="1:3">
      <c r="A1197">
        <v>4541</v>
      </c>
      <c r="B1197" t="s">
        <v>1609</v>
      </c>
      <c r="C1197">
        <v>34.15</v>
      </c>
    </row>
    <row r="1198" spans="1:3">
      <c r="A1198">
        <v>4542</v>
      </c>
      <c r="B1198" t="s">
        <v>383</v>
      </c>
      <c r="C1198">
        <v>19.7</v>
      </c>
    </row>
    <row r="1199" spans="1:3">
      <c r="A1199">
        <v>4549</v>
      </c>
      <c r="B1199" t="s">
        <v>384</v>
      </c>
      <c r="C1199">
        <v>79.900000000000006</v>
      </c>
    </row>
    <row r="1200" spans="1:3">
      <c r="A1200">
        <v>4550</v>
      </c>
      <c r="B1200" t="s">
        <v>385</v>
      </c>
      <c r="C1200">
        <v>22.1</v>
      </c>
    </row>
    <row r="1201" spans="1:3">
      <c r="A1201">
        <v>4609</v>
      </c>
      <c r="B1201" t="s">
        <v>1610</v>
      </c>
      <c r="C1201">
        <v>9.6999999999999993</v>
      </c>
    </row>
    <row r="1202" spans="1:3">
      <c r="A1202">
        <v>4702</v>
      </c>
      <c r="B1202" t="s">
        <v>386</v>
      </c>
      <c r="C1202">
        <v>13.2</v>
      </c>
    </row>
    <row r="1203" spans="1:3">
      <c r="A1203">
        <v>4706</v>
      </c>
      <c r="B1203" t="s">
        <v>1611</v>
      </c>
      <c r="C1203">
        <v>0</v>
      </c>
    </row>
    <row r="1204" spans="1:3">
      <c r="A1204">
        <v>4707</v>
      </c>
      <c r="B1204" t="s">
        <v>387</v>
      </c>
      <c r="C1204">
        <v>8.8800000000000008</v>
      </c>
    </row>
    <row r="1205" spans="1:3">
      <c r="A1205">
        <v>4711</v>
      </c>
      <c r="B1205" t="s">
        <v>1612</v>
      </c>
      <c r="C1205">
        <v>12.1</v>
      </c>
    </row>
    <row r="1206" spans="1:3">
      <c r="A1206">
        <v>4712</v>
      </c>
      <c r="B1206" t="s">
        <v>388</v>
      </c>
      <c r="C1206">
        <v>9.3000000000000007</v>
      </c>
    </row>
    <row r="1207" spans="1:3">
      <c r="A1207">
        <v>4714</v>
      </c>
      <c r="B1207" t="s">
        <v>389</v>
      </c>
      <c r="C1207">
        <v>8.57</v>
      </c>
    </row>
    <row r="1208" spans="1:3">
      <c r="A1208">
        <v>4716</v>
      </c>
      <c r="B1208" t="s">
        <v>1613</v>
      </c>
      <c r="C1208">
        <v>0</v>
      </c>
    </row>
    <row r="1209" spans="1:3">
      <c r="A1209">
        <v>4721</v>
      </c>
      <c r="B1209" t="s">
        <v>390</v>
      </c>
      <c r="C1209">
        <v>26.7</v>
      </c>
    </row>
    <row r="1210" spans="1:3">
      <c r="A1210">
        <v>4726</v>
      </c>
      <c r="B1210" t="s">
        <v>1614</v>
      </c>
      <c r="C1210">
        <v>53.5</v>
      </c>
    </row>
    <row r="1211" spans="1:3">
      <c r="A1211">
        <v>4728</v>
      </c>
      <c r="B1211" t="s">
        <v>391</v>
      </c>
      <c r="C1211">
        <v>30.3</v>
      </c>
    </row>
    <row r="1212" spans="1:3">
      <c r="A1212">
        <v>4729</v>
      </c>
      <c r="B1212" t="s">
        <v>392</v>
      </c>
      <c r="C1212">
        <v>12.2</v>
      </c>
    </row>
    <row r="1213" spans="1:3">
      <c r="A1213">
        <v>4735</v>
      </c>
      <c r="B1213" t="s">
        <v>1615</v>
      </c>
      <c r="C1213">
        <v>41</v>
      </c>
    </row>
    <row r="1214" spans="1:3">
      <c r="A1214">
        <v>4736</v>
      </c>
      <c r="B1214" t="s">
        <v>393</v>
      </c>
      <c r="C1214">
        <v>113</v>
      </c>
    </row>
    <row r="1215" spans="1:3">
      <c r="A1215">
        <v>4739</v>
      </c>
      <c r="B1215" t="s">
        <v>1616</v>
      </c>
      <c r="C1215">
        <v>39</v>
      </c>
    </row>
    <row r="1216" spans="1:3">
      <c r="A1216">
        <v>4743</v>
      </c>
      <c r="B1216" t="s">
        <v>1617</v>
      </c>
      <c r="C1216">
        <v>42.05</v>
      </c>
    </row>
    <row r="1217" spans="1:3">
      <c r="A1217">
        <v>4745</v>
      </c>
      <c r="B1217" t="s">
        <v>1618</v>
      </c>
      <c r="C1217">
        <v>67.3</v>
      </c>
    </row>
    <row r="1218" spans="1:3">
      <c r="A1218">
        <v>4747</v>
      </c>
      <c r="B1218" t="s">
        <v>1619</v>
      </c>
      <c r="C1218">
        <v>49.55</v>
      </c>
    </row>
    <row r="1219" spans="1:3">
      <c r="A1219">
        <v>4804</v>
      </c>
      <c r="B1219" t="s">
        <v>2001</v>
      </c>
      <c r="C1219">
        <v>162.5</v>
      </c>
    </row>
    <row r="1220" spans="1:3">
      <c r="A1220">
        <v>4903</v>
      </c>
      <c r="B1220" t="s">
        <v>1620</v>
      </c>
      <c r="C1220">
        <v>11.5</v>
      </c>
    </row>
    <row r="1221" spans="1:3">
      <c r="A1221">
        <v>4905</v>
      </c>
      <c r="B1221" t="s">
        <v>1621</v>
      </c>
      <c r="C1221">
        <v>42.2</v>
      </c>
    </row>
    <row r="1222" spans="1:3">
      <c r="A1222">
        <v>4907</v>
      </c>
      <c r="B1222" t="s">
        <v>1622</v>
      </c>
      <c r="C1222">
        <v>0</v>
      </c>
    </row>
    <row r="1223" spans="1:3">
      <c r="A1223">
        <v>4908</v>
      </c>
      <c r="B1223" t="s">
        <v>1623</v>
      </c>
      <c r="C1223">
        <v>19.100000000000001</v>
      </c>
    </row>
    <row r="1224" spans="1:3">
      <c r="A1224">
        <v>4909</v>
      </c>
      <c r="B1224" t="s">
        <v>394</v>
      </c>
      <c r="C1224">
        <v>23.85</v>
      </c>
    </row>
    <row r="1225" spans="1:3">
      <c r="A1225">
        <v>4911</v>
      </c>
      <c r="B1225" t="s">
        <v>395</v>
      </c>
      <c r="C1225">
        <v>86.6</v>
      </c>
    </row>
    <row r="1226" spans="1:3">
      <c r="A1226">
        <v>4924</v>
      </c>
      <c r="B1226" t="s">
        <v>1624</v>
      </c>
      <c r="C1226">
        <v>6.52</v>
      </c>
    </row>
    <row r="1227" spans="1:3">
      <c r="A1227">
        <v>4933</v>
      </c>
      <c r="B1227" t="s">
        <v>396</v>
      </c>
      <c r="C1227">
        <v>25.8</v>
      </c>
    </row>
    <row r="1228" spans="1:3">
      <c r="A1228">
        <v>4939</v>
      </c>
      <c r="B1228" t="s">
        <v>397</v>
      </c>
      <c r="C1228">
        <v>8.31</v>
      </c>
    </row>
    <row r="1229" spans="1:3">
      <c r="A1229">
        <v>4944</v>
      </c>
      <c r="B1229" t="s">
        <v>1625</v>
      </c>
      <c r="C1229">
        <v>13.1</v>
      </c>
    </row>
    <row r="1230" spans="1:3">
      <c r="A1230">
        <v>4946</v>
      </c>
      <c r="B1230" t="s">
        <v>1626</v>
      </c>
      <c r="C1230">
        <v>37.65</v>
      </c>
    </row>
    <row r="1231" spans="1:3">
      <c r="A1231">
        <v>4947</v>
      </c>
      <c r="B1231" t="s">
        <v>1627</v>
      </c>
      <c r="C1231">
        <v>237.5</v>
      </c>
    </row>
    <row r="1232" spans="1:3">
      <c r="A1232">
        <v>4950</v>
      </c>
      <c r="B1232" t="s">
        <v>398</v>
      </c>
      <c r="C1232">
        <v>18.899999999999999</v>
      </c>
    </row>
    <row r="1233" spans="1:3">
      <c r="A1233">
        <v>4953</v>
      </c>
      <c r="B1233" t="s">
        <v>1628</v>
      </c>
      <c r="C1233">
        <v>21.55</v>
      </c>
    </row>
    <row r="1234" spans="1:3">
      <c r="A1234">
        <v>4965</v>
      </c>
      <c r="B1234" t="s">
        <v>399</v>
      </c>
      <c r="C1234">
        <v>120</v>
      </c>
    </row>
    <row r="1235" spans="1:3">
      <c r="A1235">
        <v>4966</v>
      </c>
      <c r="B1235" t="s">
        <v>1629</v>
      </c>
      <c r="C1235">
        <v>245</v>
      </c>
    </row>
    <row r="1236" spans="1:3">
      <c r="A1236">
        <v>4971</v>
      </c>
      <c r="B1236" t="s">
        <v>1630</v>
      </c>
      <c r="C1236">
        <v>119</v>
      </c>
    </row>
    <row r="1237" spans="1:3">
      <c r="A1237">
        <v>4972</v>
      </c>
      <c r="B1237" t="s">
        <v>1631</v>
      </c>
      <c r="C1237">
        <v>37.65</v>
      </c>
    </row>
    <row r="1238" spans="1:3">
      <c r="A1238">
        <v>4973</v>
      </c>
      <c r="B1238" t="s">
        <v>1632</v>
      </c>
      <c r="C1238">
        <v>16.5</v>
      </c>
    </row>
    <row r="1239" spans="1:3">
      <c r="A1239">
        <v>4974</v>
      </c>
      <c r="B1239" t="s">
        <v>400</v>
      </c>
      <c r="C1239">
        <v>40.9</v>
      </c>
    </row>
    <row r="1240" spans="1:3">
      <c r="A1240">
        <v>4979</v>
      </c>
      <c r="B1240" t="s">
        <v>401</v>
      </c>
      <c r="C1240">
        <v>79.400000000000006</v>
      </c>
    </row>
    <row r="1241" spans="1:3">
      <c r="A1241">
        <v>4987</v>
      </c>
      <c r="B1241" t="s">
        <v>1633</v>
      </c>
      <c r="C1241">
        <v>78.5</v>
      </c>
    </row>
    <row r="1242" spans="1:3">
      <c r="A1242">
        <v>4991</v>
      </c>
      <c r="B1242" t="s">
        <v>1634</v>
      </c>
      <c r="C1242">
        <v>73.599999999999994</v>
      </c>
    </row>
    <row r="1243" spans="1:3">
      <c r="A1243">
        <v>4995</v>
      </c>
      <c r="B1243" t="s">
        <v>1635</v>
      </c>
      <c r="C1243">
        <v>38.299999999999997</v>
      </c>
    </row>
    <row r="1244" spans="1:3">
      <c r="A1244">
        <v>5009</v>
      </c>
      <c r="B1244" t="s">
        <v>402</v>
      </c>
      <c r="C1244">
        <v>17.5</v>
      </c>
    </row>
    <row r="1245" spans="1:3">
      <c r="A1245">
        <v>5011</v>
      </c>
      <c r="B1245" t="s">
        <v>403</v>
      </c>
      <c r="C1245">
        <v>0</v>
      </c>
    </row>
    <row r="1246" spans="1:3">
      <c r="A1246">
        <v>5013</v>
      </c>
      <c r="B1246" t="s">
        <v>1636</v>
      </c>
      <c r="C1246">
        <v>16.100000000000001</v>
      </c>
    </row>
    <row r="1247" spans="1:3">
      <c r="A1247">
        <v>5014</v>
      </c>
      <c r="B1247" t="s">
        <v>1637</v>
      </c>
      <c r="C1247">
        <v>6.91</v>
      </c>
    </row>
    <row r="1248" spans="1:3">
      <c r="A1248">
        <v>5015</v>
      </c>
      <c r="B1248" t="s">
        <v>404</v>
      </c>
      <c r="C1248">
        <v>16.8</v>
      </c>
    </row>
    <row r="1249" spans="1:3">
      <c r="A1249">
        <v>5016</v>
      </c>
      <c r="B1249" t="s">
        <v>1638</v>
      </c>
      <c r="C1249">
        <v>23.85</v>
      </c>
    </row>
    <row r="1250" spans="1:3">
      <c r="A1250">
        <v>5102</v>
      </c>
      <c r="B1250" t="s">
        <v>405</v>
      </c>
      <c r="C1250">
        <v>14.4</v>
      </c>
    </row>
    <row r="1251" spans="1:3">
      <c r="A1251">
        <v>5201</v>
      </c>
      <c r="B1251" t="s">
        <v>1639</v>
      </c>
      <c r="C1251">
        <v>12.8</v>
      </c>
    </row>
    <row r="1252" spans="1:3">
      <c r="A1252">
        <v>5202</v>
      </c>
      <c r="B1252" t="s">
        <v>1640</v>
      </c>
      <c r="C1252">
        <v>15</v>
      </c>
    </row>
    <row r="1253" spans="1:3">
      <c r="A1253">
        <v>5205</v>
      </c>
      <c r="B1253" t="s">
        <v>1641</v>
      </c>
      <c r="C1253">
        <v>0</v>
      </c>
    </row>
    <row r="1254" spans="1:3">
      <c r="A1254">
        <v>5206</v>
      </c>
      <c r="B1254" t="s">
        <v>406</v>
      </c>
      <c r="C1254">
        <v>11</v>
      </c>
    </row>
    <row r="1255" spans="1:3">
      <c r="A1255">
        <v>5209</v>
      </c>
      <c r="B1255" t="s">
        <v>1642</v>
      </c>
      <c r="C1255">
        <v>42.1</v>
      </c>
    </row>
    <row r="1256" spans="1:3">
      <c r="A1256">
        <v>5210</v>
      </c>
      <c r="B1256" t="s">
        <v>407</v>
      </c>
      <c r="C1256">
        <v>6.84</v>
      </c>
    </row>
    <row r="1257" spans="1:3">
      <c r="A1257">
        <v>5211</v>
      </c>
      <c r="B1257" t="s">
        <v>408</v>
      </c>
      <c r="C1257">
        <v>24.05</v>
      </c>
    </row>
    <row r="1258" spans="1:3">
      <c r="A1258">
        <v>5212</v>
      </c>
      <c r="B1258" t="s">
        <v>1643</v>
      </c>
      <c r="C1258">
        <v>19.95</v>
      </c>
    </row>
    <row r="1259" spans="1:3">
      <c r="A1259">
        <v>5213</v>
      </c>
      <c r="B1259" t="s">
        <v>1644</v>
      </c>
      <c r="C1259">
        <v>15.4</v>
      </c>
    </row>
    <row r="1260" spans="1:3">
      <c r="A1260">
        <v>5227</v>
      </c>
      <c r="B1260" t="s">
        <v>1645</v>
      </c>
      <c r="C1260">
        <v>33.9</v>
      </c>
    </row>
    <row r="1261" spans="1:3">
      <c r="A1261">
        <v>5230</v>
      </c>
      <c r="B1261" t="s">
        <v>409</v>
      </c>
      <c r="C1261">
        <v>51.6</v>
      </c>
    </row>
    <row r="1262" spans="1:3">
      <c r="A1262">
        <v>5245</v>
      </c>
      <c r="B1262" t="s">
        <v>410</v>
      </c>
      <c r="C1262">
        <v>79.8</v>
      </c>
    </row>
    <row r="1263" spans="1:3">
      <c r="A1263">
        <v>5251</v>
      </c>
      <c r="B1263" t="s">
        <v>411</v>
      </c>
      <c r="C1263">
        <v>33.049999999999997</v>
      </c>
    </row>
    <row r="1264" spans="1:3">
      <c r="A1264">
        <v>5255</v>
      </c>
      <c r="B1264" t="s">
        <v>412</v>
      </c>
      <c r="C1264">
        <v>15.7</v>
      </c>
    </row>
    <row r="1265" spans="1:3">
      <c r="A1265">
        <v>5263</v>
      </c>
      <c r="B1265" t="s">
        <v>1646</v>
      </c>
      <c r="C1265">
        <v>337</v>
      </c>
    </row>
    <row r="1266" spans="1:3">
      <c r="A1266">
        <v>5266</v>
      </c>
      <c r="B1266" t="s">
        <v>1647</v>
      </c>
      <c r="C1266">
        <v>59.7</v>
      </c>
    </row>
    <row r="1267" spans="1:3">
      <c r="A1267">
        <v>5272</v>
      </c>
      <c r="B1267" t="s">
        <v>413</v>
      </c>
      <c r="C1267">
        <v>44.05</v>
      </c>
    </row>
    <row r="1268" spans="1:3">
      <c r="A1268">
        <v>5274</v>
      </c>
      <c r="B1268" t="s">
        <v>1648</v>
      </c>
      <c r="C1268">
        <v>367</v>
      </c>
    </row>
    <row r="1269" spans="1:3">
      <c r="A1269">
        <v>5276</v>
      </c>
      <c r="B1269" t="s">
        <v>1649</v>
      </c>
      <c r="C1269">
        <v>22</v>
      </c>
    </row>
    <row r="1270" spans="1:3">
      <c r="A1270">
        <v>5278</v>
      </c>
      <c r="B1270" t="s">
        <v>414</v>
      </c>
      <c r="C1270">
        <v>27.8</v>
      </c>
    </row>
    <row r="1271" spans="1:3">
      <c r="A1271">
        <v>5284</v>
      </c>
      <c r="B1271" t="s">
        <v>1650</v>
      </c>
      <c r="C1271">
        <v>71.7</v>
      </c>
    </row>
    <row r="1272" spans="1:3">
      <c r="A1272">
        <v>5287</v>
      </c>
      <c r="B1272" t="s">
        <v>415</v>
      </c>
      <c r="C1272">
        <v>288.5</v>
      </c>
    </row>
    <row r="1273" spans="1:3">
      <c r="A1273">
        <v>5289</v>
      </c>
      <c r="B1273" t="s">
        <v>1651</v>
      </c>
      <c r="C1273">
        <v>95.4</v>
      </c>
    </row>
    <row r="1274" spans="1:3">
      <c r="A1274">
        <v>5291</v>
      </c>
      <c r="B1274" t="s">
        <v>416</v>
      </c>
      <c r="C1274">
        <v>17.55</v>
      </c>
    </row>
    <row r="1275" spans="1:3">
      <c r="A1275">
        <v>5301</v>
      </c>
      <c r="B1275" t="s">
        <v>417</v>
      </c>
      <c r="C1275">
        <v>37.200000000000003</v>
      </c>
    </row>
    <row r="1276" spans="1:3">
      <c r="A1276">
        <v>5302</v>
      </c>
      <c r="B1276" t="s">
        <v>418</v>
      </c>
      <c r="C1276">
        <v>5.56</v>
      </c>
    </row>
    <row r="1277" spans="1:3">
      <c r="A1277">
        <v>5304</v>
      </c>
      <c r="B1277" t="s">
        <v>419</v>
      </c>
      <c r="C1277">
        <v>2.78</v>
      </c>
    </row>
    <row r="1278" spans="1:3">
      <c r="A1278">
        <v>5306</v>
      </c>
      <c r="B1278" t="s">
        <v>1652</v>
      </c>
      <c r="C1278">
        <v>132.5</v>
      </c>
    </row>
    <row r="1279" spans="1:3">
      <c r="A1279">
        <v>5309</v>
      </c>
      <c r="B1279" t="s">
        <v>1653</v>
      </c>
      <c r="C1279">
        <v>19.350000000000001</v>
      </c>
    </row>
    <row r="1280" spans="1:3">
      <c r="A1280">
        <v>5310</v>
      </c>
      <c r="B1280" t="s">
        <v>1654</v>
      </c>
      <c r="C1280">
        <v>30</v>
      </c>
    </row>
    <row r="1281" spans="1:3">
      <c r="A1281">
        <v>5312</v>
      </c>
      <c r="B1281" t="s">
        <v>420</v>
      </c>
      <c r="C1281">
        <v>83</v>
      </c>
    </row>
    <row r="1282" spans="1:3">
      <c r="A1282">
        <v>5314</v>
      </c>
      <c r="B1282" t="s">
        <v>1655</v>
      </c>
      <c r="C1282">
        <v>6.66</v>
      </c>
    </row>
    <row r="1283" spans="1:3">
      <c r="A1283">
        <v>5315</v>
      </c>
      <c r="B1283" t="s">
        <v>1656</v>
      </c>
      <c r="C1283">
        <v>22.9</v>
      </c>
    </row>
    <row r="1284" spans="1:3">
      <c r="A1284">
        <v>5317</v>
      </c>
      <c r="B1284" t="s">
        <v>421</v>
      </c>
      <c r="C1284">
        <v>15.8</v>
      </c>
    </row>
    <row r="1285" spans="1:3">
      <c r="A1285">
        <v>5321</v>
      </c>
      <c r="B1285" t="s">
        <v>1657</v>
      </c>
      <c r="C1285">
        <v>23.2</v>
      </c>
    </row>
    <row r="1286" spans="1:3">
      <c r="A1286">
        <v>5324</v>
      </c>
      <c r="B1286" t="s">
        <v>422</v>
      </c>
      <c r="C1286">
        <v>10.75</v>
      </c>
    </row>
    <row r="1287" spans="1:3">
      <c r="A1287">
        <v>5328</v>
      </c>
      <c r="B1287" t="s">
        <v>1658</v>
      </c>
      <c r="C1287">
        <v>5.49</v>
      </c>
    </row>
    <row r="1288" spans="1:3">
      <c r="A1288">
        <v>5340</v>
      </c>
      <c r="B1288" t="s">
        <v>1659</v>
      </c>
      <c r="C1288">
        <v>3.64</v>
      </c>
    </row>
    <row r="1289" spans="1:3">
      <c r="A1289">
        <v>5344</v>
      </c>
      <c r="B1289" t="s">
        <v>1660</v>
      </c>
      <c r="C1289">
        <v>0</v>
      </c>
    </row>
    <row r="1290" spans="1:3">
      <c r="A1290">
        <v>5345</v>
      </c>
      <c r="B1290" t="s">
        <v>423</v>
      </c>
      <c r="C1290">
        <v>10.050000000000001</v>
      </c>
    </row>
    <row r="1291" spans="1:3">
      <c r="A1291">
        <v>5347</v>
      </c>
      <c r="B1291" t="s">
        <v>424</v>
      </c>
      <c r="C1291">
        <v>40.450000000000003</v>
      </c>
    </row>
    <row r="1292" spans="1:3">
      <c r="A1292">
        <v>5348</v>
      </c>
      <c r="B1292" t="s">
        <v>1661</v>
      </c>
      <c r="C1292">
        <v>0</v>
      </c>
    </row>
    <row r="1293" spans="1:3">
      <c r="A1293">
        <v>5349</v>
      </c>
      <c r="B1293" t="s">
        <v>1662</v>
      </c>
      <c r="C1293">
        <v>32.200000000000003</v>
      </c>
    </row>
    <row r="1294" spans="1:3">
      <c r="A1294">
        <v>5351</v>
      </c>
      <c r="B1294" t="s">
        <v>1663</v>
      </c>
      <c r="C1294">
        <v>13.95</v>
      </c>
    </row>
    <row r="1295" spans="1:3">
      <c r="A1295">
        <v>5353</v>
      </c>
      <c r="B1295" t="s">
        <v>1664</v>
      </c>
      <c r="C1295">
        <v>9.16</v>
      </c>
    </row>
    <row r="1296" spans="1:3">
      <c r="A1296">
        <v>5355</v>
      </c>
      <c r="B1296" t="s">
        <v>425</v>
      </c>
      <c r="C1296">
        <v>6.56</v>
      </c>
    </row>
    <row r="1297" spans="1:3">
      <c r="A1297">
        <v>5356</v>
      </c>
      <c r="B1297" t="s">
        <v>1665</v>
      </c>
      <c r="C1297">
        <v>39.85</v>
      </c>
    </row>
    <row r="1298" spans="1:3">
      <c r="A1298">
        <v>5364</v>
      </c>
      <c r="B1298" t="s">
        <v>426</v>
      </c>
      <c r="C1298">
        <v>44.3</v>
      </c>
    </row>
    <row r="1299" spans="1:3">
      <c r="A1299">
        <v>5371</v>
      </c>
      <c r="B1299" t="s">
        <v>427</v>
      </c>
      <c r="C1299">
        <v>29.4</v>
      </c>
    </row>
    <row r="1300" spans="1:3">
      <c r="A1300">
        <v>5381</v>
      </c>
      <c r="B1300" t="s">
        <v>1666</v>
      </c>
      <c r="C1300">
        <v>1.52</v>
      </c>
    </row>
    <row r="1301" spans="1:3">
      <c r="A1301">
        <v>5383</v>
      </c>
      <c r="B1301" t="s">
        <v>1667</v>
      </c>
      <c r="C1301">
        <v>10.4</v>
      </c>
    </row>
    <row r="1302" spans="1:3">
      <c r="A1302">
        <v>5384</v>
      </c>
      <c r="B1302" t="s">
        <v>428</v>
      </c>
      <c r="C1302">
        <v>12.9</v>
      </c>
    </row>
    <row r="1303" spans="1:3">
      <c r="A1303">
        <v>5386</v>
      </c>
      <c r="B1303" t="s">
        <v>1668</v>
      </c>
      <c r="C1303">
        <v>25.2</v>
      </c>
    </row>
    <row r="1304" spans="1:3">
      <c r="A1304">
        <v>5392</v>
      </c>
      <c r="B1304" t="s">
        <v>1669</v>
      </c>
      <c r="C1304">
        <v>54.5</v>
      </c>
    </row>
    <row r="1305" spans="1:3">
      <c r="A1305">
        <v>5395</v>
      </c>
      <c r="B1305" t="s">
        <v>1670</v>
      </c>
      <c r="C1305">
        <v>30</v>
      </c>
    </row>
    <row r="1306" spans="1:3">
      <c r="A1306">
        <v>5398</v>
      </c>
      <c r="B1306" t="s">
        <v>429</v>
      </c>
      <c r="C1306">
        <v>21.9</v>
      </c>
    </row>
    <row r="1307" spans="1:3">
      <c r="A1307">
        <v>5403</v>
      </c>
      <c r="B1307" t="s">
        <v>1861</v>
      </c>
      <c r="C1307">
        <v>21.7</v>
      </c>
    </row>
    <row r="1308" spans="1:3">
      <c r="A1308">
        <v>5410</v>
      </c>
      <c r="B1308" t="s">
        <v>1671</v>
      </c>
      <c r="C1308">
        <v>11.8</v>
      </c>
    </row>
    <row r="1309" spans="1:3">
      <c r="A1309">
        <v>5425</v>
      </c>
      <c r="B1309" t="s">
        <v>430</v>
      </c>
      <c r="C1309">
        <v>33</v>
      </c>
    </row>
    <row r="1310" spans="1:3">
      <c r="A1310">
        <v>5426</v>
      </c>
      <c r="B1310" t="s">
        <v>431</v>
      </c>
      <c r="C1310">
        <v>10.75</v>
      </c>
    </row>
    <row r="1311" spans="1:3">
      <c r="A1311">
        <v>5432</v>
      </c>
      <c r="B1311" t="s">
        <v>1672</v>
      </c>
      <c r="C1311">
        <v>15.55</v>
      </c>
    </row>
    <row r="1312" spans="1:3">
      <c r="A1312">
        <v>5438</v>
      </c>
      <c r="B1312" t="s">
        <v>1673</v>
      </c>
      <c r="C1312">
        <v>13.4</v>
      </c>
    </row>
    <row r="1313" spans="1:3">
      <c r="A1313">
        <v>5439</v>
      </c>
      <c r="B1313" t="s">
        <v>432</v>
      </c>
      <c r="C1313">
        <v>19.100000000000001</v>
      </c>
    </row>
    <row r="1314" spans="1:3">
      <c r="A1314">
        <v>5443</v>
      </c>
      <c r="B1314" t="s">
        <v>1674</v>
      </c>
      <c r="C1314">
        <v>13.35</v>
      </c>
    </row>
    <row r="1315" spans="1:3">
      <c r="A1315">
        <v>5450</v>
      </c>
      <c r="B1315" t="s">
        <v>433</v>
      </c>
      <c r="C1315">
        <v>7.61</v>
      </c>
    </row>
    <row r="1316" spans="1:3">
      <c r="A1316">
        <v>5452</v>
      </c>
      <c r="B1316" t="s">
        <v>434</v>
      </c>
      <c r="C1316">
        <v>9.11</v>
      </c>
    </row>
    <row r="1317" spans="1:3">
      <c r="A1317">
        <v>5455</v>
      </c>
      <c r="B1317" t="s">
        <v>435</v>
      </c>
      <c r="C1317">
        <v>0</v>
      </c>
    </row>
    <row r="1318" spans="1:3">
      <c r="A1318">
        <v>5457</v>
      </c>
      <c r="B1318" t="s">
        <v>436</v>
      </c>
      <c r="C1318">
        <v>30.5</v>
      </c>
    </row>
    <row r="1319" spans="1:3">
      <c r="A1319">
        <v>5460</v>
      </c>
      <c r="B1319" t="s">
        <v>1675</v>
      </c>
      <c r="C1319">
        <v>11.85</v>
      </c>
    </row>
    <row r="1320" spans="1:3">
      <c r="A1320">
        <v>5464</v>
      </c>
      <c r="B1320" t="s">
        <v>1676</v>
      </c>
      <c r="C1320">
        <v>16.95</v>
      </c>
    </row>
    <row r="1321" spans="1:3">
      <c r="A1321">
        <v>5465</v>
      </c>
      <c r="B1321" t="s">
        <v>437</v>
      </c>
      <c r="C1321">
        <v>0</v>
      </c>
    </row>
    <row r="1322" spans="1:3">
      <c r="A1322">
        <v>5468</v>
      </c>
      <c r="B1322" t="s">
        <v>438</v>
      </c>
      <c r="C1322">
        <v>6.9</v>
      </c>
    </row>
    <row r="1323" spans="1:3">
      <c r="A1323">
        <v>5474</v>
      </c>
      <c r="B1323" t="s">
        <v>1677</v>
      </c>
      <c r="C1323">
        <v>73</v>
      </c>
    </row>
    <row r="1324" spans="1:3">
      <c r="A1324">
        <v>5475</v>
      </c>
      <c r="B1324" t="s">
        <v>1678</v>
      </c>
      <c r="C1324">
        <v>3.7</v>
      </c>
    </row>
    <row r="1325" spans="1:3">
      <c r="A1325">
        <v>5478</v>
      </c>
      <c r="B1325" t="s">
        <v>439</v>
      </c>
      <c r="C1325">
        <v>63.8</v>
      </c>
    </row>
    <row r="1326" spans="1:3">
      <c r="A1326">
        <v>5480</v>
      </c>
      <c r="B1326" t="s">
        <v>1679</v>
      </c>
      <c r="C1326">
        <v>11.15</v>
      </c>
    </row>
    <row r="1327" spans="1:3">
      <c r="A1327">
        <v>5481</v>
      </c>
      <c r="B1327" t="s">
        <v>1680</v>
      </c>
      <c r="C1327">
        <v>15.6</v>
      </c>
    </row>
    <row r="1328" spans="1:3">
      <c r="A1328">
        <v>5483</v>
      </c>
      <c r="B1328" t="s">
        <v>1681</v>
      </c>
      <c r="C1328">
        <v>49</v>
      </c>
    </row>
    <row r="1329" spans="1:3">
      <c r="A1329">
        <v>5487</v>
      </c>
      <c r="B1329" t="s">
        <v>440</v>
      </c>
      <c r="C1329">
        <v>20.45</v>
      </c>
    </row>
    <row r="1330" spans="1:3">
      <c r="A1330">
        <v>5488</v>
      </c>
      <c r="B1330" t="s">
        <v>1682</v>
      </c>
      <c r="C1330">
        <v>5.66</v>
      </c>
    </row>
    <row r="1331" spans="1:3">
      <c r="A1331">
        <v>5489</v>
      </c>
      <c r="B1331" t="s">
        <v>1683</v>
      </c>
      <c r="C1331">
        <v>53</v>
      </c>
    </row>
    <row r="1332" spans="1:3">
      <c r="A1332">
        <v>5490</v>
      </c>
      <c r="B1332" t="s">
        <v>441</v>
      </c>
      <c r="C1332">
        <v>86.8</v>
      </c>
    </row>
    <row r="1333" spans="1:3">
      <c r="A1333">
        <v>5491</v>
      </c>
      <c r="B1333" t="s">
        <v>1684</v>
      </c>
      <c r="C1333">
        <v>6.93</v>
      </c>
    </row>
    <row r="1334" spans="1:3">
      <c r="A1334">
        <v>5493</v>
      </c>
      <c r="B1334" t="s">
        <v>1685</v>
      </c>
      <c r="C1334">
        <v>33.950000000000003</v>
      </c>
    </row>
    <row r="1335" spans="1:3">
      <c r="A1335">
        <v>5498</v>
      </c>
      <c r="B1335" t="s">
        <v>1686</v>
      </c>
      <c r="C1335">
        <v>8.65</v>
      </c>
    </row>
    <row r="1336" spans="1:3">
      <c r="A1336">
        <v>5508</v>
      </c>
      <c r="B1336" t="s">
        <v>1687</v>
      </c>
      <c r="C1336">
        <v>28.45</v>
      </c>
    </row>
    <row r="1337" spans="1:3">
      <c r="A1337">
        <v>5511</v>
      </c>
      <c r="B1337" t="s">
        <v>1688</v>
      </c>
      <c r="C1337">
        <v>24.55</v>
      </c>
    </row>
    <row r="1338" spans="1:3">
      <c r="A1338">
        <v>5512</v>
      </c>
      <c r="B1338" t="s">
        <v>442</v>
      </c>
      <c r="C1338">
        <v>9.5</v>
      </c>
    </row>
    <row r="1339" spans="1:3">
      <c r="A1339">
        <v>5514</v>
      </c>
      <c r="B1339" t="s">
        <v>1689</v>
      </c>
      <c r="C1339">
        <v>11.05</v>
      </c>
    </row>
    <row r="1340" spans="1:3">
      <c r="A1340">
        <v>5516</v>
      </c>
      <c r="B1340" t="s">
        <v>1690</v>
      </c>
      <c r="C1340">
        <v>0</v>
      </c>
    </row>
    <row r="1341" spans="1:3">
      <c r="A1341">
        <v>5520</v>
      </c>
      <c r="B1341" t="s">
        <v>1691</v>
      </c>
      <c r="C1341">
        <v>25.5</v>
      </c>
    </row>
    <row r="1342" spans="1:3">
      <c r="A1342">
        <v>5523</v>
      </c>
      <c r="B1342" t="s">
        <v>443</v>
      </c>
      <c r="C1342">
        <v>8.18</v>
      </c>
    </row>
    <row r="1343" spans="1:3">
      <c r="A1343">
        <v>5529</v>
      </c>
      <c r="B1343" t="s">
        <v>1692</v>
      </c>
      <c r="C1343">
        <v>8.19</v>
      </c>
    </row>
    <row r="1344" spans="1:3">
      <c r="A1344">
        <v>5530</v>
      </c>
      <c r="B1344" t="s">
        <v>1693</v>
      </c>
      <c r="C1344">
        <v>61.1</v>
      </c>
    </row>
    <row r="1345" spans="1:3">
      <c r="A1345">
        <v>5536</v>
      </c>
      <c r="B1345" t="s">
        <v>444</v>
      </c>
      <c r="C1345">
        <v>85.4</v>
      </c>
    </row>
    <row r="1346" spans="1:3">
      <c r="A1346">
        <v>5601</v>
      </c>
      <c r="B1346" t="s">
        <v>1694</v>
      </c>
      <c r="C1346">
        <v>26.1</v>
      </c>
    </row>
    <row r="1347" spans="1:3">
      <c r="A1347">
        <v>5603</v>
      </c>
      <c r="B1347" t="s">
        <v>445</v>
      </c>
      <c r="C1347">
        <v>14.85</v>
      </c>
    </row>
    <row r="1348" spans="1:3">
      <c r="A1348">
        <v>5604</v>
      </c>
      <c r="B1348" t="s">
        <v>1695</v>
      </c>
      <c r="C1348">
        <v>0</v>
      </c>
    </row>
    <row r="1349" spans="1:3">
      <c r="A1349">
        <v>5609</v>
      </c>
      <c r="B1349" t="s">
        <v>446</v>
      </c>
      <c r="C1349">
        <v>17.649999999999999</v>
      </c>
    </row>
    <row r="1350" spans="1:3">
      <c r="A1350">
        <v>5701</v>
      </c>
      <c r="B1350" t="s">
        <v>1696</v>
      </c>
      <c r="C1350">
        <v>3.41</v>
      </c>
    </row>
    <row r="1351" spans="1:3">
      <c r="A1351">
        <v>5703</v>
      </c>
      <c r="B1351" t="s">
        <v>1697</v>
      </c>
      <c r="C1351">
        <v>21.85</v>
      </c>
    </row>
    <row r="1352" spans="1:3">
      <c r="A1352">
        <v>5704</v>
      </c>
      <c r="B1352" t="s">
        <v>1698</v>
      </c>
      <c r="C1352">
        <v>26.4</v>
      </c>
    </row>
    <row r="1353" spans="1:3">
      <c r="A1353">
        <v>5820</v>
      </c>
      <c r="B1353" t="s">
        <v>1699</v>
      </c>
      <c r="C1353">
        <v>7.14</v>
      </c>
    </row>
    <row r="1354" spans="1:3">
      <c r="A1354">
        <v>5878</v>
      </c>
      <c r="B1354" t="s">
        <v>447</v>
      </c>
      <c r="C1354">
        <v>43.3</v>
      </c>
    </row>
    <row r="1355" spans="1:3">
      <c r="A1355">
        <v>5902</v>
      </c>
      <c r="B1355" t="s">
        <v>448</v>
      </c>
      <c r="C1355">
        <v>10.75</v>
      </c>
    </row>
    <row r="1356" spans="1:3">
      <c r="A1356">
        <v>5903</v>
      </c>
      <c r="B1356" t="s">
        <v>1700</v>
      </c>
      <c r="C1356">
        <v>205</v>
      </c>
    </row>
    <row r="1357" spans="1:3">
      <c r="A1357">
        <v>5904</v>
      </c>
      <c r="B1357" t="s">
        <v>449</v>
      </c>
      <c r="C1357">
        <v>323.5</v>
      </c>
    </row>
    <row r="1358" spans="1:3">
      <c r="A1358">
        <v>5905</v>
      </c>
      <c r="B1358" t="s">
        <v>1701</v>
      </c>
      <c r="C1358">
        <v>8.9</v>
      </c>
    </row>
    <row r="1359" spans="1:3">
      <c r="A1359">
        <v>6015</v>
      </c>
      <c r="B1359" t="s">
        <v>1702</v>
      </c>
      <c r="C1359">
        <v>6.38</v>
      </c>
    </row>
    <row r="1360" spans="1:3">
      <c r="A1360">
        <v>6016</v>
      </c>
      <c r="B1360" t="s">
        <v>1703</v>
      </c>
      <c r="C1360">
        <v>6.48</v>
      </c>
    </row>
    <row r="1361" spans="1:3">
      <c r="A1361">
        <v>6020</v>
      </c>
      <c r="B1361" t="s">
        <v>450</v>
      </c>
      <c r="C1361">
        <v>13.85</v>
      </c>
    </row>
    <row r="1362" spans="1:3">
      <c r="A1362">
        <v>6021</v>
      </c>
      <c r="B1362" t="s">
        <v>451</v>
      </c>
      <c r="C1362">
        <v>10.9</v>
      </c>
    </row>
    <row r="1363" spans="1:3">
      <c r="A1363">
        <v>6022</v>
      </c>
      <c r="B1363" t="s">
        <v>1704</v>
      </c>
      <c r="C1363">
        <v>10.050000000000001</v>
      </c>
    </row>
    <row r="1364" spans="1:3">
      <c r="A1364">
        <v>6023</v>
      </c>
      <c r="B1364" t="s">
        <v>1705</v>
      </c>
      <c r="C1364">
        <v>35.799999999999997</v>
      </c>
    </row>
    <row r="1365" spans="1:3">
      <c r="A1365">
        <v>6024</v>
      </c>
      <c r="B1365" t="s">
        <v>452</v>
      </c>
      <c r="C1365">
        <v>28.55</v>
      </c>
    </row>
    <row r="1366" spans="1:3">
      <c r="A1366">
        <v>6101</v>
      </c>
      <c r="B1366" t="s">
        <v>1706</v>
      </c>
      <c r="C1366">
        <v>13</v>
      </c>
    </row>
    <row r="1367" spans="1:3">
      <c r="A1367">
        <v>6103</v>
      </c>
      <c r="B1367" t="s">
        <v>1707</v>
      </c>
      <c r="C1367">
        <v>6.4</v>
      </c>
    </row>
    <row r="1368" spans="1:3">
      <c r="A1368">
        <v>6104</v>
      </c>
      <c r="B1368" t="s">
        <v>1708</v>
      </c>
      <c r="C1368">
        <v>47.05</v>
      </c>
    </row>
    <row r="1369" spans="1:3">
      <c r="A1369">
        <v>6105</v>
      </c>
      <c r="B1369" t="s">
        <v>1709</v>
      </c>
      <c r="C1369">
        <v>42.7</v>
      </c>
    </row>
    <row r="1370" spans="1:3">
      <c r="A1370">
        <v>6107</v>
      </c>
      <c r="B1370" t="s">
        <v>1710</v>
      </c>
      <c r="C1370">
        <v>72.099999999999994</v>
      </c>
    </row>
    <row r="1371" spans="1:3">
      <c r="A1371">
        <v>6109</v>
      </c>
      <c r="B1371" t="s">
        <v>1711</v>
      </c>
      <c r="C1371">
        <v>13.55</v>
      </c>
    </row>
    <row r="1372" spans="1:3">
      <c r="A1372">
        <v>6111</v>
      </c>
      <c r="B1372" t="s">
        <v>1712</v>
      </c>
      <c r="C1372">
        <v>98.4</v>
      </c>
    </row>
    <row r="1373" spans="1:3">
      <c r="A1373">
        <v>6113</v>
      </c>
      <c r="B1373" t="s">
        <v>1713</v>
      </c>
      <c r="C1373">
        <v>8.42</v>
      </c>
    </row>
    <row r="1374" spans="1:3">
      <c r="A1374">
        <v>6114</v>
      </c>
      <c r="B1374" t="s">
        <v>1714</v>
      </c>
      <c r="C1374">
        <v>58</v>
      </c>
    </row>
    <row r="1375" spans="1:3">
      <c r="A1375">
        <v>6118</v>
      </c>
      <c r="B1375" t="s">
        <v>1715</v>
      </c>
      <c r="C1375">
        <v>7.37</v>
      </c>
    </row>
    <row r="1376" spans="1:3">
      <c r="A1376">
        <v>6121</v>
      </c>
      <c r="B1376" t="s">
        <v>453</v>
      </c>
      <c r="C1376">
        <v>116</v>
      </c>
    </row>
    <row r="1377" spans="1:3">
      <c r="A1377">
        <v>6122</v>
      </c>
      <c r="B1377" t="s">
        <v>1716</v>
      </c>
      <c r="C1377">
        <v>6.17</v>
      </c>
    </row>
    <row r="1378" spans="1:3">
      <c r="A1378">
        <v>6123</v>
      </c>
      <c r="B1378" t="s">
        <v>1717</v>
      </c>
      <c r="C1378">
        <v>26.8</v>
      </c>
    </row>
    <row r="1379" spans="1:3">
      <c r="A1379">
        <v>6124</v>
      </c>
      <c r="B1379" t="s">
        <v>1718</v>
      </c>
      <c r="C1379">
        <v>25.65</v>
      </c>
    </row>
    <row r="1380" spans="1:3">
      <c r="A1380">
        <v>6125</v>
      </c>
      <c r="B1380" t="s">
        <v>454</v>
      </c>
      <c r="C1380">
        <v>12.6</v>
      </c>
    </row>
    <row r="1381" spans="1:3">
      <c r="A1381">
        <v>6126</v>
      </c>
      <c r="B1381" t="s">
        <v>1719</v>
      </c>
      <c r="C1381">
        <v>7.25</v>
      </c>
    </row>
    <row r="1382" spans="1:3">
      <c r="A1382">
        <v>6127</v>
      </c>
      <c r="B1382" t="s">
        <v>1720</v>
      </c>
      <c r="C1382">
        <v>9.69</v>
      </c>
    </row>
    <row r="1383" spans="1:3">
      <c r="A1383">
        <v>6129</v>
      </c>
      <c r="B1383" t="s">
        <v>1721</v>
      </c>
      <c r="C1383">
        <v>7.17</v>
      </c>
    </row>
    <row r="1384" spans="1:3">
      <c r="A1384">
        <v>6130</v>
      </c>
      <c r="B1384" t="s">
        <v>455</v>
      </c>
      <c r="C1384">
        <v>31</v>
      </c>
    </row>
    <row r="1385" spans="1:3">
      <c r="A1385">
        <v>6134</v>
      </c>
      <c r="B1385" t="s">
        <v>1722</v>
      </c>
      <c r="C1385">
        <v>6.55</v>
      </c>
    </row>
    <row r="1386" spans="1:3">
      <c r="A1386">
        <v>6138</v>
      </c>
      <c r="B1386" t="s">
        <v>1723</v>
      </c>
      <c r="C1386">
        <v>21.6</v>
      </c>
    </row>
    <row r="1387" spans="1:3">
      <c r="A1387">
        <v>6140</v>
      </c>
      <c r="B1387" t="s">
        <v>1724</v>
      </c>
      <c r="C1387">
        <v>10.65</v>
      </c>
    </row>
    <row r="1388" spans="1:3">
      <c r="A1388">
        <v>6143</v>
      </c>
      <c r="B1388" t="s">
        <v>1725</v>
      </c>
      <c r="C1388">
        <v>61.2</v>
      </c>
    </row>
    <row r="1389" spans="1:3">
      <c r="A1389">
        <v>6144</v>
      </c>
      <c r="B1389" t="s">
        <v>1726</v>
      </c>
      <c r="C1389">
        <v>0</v>
      </c>
    </row>
    <row r="1390" spans="1:3">
      <c r="A1390">
        <v>6146</v>
      </c>
      <c r="B1390" t="s">
        <v>456</v>
      </c>
      <c r="C1390">
        <v>188</v>
      </c>
    </row>
    <row r="1391" spans="1:3">
      <c r="A1391">
        <v>6147</v>
      </c>
      <c r="B1391" t="s">
        <v>1727</v>
      </c>
      <c r="C1391">
        <v>48.7</v>
      </c>
    </row>
    <row r="1392" spans="1:3">
      <c r="A1392">
        <v>6148</v>
      </c>
      <c r="B1392" t="s">
        <v>1728</v>
      </c>
      <c r="C1392">
        <v>7.61</v>
      </c>
    </row>
    <row r="1393" spans="1:3">
      <c r="A1393">
        <v>6150</v>
      </c>
      <c r="B1393" t="s">
        <v>1729</v>
      </c>
      <c r="C1393">
        <v>6.83</v>
      </c>
    </row>
    <row r="1394" spans="1:3">
      <c r="A1394">
        <v>6151</v>
      </c>
      <c r="B1394" t="s">
        <v>1730</v>
      </c>
      <c r="C1394">
        <v>22.9</v>
      </c>
    </row>
    <row r="1395" spans="1:3">
      <c r="A1395">
        <v>6154</v>
      </c>
      <c r="B1395" t="s">
        <v>457</v>
      </c>
      <c r="C1395">
        <v>16.649999999999999</v>
      </c>
    </row>
    <row r="1396" spans="1:3">
      <c r="A1396">
        <v>6156</v>
      </c>
      <c r="B1396" t="s">
        <v>1863</v>
      </c>
      <c r="C1396">
        <v>14.25</v>
      </c>
    </row>
    <row r="1397" spans="1:3">
      <c r="A1397">
        <v>6158</v>
      </c>
      <c r="B1397" t="s">
        <v>458</v>
      </c>
      <c r="C1397">
        <v>11.6</v>
      </c>
    </row>
    <row r="1398" spans="1:3">
      <c r="A1398">
        <v>6160</v>
      </c>
      <c r="B1398" t="s">
        <v>1731</v>
      </c>
      <c r="C1398">
        <v>14.1</v>
      </c>
    </row>
    <row r="1399" spans="1:3">
      <c r="A1399">
        <v>6161</v>
      </c>
      <c r="B1399" t="s">
        <v>459</v>
      </c>
      <c r="C1399">
        <v>7.19</v>
      </c>
    </row>
    <row r="1400" spans="1:3">
      <c r="A1400">
        <v>6163</v>
      </c>
      <c r="B1400" t="s">
        <v>460</v>
      </c>
      <c r="C1400">
        <v>10.55</v>
      </c>
    </row>
    <row r="1401" spans="1:3">
      <c r="A1401">
        <v>6167</v>
      </c>
      <c r="B1401" t="s">
        <v>1732</v>
      </c>
      <c r="C1401">
        <v>4.3600000000000003</v>
      </c>
    </row>
    <row r="1402" spans="1:3">
      <c r="A1402">
        <v>6169</v>
      </c>
      <c r="B1402" t="s">
        <v>1733</v>
      </c>
      <c r="C1402">
        <v>25.25</v>
      </c>
    </row>
    <row r="1403" spans="1:3">
      <c r="A1403">
        <v>6170</v>
      </c>
      <c r="B1403" t="s">
        <v>461</v>
      </c>
      <c r="C1403">
        <v>10.45</v>
      </c>
    </row>
    <row r="1404" spans="1:3">
      <c r="A1404">
        <v>6171</v>
      </c>
      <c r="B1404" t="s">
        <v>462</v>
      </c>
      <c r="C1404">
        <v>14.85</v>
      </c>
    </row>
    <row r="1405" spans="1:3">
      <c r="A1405">
        <v>6173</v>
      </c>
      <c r="B1405" t="s">
        <v>1734</v>
      </c>
      <c r="C1405">
        <v>10.050000000000001</v>
      </c>
    </row>
    <row r="1406" spans="1:3">
      <c r="A1406">
        <v>6174</v>
      </c>
      <c r="B1406" t="s">
        <v>1735</v>
      </c>
      <c r="C1406">
        <v>13.9</v>
      </c>
    </row>
    <row r="1407" spans="1:3">
      <c r="A1407">
        <v>6175</v>
      </c>
      <c r="B1407" t="s">
        <v>463</v>
      </c>
      <c r="C1407">
        <v>12.7</v>
      </c>
    </row>
    <row r="1408" spans="1:3">
      <c r="A1408">
        <v>6179</v>
      </c>
      <c r="B1408" t="s">
        <v>464</v>
      </c>
      <c r="C1408">
        <v>37.700000000000003</v>
      </c>
    </row>
    <row r="1409" spans="1:3">
      <c r="A1409">
        <v>6180</v>
      </c>
      <c r="B1409" t="s">
        <v>1736</v>
      </c>
      <c r="C1409">
        <v>44.85</v>
      </c>
    </row>
    <row r="1410" spans="1:3">
      <c r="A1410">
        <v>6182</v>
      </c>
      <c r="B1410" t="s">
        <v>465</v>
      </c>
      <c r="C1410">
        <v>14.1</v>
      </c>
    </row>
    <row r="1411" spans="1:3">
      <c r="A1411">
        <v>6185</v>
      </c>
      <c r="B1411" t="s">
        <v>1737</v>
      </c>
      <c r="C1411">
        <v>23.85</v>
      </c>
    </row>
    <row r="1412" spans="1:3">
      <c r="A1412">
        <v>6186</v>
      </c>
      <c r="B1412" t="s">
        <v>466</v>
      </c>
      <c r="C1412">
        <v>23</v>
      </c>
    </row>
    <row r="1413" spans="1:3">
      <c r="A1413">
        <v>6187</v>
      </c>
      <c r="B1413" t="s">
        <v>1738</v>
      </c>
      <c r="C1413">
        <v>41.1</v>
      </c>
    </row>
    <row r="1414" spans="1:3">
      <c r="A1414">
        <v>6188</v>
      </c>
      <c r="B1414" t="s">
        <v>1739</v>
      </c>
      <c r="C1414">
        <v>23.1</v>
      </c>
    </row>
    <row r="1415" spans="1:3">
      <c r="A1415">
        <v>6190</v>
      </c>
      <c r="B1415" t="s">
        <v>467</v>
      </c>
      <c r="C1415">
        <v>6.11</v>
      </c>
    </row>
    <row r="1416" spans="1:3">
      <c r="A1416">
        <v>6194</v>
      </c>
      <c r="B1416" t="s">
        <v>1740</v>
      </c>
      <c r="C1416">
        <v>19.649999999999999</v>
      </c>
    </row>
    <row r="1417" spans="1:3">
      <c r="A1417">
        <v>6195</v>
      </c>
      <c r="B1417" t="s">
        <v>468</v>
      </c>
      <c r="C1417">
        <v>48.4</v>
      </c>
    </row>
    <row r="1418" spans="1:3">
      <c r="A1418">
        <v>6198</v>
      </c>
      <c r="B1418" t="s">
        <v>1741</v>
      </c>
      <c r="C1418">
        <v>15</v>
      </c>
    </row>
    <row r="1419" spans="1:3">
      <c r="A1419">
        <v>6199</v>
      </c>
      <c r="B1419" t="s">
        <v>1742</v>
      </c>
      <c r="C1419">
        <v>0</v>
      </c>
    </row>
    <row r="1420" spans="1:3">
      <c r="A1420">
        <v>6203</v>
      </c>
      <c r="B1420" t="s">
        <v>469</v>
      </c>
      <c r="C1420">
        <v>30.25</v>
      </c>
    </row>
    <row r="1421" spans="1:3">
      <c r="A1421">
        <v>6204</v>
      </c>
      <c r="B1421" t="s">
        <v>1743</v>
      </c>
      <c r="C1421">
        <v>21.8</v>
      </c>
    </row>
    <row r="1422" spans="1:3">
      <c r="A1422">
        <v>6207</v>
      </c>
      <c r="B1422" t="s">
        <v>470</v>
      </c>
      <c r="C1422">
        <v>30.1</v>
      </c>
    </row>
    <row r="1423" spans="1:3">
      <c r="A1423">
        <v>6208</v>
      </c>
      <c r="B1423" t="s">
        <v>1744</v>
      </c>
      <c r="C1423">
        <v>10.5</v>
      </c>
    </row>
    <row r="1424" spans="1:3">
      <c r="A1424">
        <v>6210</v>
      </c>
      <c r="B1424" t="s">
        <v>1745</v>
      </c>
      <c r="C1424">
        <v>44.65</v>
      </c>
    </row>
    <row r="1425" spans="1:3">
      <c r="A1425">
        <v>6211</v>
      </c>
      <c r="B1425" t="s">
        <v>1746</v>
      </c>
      <c r="C1425">
        <v>21.2</v>
      </c>
    </row>
    <row r="1426" spans="1:3">
      <c r="A1426">
        <v>6212</v>
      </c>
      <c r="B1426" t="s">
        <v>471</v>
      </c>
      <c r="C1426">
        <v>24.75</v>
      </c>
    </row>
    <row r="1427" spans="1:3">
      <c r="A1427">
        <v>6217</v>
      </c>
      <c r="B1427" t="s">
        <v>1747</v>
      </c>
      <c r="C1427">
        <v>54.5</v>
      </c>
    </row>
    <row r="1428" spans="1:3">
      <c r="A1428">
        <v>6218</v>
      </c>
      <c r="B1428" t="s">
        <v>1748</v>
      </c>
      <c r="C1428">
        <v>16.7</v>
      </c>
    </row>
    <row r="1429" spans="1:3">
      <c r="A1429">
        <v>6219</v>
      </c>
      <c r="B1429" t="s">
        <v>1749</v>
      </c>
      <c r="C1429">
        <v>11.9</v>
      </c>
    </row>
    <row r="1430" spans="1:3">
      <c r="A1430">
        <v>6220</v>
      </c>
      <c r="B1430" t="s">
        <v>472</v>
      </c>
      <c r="C1430">
        <v>15.35</v>
      </c>
    </row>
    <row r="1431" spans="1:3">
      <c r="A1431">
        <v>6221</v>
      </c>
      <c r="B1431" t="s">
        <v>473</v>
      </c>
      <c r="C1431">
        <v>23.1</v>
      </c>
    </row>
    <row r="1432" spans="1:3">
      <c r="A1432">
        <v>6222</v>
      </c>
      <c r="B1432" t="s">
        <v>1750</v>
      </c>
      <c r="C1432">
        <v>7.93</v>
      </c>
    </row>
    <row r="1433" spans="1:3">
      <c r="A1433">
        <v>6223</v>
      </c>
      <c r="B1433" t="s">
        <v>474</v>
      </c>
      <c r="C1433">
        <v>67.8</v>
      </c>
    </row>
    <row r="1434" spans="1:3">
      <c r="A1434">
        <v>6227</v>
      </c>
      <c r="B1434" t="s">
        <v>475</v>
      </c>
      <c r="C1434">
        <v>17.3</v>
      </c>
    </row>
    <row r="1435" spans="1:3">
      <c r="A1435">
        <v>6228</v>
      </c>
      <c r="B1435" t="s">
        <v>1751</v>
      </c>
      <c r="C1435">
        <v>11.35</v>
      </c>
    </row>
    <row r="1436" spans="1:3">
      <c r="A1436">
        <v>6229</v>
      </c>
      <c r="B1436" t="s">
        <v>476</v>
      </c>
      <c r="C1436">
        <v>11.25</v>
      </c>
    </row>
    <row r="1437" spans="1:3">
      <c r="A1437">
        <v>6231</v>
      </c>
      <c r="B1437" t="s">
        <v>477</v>
      </c>
      <c r="C1437">
        <v>27.4</v>
      </c>
    </row>
    <row r="1438" spans="1:3">
      <c r="A1438">
        <v>6233</v>
      </c>
      <c r="B1438" t="s">
        <v>1752</v>
      </c>
      <c r="C1438">
        <v>14.7</v>
      </c>
    </row>
    <row r="1439" spans="1:3">
      <c r="A1439">
        <v>6234</v>
      </c>
      <c r="B1439" t="s">
        <v>478</v>
      </c>
      <c r="C1439">
        <v>19.100000000000001</v>
      </c>
    </row>
    <row r="1440" spans="1:3">
      <c r="A1440">
        <v>6236</v>
      </c>
      <c r="B1440" t="s">
        <v>479</v>
      </c>
      <c r="C1440">
        <v>33.1</v>
      </c>
    </row>
    <row r="1441" spans="1:3">
      <c r="A1441">
        <v>6237</v>
      </c>
      <c r="B1441" t="s">
        <v>480</v>
      </c>
      <c r="C1441">
        <v>39.450000000000003</v>
      </c>
    </row>
    <row r="1442" spans="1:3">
      <c r="A1442">
        <v>6238</v>
      </c>
      <c r="B1442" t="s">
        <v>1753</v>
      </c>
      <c r="C1442">
        <v>156.5</v>
      </c>
    </row>
    <row r="1443" spans="1:3">
      <c r="A1443">
        <v>6240</v>
      </c>
      <c r="B1443" t="s">
        <v>1754</v>
      </c>
      <c r="C1443">
        <v>0</v>
      </c>
    </row>
    <row r="1444" spans="1:3">
      <c r="A1444">
        <v>6241</v>
      </c>
      <c r="B1444" t="s">
        <v>481</v>
      </c>
      <c r="C1444">
        <v>13.95</v>
      </c>
    </row>
    <row r="1445" spans="1:3">
      <c r="A1445">
        <v>6242</v>
      </c>
      <c r="B1445" t="s">
        <v>1755</v>
      </c>
      <c r="C1445">
        <v>0</v>
      </c>
    </row>
    <row r="1446" spans="1:3">
      <c r="A1446">
        <v>6244</v>
      </c>
      <c r="B1446" t="s">
        <v>482</v>
      </c>
      <c r="C1446">
        <v>44.65</v>
      </c>
    </row>
    <row r="1447" spans="1:3">
      <c r="A1447">
        <v>6245</v>
      </c>
      <c r="B1447" t="s">
        <v>1756</v>
      </c>
      <c r="C1447">
        <v>43.7</v>
      </c>
    </row>
    <row r="1448" spans="1:3">
      <c r="A1448">
        <v>6246</v>
      </c>
      <c r="B1448" t="s">
        <v>483</v>
      </c>
      <c r="C1448">
        <v>1.82</v>
      </c>
    </row>
    <row r="1449" spans="1:3">
      <c r="A1449">
        <v>6247</v>
      </c>
      <c r="B1449" t="s">
        <v>1757</v>
      </c>
      <c r="C1449">
        <v>15</v>
      </c>
    </row>
    <row r="1450" spans="1:3">
      <c r="A1450">
        <v>6248</v>
      </c>
      <c r="B1450" t="s">
        <v>484</v>
      </c>
      <c r="C1450">
        <v>20.7</v>
      </c>
    </row>
    <row r="1451" spans="1:3">
      <c r="A1451">
        <v>6259</v>
      </c>
      <c r="B1451" t="s">
        <v>486</v>
      </c>
      <c r="C1451">
        <v>8.9</v>
      </c>
    </row>
    <row r="1452" spans="1:3">
      <c r="A1452">
        <v>6261</v>
      </c>
      <c r="B1452" t="s">
        <v>487</v>
      </c>
      <c r="C1452">
        <v>44.3</v>
      </c>
    </row>
    <row r="1453" spans="1:3">
      <c r="A1453">
        <v>6263</v>
      </c>
      <c r="B1453" t="s">
        <v>1758</v>
      </c>
      <c r="C1453">
        <v>46.8</v>
      </c>
    </row>
    <row r="1454" spans="1:3">
      <c r="A1454">
        <v>6264</v>
      </c>
      <c r="B1454" t="s">
        <v>488</v>
      </c>
      <c r="C1454">
        <v>6.27</v>
      </c>
    </row>
    <row r="1455" spans="1:3">
      <c r="A1455">
        <v>6265</v>
      </c>
      <c r="B1455" t="s">
        <v>489</v>
      </c>
      <c r="C1455">
        <v>7.25</v>
      </c>
    </row>
    <row r="1456" spans="1:3">
      <c r="A1456">
        <v>6266</v>
      </c>
      <c r="B1456" t="s">
        <v>1759</v>
      </c>
      <c r="C1456">
        <v>12.5</v>
      </c>
    </row>
    <row r="1457" spans="1:3">
      <c r="A1457">
        <v>6270</v>
      </c>
      <c r="B1457" t="s">
        <v>1760</v>
      </c>
      <c r="C1457">
        <v>10.3</v>
      </c>
    </row>
    <row r="1458" spans="1:3">
      <c r="A1458">
        <v>6274</v>
      </c>
      <c r="B1458" t="s">
        <v>490</v>
      </c>
      <c r="C1458">
        <v>28.55</v>
      </c>
    </row>
    <row r="1459" spans="1:3">
      <c r="A1459">
        <v>6275</v>
      </c>
      <c r="B1459" t="s">
        <v>1761</v>
      </c>
      <c r="C1459">
        <v>12.2</v>
      </c>
    </row>
    <row r="1460" spans="1:3">
      <c r="A1460">
        <v>6276</v>
      </c>
      <c r="B1460" t="s">
        <v>491</v>
      </c>
      <c r="C1460">
        <v>7.43</v>
      </c>
    </row>
    <row r="1461" spans="1:3">
      <c r="A1461">
        <v>6279</v>
      </c>
      <c r="B1461" t="s">
        <v>1762</v>
      </c>
      <c r="C1461">
        <v>144</v>
      </c>
    </row>
    <row r="1462" spans="1:3">
      <c r="A1462">
        <v>6284</v>
      </c>
      <c r="B1462" t="s">
        <v>1763</v>
      </c>
      <c r="C1462">
        <v>23.2</v>
      </c>
    </row>
    <row r="1463" spans="1:3">
      <c r="A1463">
        <v>6287</v>
      </c>
      <c r="B1463" t="s">
        <v>1764</v>
      </c>
      <c r="C1463">
        <v>2.75</v>
      </c>
    </row>
    <row r="1464" spans="1:3">
      <c r="A1464">
        <v>6290</v>
      </c>
      <c r="B1464" t="s">
        <v>1765</v>
      </c>
      <c r="C1464">
        <v>31</v>
      </c>
    </row>
    <row r="1465" spans="1:3">
      <c r="A1465">
        <v>6291</v>
      </c>
      <c r="B1465" t="s">
        <v>492</v>
      </c>
      <c r="C1465">
        <v>2.79</v>
      </c>
    </row>
    <row r="1466" spans="1:3">
      <c r="A1466">
        <v>6292</v>
      </c>
      <c r="B1466" t="s">
        <v>1766</v>
      </c>
      <c r="C1466">
        <v>27.95</v>
      </c>
    </row>
    <row r="1467" spans="1:3">
      <c r="A1467">
        <v>6294</v>
      </c>
      <c r="B1467" t="s">
        <v>1767</v>
      </c>
      <c r="C1467">
        <v>83.6</v>
      </c>
    </row>
    <row r="1468" spans="1:3">
      <c r="A1468">
        <v>6298</v>
      </c>
      <c r="B1468" t="s">
        <v>1768</v>
      </c>
      <c r="C1468">
        <v>16.850000000000001</v>
      </c>
    </row>
    <row r="1469" spans="1:3">
      <c r="A1469">
        <v>6404</v>
      </c>
      <c r="B1469" t="s">
        <v>1769</v>
      </c>
      <c r="C1469">
        <v>45.85</v>
      </c>
    </row>
    <row r="1470" spans="1:3">
      <c r="A1470">
        <v>6411</v>
      </c>
      <c r="B1470" t="s">
        <v>493</v>
      </c>
      <c r="C1470">
        <v>36.299999999999997</v>
      </c>
    </row>
    <row r="1471" spans="1:3">
      <c r="A1471">
        <v>6417</v>
      </c>
      <c r="B1471" t="s">
        <v>539</v>
      </c>
      <c r="C1471">
        <v>45.1</v>
      </c>
    </row>
    <row r="1472" spans="1:3">
      <c r="A1472">
        <v>6419</v>
      </c>
      <c r="B1472" t="s">
        <v>1770</v>
      </c>
      <c r="C1472">
        <v>22.55</v>
      </c>
    </row>
    <row r="1473" spans="1:3">
      <c r="A1473">
        <v>6426</v>
      </c>
      <c r="B1473" t="s">
        <v>494</v>
      </c>
      <c r="C1473">
        <v>34.799999999999997</v>
      </c>
    </row>
    <row r="1474" spans="1:3">
      <c r="A1474">
        <v>6432</v>
      </c>
      <c r="B1474" t="s">
        <v>1771</v>
      </c>
      <c r="C1474">
        <v>30</v>
      </c>
    </row>
    <row r="1475" spans="1:3">
      <c r="A1475">
        <v>6457</v>
      </c>
      <c r="B1475" t="s">
        <v>1772</v>
      </c>
      <c r="C1475">
        <v>45.1</v>
      </c>
    </row>
    <row r="1476" spans="1:3">
      <c r="A1476">
        <v>6465</v>
      </c>
      <c r="B1476" t="s">
        <v>1944</v>
      </c>
      <c r="C1476">
        <v>80.7</v>
      </c>
    </row>
    <row r="1477" spans="1:3">
      <c r="A1477">
        <v>6470</v>
      </c>
      <c r="B1477" t="s">
        <v>1920</v>
      </c>
      <c r="C1477">
        <v>56.8</v>
      </c>
    </row>
    <row r="1478" spans="1:3">
      <c r="A1478">
        <v>6485</v>
      </c>
      <c r="B1478" t="s">
        <v>1945</v>
      </c>
      <c r="C1478">
        <v>64.5</v>
      </c>
    </row>
    <row r="1479" spans="1:3">
      <c r="A1479">
        <v>6488</v>
      </c>
      <c r="B1479" t="s">
        <v>1773</v>
      </c>
      <c r="C1479">
        <v>80</v>
      </c>
    </row>
    <row r="1480" spans="1:3">
      <c r="A1480">
        <v>6506</v>
      </c>
      <c r="B1480" t="s">
        <v>1774</v>
      </c>
      <c r="C1480">
        <v>17.850000000000001</v>
      </c>
    </row>
    <row r="1481" spans="1:3">
      <c r="A1481">
        <v>6508</v>
      </c>
      <c r="B1481" t="s">
        <v>495</v>
      </c>
      <c r="C1481">
        <v>28.1</v>
      </c>
    </row>
    <row r="1482" spans="1:3">
      <c r="A1482">
        <v>6509</v>
      </c>
      <c r="B1482" t="s">
        <v>496</v>
      </c>
      <c r="C1482">
        <v>22.5</v>
      </c>
    </row>
    <row r="1483" spans="1:3">
      <c r="A1483">
        <v>6514</v>
      </c>
      <c r="B1483" t="s">
        <v>2002</v>
      </c>
      <c r="C1483">
        <v>88</v>
      </c>
    </row>
    <row r="1484" spans="1:3">
      <c r="A1484">
        <v>6603</v>
      </c>
      <c r="B1484" t="s">
        <v>497</v>
      </c>
      <c r="C1484">
        <v>10.5</v>
      </c>
    </row>
    <row r="1485" spans="1:3">
      <c r="A1485">
        <v>6609</v>
      </c>
      <c r="B1485" t="s">
        <v>498</v>
      </c>
      <c r="C1485">
        <v>28.6</v>
      </c>
    </row>
    <row r="1486" spans="1:3">
      <c r="A1486">
        <v>6803</v>
      </c>
      <c r="B1486" t="s">
        <v>1775</v>
      </c>
      <c r="C1486">
        <v>164</v>
      </c>
    </row>
    <row r="1487" spans="1:3">
      <c r="A1487">
        <v>8024</v>
      </c>
      <c r="B1487" t="s">
        <v>499</v>
      </c>
      <c r="C1487">
        <v>10.65</v>
      </c>
    </row>
    <row r="1488" spans="1:3">
      <c r="A1488">
        <v>8027</v>
      </c>
      <c r="B1488" t="s">
        <v>1776</v>
      </c>
      <c r="C1488">
        <v>20.55</v>
      </c>
    </row>
    <row r="1489" spans="1:3">
      <c r="A1489">
        <v>8032</v>
      </c>
      <c r="B1489" t="s">
        <v>1777</v>
      </c>
      <c r="C1489">
        <v>28.6</v>
      </c>
    </row>
    <row r="1490" spans="1:3">
      <c r="A1490">
        <v>8034</v>
      </c>
      <c r="B1490" t="s">
        <v>1778</v>
      </c>
      <c r="C1490">
        <v>5.94</v>
      </c>
    </row>
    <row r="1491" spans="1:3">
      <c r="A1491">
        <v>8038</v>
      </c>
      <c r="B1491" t="s">
        <v>500</v>
      </c>
      <c r="C1491">
        <v>36.6</v>
      </c>
    </row>
    <row r="1492" spans="1:3">
      <c r="A1492">
        <v>8040</v>
      </c>
      <c r="B1492" t="s">
        <v>1779</v>
      </c>
      <c r="C1492">
        <v>7.37</v>
      </c>
    </row>
    <row r="1493" spans="1:3">
      <c r="A1493">
        <v>8042</v>
      </c>
      <c r="B1493" t="s">
        <v>1780</v>
      </c>
      <c r="C1493">
        <v>36</v>
      </c>
    </row>
    <row r="1494" spans="1:3">
      <c r="A1494">
        <v>8043</v>
      </c>
      <c r="B1494" t="s">
        <v>1781</v>
      </c>
      <c r="C1494">
        <v>14.85</v>
      </c>
    </row>
    <row r="1495" spans="1:3">
      <c r="A1495">
        <v>8044</v>
      </c>
      <c r="B1495" t="s">
        <v>1782</v>
      </c>
      <c r="C1495">
        <v>315</v>
      </c>
    </row>
    <row r="1496" spans="1:3">
      <c r="A1496">
        <v>8047</v>
      </c>
      <c r="B1496" t="s">
        <v>1783</v>
      </c>
      <c r="C1496">
        <v>11.1</v>
      </c>
    </row>
    <row r="1497" spans="1:3">
      <c r="A1497">
        <v>8048</v>
      </c>
      <c r="B1497" t="s">
        <v>1784</v>
      </c>
      <c r="C1497">
        <v>47.5</v>
      </c>
    </row>
    <row r="1498" spans="1:3">
      <c r="A1498">
        <v>8049</v>
      </c>
      <c r="B1498" t="s">
        <v>1785</v>
      </c>
      <c r="C1498">
        <v>11.6</v>
      </c>
    </row>
    <row r="1499" spans="1:3">
      <c r="A1499">
        <v>8050</v>
      </c>
      <c r="B1499" t="s">
        <v>1786</v>
      </c>
      <c r="C1499">
        <v>55</v>
      </c>
    </row>
    <row r="1500" spans="1:3">
      <c r="A1500">
        <v>8053</v>
      </c>
      <c r="B1500" t="s">
        <v>1787</v>
      </c>
      <c r="C1500">
        <v>0</v>
      </c>
    </row>
    <row r="1501" spans="1:3">
      <c r="A1501">
        <v>8054</v>
      </c>
      <c r="B1501" t="s">
        <v>501</v>
      </c>
      <c r="C1501">
        <v>21.2</v>
      </c>
    </row>
    <row r="1502" spans="1:3">
      <c r="A1502">
        <v>8059</v>
      </c>
      <c r="B1502" t="s">
        <v>1788</v>
      </c>
      <c r="C1502">
        <v>11.8</v>
      </c>
    </row>
    <row r="1503" spans="1:3">
      <c r="A1503">
        <v>8064</v>
      </c>
      <c r="B1503" t="s">
        <v>502</v>
      </c>
      <c r="C1503">
        <v>11</v>
      </c>
    </row>
    <row r="1504" spans="1:3">
      <c r="A1504">
        <v>8066</v>
      </c>
      <c r="B1504" t="s">
        <v>1789</v>
      </c>
      <c r="C1504">
        <v>115</v>
      </c>
    </row>
    <row r="1505" spans="1:3">
      <c r="A1505">
        <v>8067</v>
      </c>
      <c r="B1505" t="s">
        <v>1790</v>
      </c>
      <c r="C1505">
        <v>4.8</v>
      </c>
    </row>
    <row r="1506" spans="1:3">
      <c r="A1506">
        <v>8068</v>
      </c>
      <c r="B1506" t="s">
        <v>503</v>
      </c>
      <c r="C1506">
        <v>14.5</v>
      </c>
    </row>
    <row r="1507" spans="1:3">
      <c r="A1507">
        <v>8069</v>
      </c>
      <c r="B1507" t="s">
        <v>1791</v>
      </c>
      <c r="C1507">
        <v>15.3</v>
      </c>
    </row>
    <row r="1508" spans="1:3">
      <c r="A1508">
        <v>8071</v>
      </c>
      <c r="B1508" t="s">
        <v>504</v>
      </c>
      <c r="C1508">
        <v>12.85</v>
      </c>
    </row>
    <row r="1509" spans="1:3">
      <c r="A1509">
        <v>8074</v>
      </c>
      <c r="B1509" t="s">
        <v>1792</v>
      </c>
      <c r="C1509">
        <v>24</v>
      </c>
    </row>
    <row r="1510" spans="1:3">
      <c r="A1510">
        <v>8076</v>
      </c>
      <c r="B1510" t="s">
        <v>1793</v>
      </c>
      <c r="C1510">
        <v>91.3</v>
      </c>
    </row>
    <row r="1511" spans="1:3">
      <c r="A1511">
        <v>8077</v>
      </c>
      <c r="B1511" t="s">
        <v>1794</v>
      </c>
      <c r="C1511">
        <v>53</v>
      </c>
    </row>
    <row r="1512" spans="1:3">
      <c r="A1512">
        <v>8079</v>
      </c>
      <c r="B1512" t="s">
        <v>1795</v>
      </c>
      <c r="C1512">
        <v>12.5</v>
      </c>
    </row>
    <row r="1513" spans="1:3">
      <c r="A1513">
        <v>8080</v>
      </c>
      <c r="B1513" t="s">
        <v>505</v>
      </c>
      <c r="C1513">
        <v>13.55</v>
      </c>
    </row>
    <row r="1514" spans="1:3">
      <c r="A1514">
        <v>8082</v>
      </c>
      <c r="B1514" t="s">
        <v>506</v>
      </c>
      <c r="C1514">
        <v>2.04</v>
      </c>
    </row>
    <row r="1515" spans="1:3">
      <c r="A1515">
        <v>8083</v>
      </c>
      <c r="B1515" t="s">
        <v>507</v>
      </c>
      <c r="C1515">
        <v>137</v>
      </c>
    </row>
    <row r="1516" spans="1:3">
      <c r="A1516">
        <v>8084</v>
      </c>
      <c r="B1516" t="s">
        <v>1796</v>
      </c>
      <c r="C1516">
        <v>22.8</v>
      </c>
    </row>
    <row r="1517" spans="1:3">
      <c r="A1517">
        <v>8085</v>
      </c>
      <c r="B1517" t="s">
        <v>508</v>
      </c>
      <c r="C1517">
        <v>4.0199999999999996</v>
      </c>
    </row>
    <row r="1518" spans="1:3">
      <c r="A1518">
        <v>8086</v>
      </c>
      <c r="B1518" t="s">
        <v>1797</v>
      </c>
      <c r="C1518">
        <v>98.9</v>
      </c>
    </row>
    <row r="1519" spans="1:3">
      <c r="A1519">
        <v>8087</v>
      </c>
      <c r="B1519" t="s">
        <v>509</v>
      </c>
      <c r="C1519">
        <v>7.59</v>
      </c>
    </row>
    <row r="1520" spans="1:3">
      <c r="A1520">
        <v>8088</v>
      </c>
      <c r="B1520" t="s">
        <v>510</v>
      </c>
      <c r="C1520">
        <v>17.05</v>
      </c>
    </row>
    <row r="1521" spans="1:3">
      <c r="A1521">
        <v>8091</v>
      </c>
      <c r="B1521" t="s">
        <v>1798</v>
      </c>
      <c r="C1521">
        <v>65.400000000000006</v>
      </c>
    </row>
    <row r="1522" spans="1:3">
      <c r="A1522">
        <v>8092</v>
      </c>
      <c r="B1522" t="s">
        <v>1799</v>
      </c>
      <c r="C1522">
        <v>7.19</v>
      </c>
    </row>
    <row r="1523" spans="1:3">
      <c r="A1523">
        <v>8093</v>
      </c>
      <c r="B1523" t="s">
        <v>1800</v>
      </c>
      <c r="C1523">
        <v>5.79</v>
      </c>
    </row>
    <row r="1524" spans="1:3">
      <c r="A1524">
        <v>8096</v>
      </c>
      <c r="B1524" t="s">
        <v>1801</v>
      </c>
      <c r="C1524">
        <v>22.05</v>
      </c>
    </row>
    <row r="1525" spans="1:3">
      <c r="A1525">
        <v>8097</v>
      </c>
      <c r="B1525" t="s">
        <v>1802</v>
      </c>
      <c r="C1525">
        <v>0</v>
      </c>
    </row>
    <row r="1526" spans="1:3">
      <c r="A1526">
        <v>8099</v>
      </c>
      <c r="B1526" t="s">
        <v>1803</v>
      </c>
      <c r="C1526">
        <v>16.850000000000001</v>
      </c>
    </row>
    <row r="1527" spans="1:3">
      <c r="A1527">
        <v>8107</v>
      </c>
      <c r="B1527" t="s">
        <v>511</v>
      </c>
      <c r="C1527">
        <v>18.8</v>
      </c>
    </row>
    <row r="1528" spans="1:3">
      <c r="A1528">
        <v>8109</v>
      </c>
      <c r="B1528" t="s">
        <v>1804</v>
      </c>
      <c r="C1528">
        <v>62.7</v>
      </c>
    </row>
    <row r="1529" spans="1:3">
      <c r="A1529">
        <v>8111</v>
      </c>
      <c r="B1529" t="s">
        <v>1805</v>
      </c>
      <c r="C1529">
        <v>4.25</v>
      </c>
    </row>
    <row r="1530" spans="1:3">
      <c r="A1530">
        <v>8121</v>
      </c>
      <c r="B1530" t="s">
        <v>1806</v>
      </c>
      <c r="C1530">
        <v>17</v>
      </c>
    </row>
    <row r="1531" spans="1:3">
      <c r="A1531">
        <v>8147</v>
      </c>
      <c r="B1531" t="s">
        <v>1807</v>
      </c>
      <c r="C1531">
        <v>49.45</v>
      </c>
    </row>
    <row r="1532" spans="1:3">
      <c r="A1532">
        <v>8155</v>
      </c>
      <c r="B1532" t="s">
        <v>1808</v>
      </c>
      <c r="C1532">
        <v>18.5</v>
      </c>
    </row>
    <row r="1533" spans="1:3">
      <c r="A1533">
        <v>8171</v>
      </c>
      <c r="B1533" t="s">
        <v>1809</v>
      </c>
      <c r="C1533">
        <v>12.4</v>
      </c>
    </row>
    <row r="1534" spans="1:3">
      <c r="A1534">
        <v>8176</v>
      </c>
      <c r="B1534" t="s">
        <v>1810</v>
      </c>
      <c r="C1534">
        <v>9.4</v>
      </c>
    </row>
    <row r="1535" spans="1:3">
      <c r="A1535">
        <v>8182</v>
      </c>
      <c r="B1535" t="s">
        <v>1811</v>
      </c>
      <c r="C1535">
        <v>12.5</v>
      </c>
    </row>
    <row r="1536" spans="1:3">
      <c r="A1536">
        <v>8183</v>
      </c>
      <c r="B1536" t="s">
        <v>1812</v>
      </c>
      <c r="C1536">
        <v>5.46</v>
      </c>
    </row>
    <row r="1537" spans="1:3">
      <c r="A1537">
        <v>8234</v>
      </c>
      <c r="B1537" t="s">
        <v>512</v>
      </c>
      <c r="C1537">
        <v>30.3</v>
      </c>
    </row>
    <row r="1538" spans="1:3">
      <c r="A1538">
        <v>8240</v>
      </c>
      <c r="B1538" t="s">
        <v>1813</v>
      </c>
      <c r="C1538">
        <v>19.3</v>
      </c>
    </row>
    <row r="1539" spans="1:3">
      <c r="A1539">
        <v>8255</v>
      </c>
      <c r="B1539" t="s">
        <v>1814</v>
      </c>
      <c r="C1539">
        <v>116.5</v>
      </c>
    </row>
    <row r="1540" spans="1:3">
      <c r="A1540">
        <v>8266</v>
      </c>
      <c r="B1540" t="s">
        <v>1815</v>
      </c>
      <c r="C1540">
        <v>25.2</v>
      </c>
    </row>
    <row r="1541" spans="1:3">
      <c r="A1541">
        <v>8277</v>
      </c>
      <c r="B1541" t="s">
        <v>1816</v>
      </c>
      <c r="C1541">
        <v>7.95</v>
      </c>
    </row>
    <row r="1542" spans="1:3">
      <c r="A1542">
        <v>8287</v>
      </c>
      <c r="B1542" t="s">
        <v>1817</v>
      </c>
      <c r="C1542">
        <v>16.149999999999999</v>
      </c>
    </row>
    <row r="1543" spans="1:3">
      <c r="A1543">
        <v>8289</v>
      </c>
      <c r="B1543" t="s">
        <v>1818</v>
      </c>
      <c r="C1543">
        <v>11.05</v>
      </c>
    </row>
    <row r="1544" spans="1:3">
      <c r="A1544">
        <v>8291</v>
      </c>
      <c r="B1544" t="s">
        <v>1819</v>
      </c>
      <c r="C1544">
        <v>4.8099999999999996</v>
      </c>
    </row>
    <row r="1545" spans="1:3">
      <c r="A1545">
        <v>8299</v>
      </c>
      <c r="B1545" t="s">
        <v>1820</v>
      </c>
      <c r="C1545">
        <v>252</v>
      </c>
    </row>
    <row r="1546" spans="1:3">
      <c r="A1546">
        <v>8349</v>
      </c>
      <c r="B1546" t="s">
        <v>1821</v>
      </c>
      <c r="C1546">
        <v>84</v>
      </c>
    </row>
    <row r="1547" spans="1:3">
      <c r="A1547">
        <v>8354</v>
      </c>
      <c r="B1547" t="s">
        <v>1822</v>
      </c>
      <c r="C1547">
        <v>15.2</v>
      </c>
    </row>
    <row r="1548" spans="1:3">
      <c r="A1548">
        <v>8358</v>
      </c>
      <c r="B1548" t="s">
        <v>1823</v>
      </c>
      <c r="C1548">
        <v>8.69</v>
      </c>
    </row>
    <row r="1549" spans="1:3">
      <c r="A1549">
        <v>8383</v>
      </c>
      <c r="B1549" t="s">
        <v>513</v>
      </c>
      <c r="C1549">
        <v>54.3</v>
      </c>
    </row>
    <row r="1550" spans="1:3">
      <c r="A1550">
        <v>8390</v>
      </c>
      <c r="B1550" t="s">
        <v>1824</v>
      </c>
      <c r="C1550">
        <v>14.5</v>
      </c>
    </row>
    <row r="1551" spans="1:3">
      <c r="A1551">
        <v>8401</v>
      </c>
      <c r="B1551" t="s">
        <v>1825</v>
      </c>
      <c r="C1551">
        <v>11.9</v>
      </c>
    </row>
    <row r="1552" spans="1:3">
      <c r="A1552">
        <v>8403</v>
      </c>
      <c r="B1552" t="s">
        <v>1826</v>
      </c>
      <c r="C1552">
        <v>50.6</v>
      </c>
    </row>
    <row r="1553" spans="1:3">
      <c r="A1553">
        <v>8406</v>
      </c>
      <c r="B1553" t="s">
        <v>1827</v>
      </c>
      <c r="C1553">
        <v>422</v>
      </c>
    </row>
    <row r="1554" spans="1:3">
      <c r="A1554">
        <v>8409</v>
      </c>
      <c r="B1554" t="s">
        <v>1828</v>
      </c>
      <c r="C1554">
        <v>31.7</v>
      </c>
    </row>
    <row r="1555" spans="1:3">
      <c r="A1555">
        <v>8410</v>
      </c>
      <c r="B1555" t="s">
        <v>514</v>
      </c>
      <c r="C1555">
        <v>20.2</v>
      </c>
    </row>
    <row r="1556" spans="1:3">
      <c r="A1556">
        <v>8416</v>
      </c>
      <c r="B1556" t="s">
        <v>515</v>
      </c>
      <c r="C1556">
        <v>102.5</v>
      </c>
    </row>
    <row r="1557" spans="1:3">
      <c r="A1557">
        <v>8418</v>
      </c>
      <c r="B1557" t="s">
        <v>1829</v>
      </c>
      <c r="C1557">
        <v>13.8</v>
      </c>
    </row>
    <row r="1558" spans="1:3">
      <c r="A1558">
        <v>8420</v>
      </c>
      <c r="B1558" t="s">
        <v>516</v>
      </c>
      <c r="C1558">
        <v>23</v>
      </c>
    </row>
    <row r="1559" spans="1:3">
      <c r="A1559">
        <v>8421</v>
      </c>
      <c r="B1559" t="s">
        <v>517</v>
      </c>
      <c r="C1559">
        <v>13</v>
      </c>
    </row>
    <row r="1560" spans="1:3">
      <c r="A1560">
        <v>8423</v>
      </c>
      <c r="B1560" t="s">
        <v>1830</v>
      </c>
      <c r="C1560">
        <v>23.85</v>
      </c>
    </row>
    <row r="1561" spans="1:3">
      <c r="A1561">
        <v>8424</v>
      </c>
      <c r="B1561" t="s">
        <v>518</v>
      </c>
      <c r="C1561">
        <v>39.4</v>
      </c>
    </row>
    <row r="1562" spans="1:3">
      <c r="A1562">
        <v>8426</v>
      </c>
      <c r="B1562" t="s">
        <v>1831</v>
      </c>
      <c r="C1562">
        <v>26.55</v>
      </c>
    </row>
    <row r="1563" spans="1:3">
      <c r="A1563">
        <v>8431</v>
      </c>
      <c r="B1563" t="s">
        <v>519</v>
      </c>
      <c r="C1563">
        <v>74.2</v>
      </c>
    </row>
    <row r="1564" spans="1:3">
      <c r="A1564">
        <v>8432</v>
      </c>
      <c r="B1564" t="s">
        <v>520</v>
      </c>
      <c r="C1564">
        <v>76.8</v>
      </c>
    </row>
    <row r="1565" spans="1:3">
      <c r="A1565">
        <v>8433</v>
      </c>
      <c r="B1565" t="s">
        <v>521</v>
      </c>
      <c r="C1565">
        <v>137</v>
      </c>
    </row>
    <row r="1566" spans="1:3">
      <c r="A1566">
        <v>8435</v>
      </c>
      <c r="B1566" t="s">
        <v>522</v>
      </c>
      <c r="C1566">
        <v>47.5</v>
      </c>
    </row>
    <row r="1567" spans="1:3">
      <c r="A1567">
        <v>8436</v>
      </c>
      <c r="B1567" t="s">
        <v>1832</v>
      </c>
      <c r="C1567">
        <v>110</v>
      </c>
    </row>
    <row r="1568" spans="1:3">
      <c r="A1568">
        <v>8437</v>
      </c>
      <c r="B1568" t="s">
        <v>1833</v>
      </c>
      <c r="C1568">
        <v>138</v>
      </c>
    </row>
    <row r="1569" spans="1:3">
      <c r="A1569">
        <v>8444</v>
      </c>
      <c r="B1569" t="s">
        <v>1892</v>
      </c>
      <c r="C1569">
        <v>77</v>
      </c>
    </row>
    <row r="1570" spans="1:3">
      <c r="A1570">
        <v>8446</v>
      </c>
      <c r="B1570" t="s">
        <v>1834</v>
      </c>
      <c r="C1570">
        <v>123</v>
      </c>
    </row>
    <row r="1571" spans="1:3">
      <c r="A1571">
        <v>8450</v>
      </c>
      <c r="B1571" t="s">
        <v>523</v>
      </c>
      <c r="C1571">
        <v>83.2</v>
      </c>
    </row>
    <row r="1572" spans="1:3">
      <c r="A1572">
        <v>8905</v>
      </c>
      <c r="B1572" t="s">
        <v>1835</v>
      </c>
      <c r="C1572">
        <v>14.85</v>
      </c>
    </row>
    <row r="1573" spans="1:3">
      <c r="A1573">
        <v>8906</v>
      </c>
      <c r="B1573" t="s">
        <v>1836</v>
      </c>
      <c r="C1573">
        <v>7.32</v>
      </c>
    </row>
    <row r="1574" spans="1:3">
      <c r="A1574">
        <v>8908</v>
      </c>
      <c r="B1574" t="s">
        <v>524</v>
      </c>
      <c r="C1574">
        <v>36.299999999999997</v>
      </c>
    </row>
    <row r="1575" spans="1:3">
      <c r="A1575">
        <v>8913</v>
      </c>
      <c r="B1575" t="s">
        <v>525</v>
      </c>
      <c r="C1575">
        <v>15.15</v>
      </c>
    </row>
    <row r="1576" spans="1:3">
      <c r="A1576">
        <v>8916</v>
      </c>
      <c r="B1576" t="s">
        <v>526</v>
      </c>
      <c r="C1576">
        <v>62.6</v>
      </c>
    </row>
    <row r="1577" spans="1:3">
      <c r="A1577">
        <v>8917</v>
      </c>
      <c r="B1577" t="s">
        <v>527</v>
      </c>
      <c r="C1577">
        <v>50</v>
      </c>
    </row>
    <row r="1578" spans="1:3">
      <c r="A1578">
        <v>8921</v>
      </c>
      <c r="B1578" t="s">
        <v>1837</v>
      </c>
      <c r="C1578">
        <v>18.7</v>
      </c>
    </row>
    <row r="1579" spans="1:3">
      <c r="A1579">
        <v>8923</v>
      </c>
      <c r="B1579" t="s">
        <v>1838</v>
      </c>
      <c r="C1579">
        <v>17</v>
      </c>
    </row>
    <row r="1580" spans="1:3">
      <c r="A1580">
        <v>8924</v>
      </c>
      <c r="B1580" t="s">
        <v>1839</v>
      </c>
      <c r="C1580">
        <v>19.899999999999999</v>
      </c>
    </row>
    <row r="1581" spans="1:3">
      <c r="A1581">
        <v>8927</v>
      </c>
      <c r="B1581" t="s">
        <v>528</v>
      </c>
      <c r="C1581">
        <v>9.9499999999999993</v>
      </c>
    </row>
    <row r="1582" spans="1:3">
      <c r="A1582">
        <v>8928</v>
      </c>
      <c r="B1582" t="s">
        <v>529</v>
      </c>
      <c r="C1582">
        <v>42.1</v>
      </c>
    </row>
    <row r="1583" spans="1:3">
      <c r="A1583">
        <v>8929</v>
      </c>
      <c r="B1583" t="s">
        <v>530</v>
      </c>
      <c r="C1583">
        <v>23.5</v>
      </c>
    </row>
    <row r="1584" spans="1:3">
      <c r="A1584">
        <v>8930</v>
      </c>
      <c r="B1584" t="s">
        <v>531</v>
      </c>
      <c r="C1584">
        <v>9.0399999999999991</v>
      </c>
    </row>
    <row r="1585" spans="1:3">
      <c r="A1585">
        <v>8931</v>
      </c>
      <c r="B1585" t="s">
        <v>1841</v>
      </c>
      <c r="C1585">
        <v>20.9</v>
      </c>
    </row>
    <row r="1586" spans="1:3">
      <c r="A1586">
        <v>8932</v>
      </c>
      <c r="B1586" t="s">
        <v>1842</v>
      </c>
      <c r="C1586">
        <v>9.4</v>
      </c>
    </row>
    <row r="1587" spans="1:3">
      <c r="A1587">
        <v>8933</v>
      </c>
      <c r="B1587" t="s">
        <v>1843</v>
      </c>
      <c r="C1587">
        <v>16.8</v>
      </c>
    </row>
    <row r="1588" spans="1:3">
      <c r="A1588">
        <v>8934</v>
      </c>
      <c r="B1588" t="s">
        <v>1844</v>
      </c>
      <c r="C1588">
        <v>0</v>
      </c>
    </row>
    <row r="1589" spans="1:3">
      <c r="A1589">
        <v>8935</v>
      </c>
      <c r="B1589" t="s">
        <v>532</v>
      </c>
      <c r="C1589">
        <v>6.35</v>
      </c>
    </row>
    <row r="1590" spans="1:3">
      <c r="A1590">
        <v>8936</v>
      </c>
      <c r="B1590" t="s">
        <v>1845</v>
      </c>
      <c r="C1590">
        <v>40.5</v>
      </c>
    </row>
    <row r="1591" spans="1:3">
      <c r="A1591">
        <v>8937</v>
      </c>
      <c r="B1591" t="s">
        <v>1846</v>
      </c>
      <c r="C1591">
        <v>12.2</v>
      </c>
    </row>
    <row r="1592" spans="1:3">
      <c r="A1592">
        <v>8938</v>
      </c>
      <c r="B1592" t="s">
        <v>533</v>
      </c>
      <c r="C1592">
        <v>20.05</v>
      </c>
    </row>
    <row r="1593" spans="1:3">
      <c r="A1593">
        <v>8941</v>
      </c>
      <c r="B1593" t="s">
        <v>534</v>
      </c>
      <c r="C1593">
        <v>91</v>
      </c>
    </row>
    <row r="1594" spans="1:3">
      <c r="A1594">
        <v>8942</v>
      </c>
      <c r="B1594" t="s">
        <v>1847</v>
      </c>
      <c r="C1594">
        <v>87.1</v>
      </c>
    </row>
    <row r="1595" spans="1:3">
      <c r="A1595">
        <v>911613</v>
      </c>
      <c r="B1595" t="s">
        <v>1848</v>
      </c>
      <c r="C1595">
        <v>0</v>
      </c>
    </row>
    <row r="1596" spans="1:3">
      <c r="A1596">
        <v>9949</v>
      </c>
      <c r="B1596" t="s">
        <v>535</v>
      </c>
      <c r="C1596">
        <v>13</v>
      </c>
    </row>
    <row r="1597" spans="1:3">
      <c r="A1597">
        <v>9950</v>
      </c>
      <c r="B1597" t="s">
        <v>1849</v>
      </c>
      <c r="C1597">
        <v>19.649999999999999</v>
      </c>
    </row>
    <row r="1598" spans="1:3">
      <c r="A1598">
        <v>9951</v>
      </c>
      <c r="B1598" t="s">
        <v>1850</v>
      </c>
      <c r="C1598">
        <v>156</v>
      </c>
    </row>
    <row r="1599" spans="1:3">
      <c r="A1599">
        <v>9960</v>
      </c>
      <c r="B1599" t="s">
        <v>536</v>
      </c>
      <c r="C1599">
        <v>19.100000000000001</v>
      </c>
    </row>
    <row r="1600" spans="1:3">
      <c r="A1600">
        <v>9962</v>
      </c>
      <c r="B1600" t="s">
        <v>1851</v>
      </c>
      <c r="C1600">
        <v>7.58</v>
      </c>
    </row>
  </sheetData>
  <phoneticPr fontId="2" type="noConversion"/>
  <pageMargins left="0.7" right="0.7" top="0.75" bottom="0.75" header="0.3" footer="0.3"/>
  <legacyDrawing r:id="rId1"/>
  <controls>
    <control shapeId="22529" r:id="rId2" name="CommandButton1"/>
  </controls>
</worksheet>
</file>

<file path=xl/worksheets/sheet3.xml><?xml version="1.0" encoding="utf-8"?>
<worksheet xmlns="http://schemas.openxmlformats.org/spreadsheetml/2006/main" xmlns:r="http://schemas.openxmlformats.org/officeDocument/2006/relationships">
  <sheetPr codeName="B紅綠燈"/>
  <dimension ref="A1:AE340"/>
  <sheetViews>
    <sheetView zoomScale="55" zoomScaleNormal="55" workbookViewId="0">
      <pane xSplit="11" ySplit="1" topLeftCell="L2" activePane="bottomRight" state="frozen"/>
      <selection pane="topRight" activeCell="L1" sqref="L1"/>
      <selection pane="bottomLeft" activeCell="A2" sqref="A2"/>
      <selection pane="bottomRight" activeCell="AA1" sqref="AA1"/>
    </sheetView>
  </sheetViews>
  <sheetFormatPr defaultRowHeight="16.5"/>
  <cols>
    <col min="1" max="1" width="10.625" style="3" customWidth="1"/>
    <col min="2" max="2" width="58.125" style="3" customWidth="1"/>
    <col min="3" max="3" width="10.625" style="3" customWidth="1"/>
    <col min="4" max="4" width="1.125" style="3" customWidth="1"/>
    <col min="5" max="5" width="10.625" style="3" customWidth="1"/>
    <col min="6" max="9" width="14.625" style="3" customWidth="1"/>
    <col min="10" max="10" width="10.625" style="3" customWidth="1"/>
    <col min="11" max="13" width="0.375" style="3" customWidth="1"/>
    <col min="14" max="14" width="15" hidden="1" customWidth="1"/>
    <col min="15" max="22" width="7.625" customWidth="1"/>
    <col min="23" max="24" width="6.5" hidden="1" customWidth="1"/>
    <col min="25" max="26" width="0.5" customWidth="1"/>
    <col min="27" max="27" width="5.5" style="62" hidden="1" customWidth="1"/>
    <col min="28" max="28" width="18.875" customWidth="1"/>
    <col min="29" max="29" width="16" bestFit="1" customWidth="1"/>
    <col min="30" max="30" width="14.5" customWidth="1"/>
  </cols>
  <sheetData>
    <row r="1" spans="1:31" ht="27.95" customHeight="1" thickBot="1">
      <c r="A1" s="387" t="s">
        <v>2057</v>
      </c>
      <c r="B1" s="388" t="s">
        <v>2062</v>
      </c>
      <c r="C1" s="389">
        <v>24</v>
      </c>
      <c r="D1" s="1"/>
      <c r="E1" s="1"/>
      <c r="F1" s="1"/>
      <c r="G1" s="13"/>
      <c r="H1" s="1"/>
      <c r="I1" s="1"/>
      <c r="J1" s="2"/>
      <c r="M1" s="8"/>
      <c r="N1" s="183"/>
      <c r="O1" s="318">
        <v>0</v>
      </c>
      <c r="P1" s="209">
        <v>1</v>
      </c>
      <c r="Q1" s="209">
        <v>0</v>
      </c>
      <c r="R1" s="209">
        <v>0</v>
      </c>
      <c r="S1" s="319">
        <v>1</v>
      </c>
      <c r="T1" s="320" t="str">
        <f>"    合計 " &amp; SUM(O1:S1) &amp; " 分    "</f>
        <v xml:space="preserve">    合計 2 分    </v>
      </c>
      <c r="U1" s="321"/>
      <c r="V1" s="322"/>
      <c r="W1" s="182"/>
      <c r="X1" s="182"/>
      <c r="Y1" s="181"/>
      <c r="Z1" s="8"/>
      <c r="AA1" s="3"/>
      <c r="AB1" s="70"/>
      <c r="AC1" s="70"/>
      <c r="AD1" s="71"/>
    </row>
    <row r="2" spans="1:31" ht="24" customHeight="1">
      <c r="A2" s="119"/>
      <c r="B2" s="210" t="s">
        <v>1880</v>
      </c>
      <c r="C2" s="120"/>
      <c r="D2" s="1"/>
      <c r="E2" s="120"/>
      <c r="F2" s="323" t="s">
        <v>1890</v>
      </c>
      <c r="G2" s="323"/>
      <c r="H2" s="323"/>
      <c r="I2" s="323"/>
      <c r="J2" s="121"/>
      <c r="K2" s="1"/>
      <c r="L2" s="1"/>
      <c r="M2" s="1"/>
      <c r="N2" s="209" t="s">
        <v>0</v>
      </c>
      <c r="O2" s="212" t="s">
        <v>1</v>
      </c>
      <c r="P2" s="213" t="s">
        <v>2</v>
      </c>
      <c r="Q2" s="213" t="s">
        <v>3</v>
      </c>
      <c r="R2" s="213" t="s">
        <v>4</v>
      </c>
      <c r="S2" s="213" t="s">
        <v>5</v>
      </c>
      <c r="T2" s="213" t="s">
        <v>6</v>
      </c>
      <c r="U2" s="213" t="s">
        <v>7</v>
      </c>
      <c r="V2" s="214" t="s">
        <v>8</v>
      </c>
      <c r="W2" s="330" t="s">
        <v>9</v>
      </c>
      <c r="X2" s="330"/>
      <c r="Y2" s="174"/>
      <c r="Z2" s="8"/>
      <c r="AA2" s="3"/>
      <c r="AB2" s="275"/>
      <c r="AC2" s="276"/>
      <c r="AD2" s="277"/>
    </row>
    <row r="3" spans="1:31">
      <c r="A3" s="4"/>
      <c r="B3" s="5"/>
      <c r="C3" s="5"/>
      <c r="D3" s="8"/>
      <c r="E3" s="5"/>
      <c r="F3" s="5"/>
      <c r="G3" s="5"/>
      <c r="H3" s="5"/>
      <c r="I3" s="5"/>
      <c r="J3" s="6"/>
      <c r="K3" s="8"/>
      <c r="L3" s="8"/>
      <c r="M3" s="8"/>
      <c r="N3" s="184" t="s">
        <v>221</v>
      </c>
      <c r="O3" s="215">
        <f>VLOOKUP("營業收入淨額",$B$40:$L$500,9,0)</f>
        <v>1513</v>
      </c>
      <c r="P3" s="216">
        <f>VLOOKUP("營業收入淨額",$B$40:$L$500,8,0)</f>
        <v>1386</v>
      </c>
      <c r="Q3" s="216">
        <f>VLOOKUP("營業收入淨額",$B$40:$L$500,7,0)</f>
        <v>1629</v>
      </c>
      <c r="R3" s="216">
        <f>VLOOKUP("營業收入淨額",$B$40:$L$500,6,0)</f>
        <v>1510</v>
      </c>
      <c r="S3" s="216">
        <f>VLOOKUP("營業收入淨額",$B$40:$L$500,5,0)</f>
        <v>1758</v>
      </c>
      <c r="T3" s="216">
        <f>VLOOKUP("營業收入淨額",$B$40:$L$500,4,0)</f>
        <v>1651</v>
      </c>
      <c r="U3" s="216">
        <f>VLOOKUP("營業收入淨額",$B$40:$L$500,3,0)</f>
        <v>1858</v>
      </c>
      <c r="V3" s="217">
        <f>VLOOKUP("營業收入淨額",$B$40:$L$500,2,0)</f>
        <v>1728</v>
      </c>
      <c r="W3" s="174">
        <f>MAX(O3:V3)</f>
        <v>1858</v>
      </c>
      <c r="X3" s="174"/>
      <c r="Y3" s="174"/>
      <c r="Z3" s="8"/>
      <c r="AA3" s="3"/>
      <c r="AB3" s="278"/>
      <c r="AC3" s="279"/>
      <c r="AD3" s="280"/>
    </row>
    <row r="4" spans="1:31">
      <c r="A4" s="4"/>
      <c r="B4" s="189"/>
      <c r="C4" s="5"/>
      <c r="D4" s="8"/>
      <c r="E4" s="5"/>
      <c r="F4" s="332"/>
      <c r="G4" s="332"/>
      <c r="H4" s="332"/>
      <c r="I4" s="332"/>
      <c r="J4" s="6"/>
      <c r="K4" s="8"/>
      <c r="L4" s="8"/>
      <c r="M4" s="8"/>
      <c r="N4" s="184" t="s">
        <v>11</v>
      </c>
      <c r="O4" s="215">
        <f>VLOOKUP("營業成本",$B$40:$L$500,9,0)</f>
        <v>172</v>
      </c>
      <c r="P4" s="216">
        <f>VLOOKUP("營業成本",$B$40:$L$500,8,0)</f>
        <v>156</v>
      </c>
      <c r="Q4" s="216">
        <f>VLOOKUP("營業成本",$B$40:$L$500,7,0)</f>
        <v>205</v>
      </c>
      <c r="R4" s="216">
        <f>VLOOKUP("營業成本",$B$40:$L$500,6,0)</f>
        <v>176</v>
      </c>
      <c r="S4" s="216">
        <f>VLOOKUP("營業成本",$B$40:$L$500,5,0)</f>
        <v>185</v>
      </c>
      <c r="T4" s="216">
        <f>VLOOKUP("營業成本",$B$40:$L$500,4,0)</f>
        <v>192</v>
      </c>
      <c r="U4" s="216">
        <f>VLOOKUP("營業成本",$B$40:$L$500,3,0)</f>
        <v>224</v>
      </c>
      <c r="V4" s="217">
        <f>VLOOKUP("營業成本",$B$40:$L$500,2,0)</f>
        <v>215</v>
      </c>
      <c r="W4" s="174"/>
      <c r="X4" s="174"/>
      <c r="Y4" s="174"/>
      <c r="Z4" s="8"/>
      <c r="AA4" s="3"/>
      <c r="AB4" s="278"/>
      <c r="AC4" s="281"/>
      <c r="AD4" s="280"/>
      <c r="AE4" s="68"/>
    </row>
    <row r="5" spans="1:31">
      <c r="A5" s="4"/>
      <c r="B5" s="5"/>
      <c r="C5" s="5"/>
      <c r="D5" s="8"/>
      <c r="E5" s="5"/>
      <c r="F5" s="5"/>
      <c r="G5" s="5"/>
      <c r="H5" s="5"/>
      <c r="I5" s="5"/>
      <c r="J5" s="6"/>
      <c r="K5" s="8"/>
      <c r="L5" s="8"/>
      <c r="M5" s="8"/>
      <c r="N5" s="184" t="s">
        <v>223</v>
      </c>
      <c r="O5" s="215">
        <f>VLOOKUP("營業利益",$B$40:$L$500,9,0)</f>
        <v>422</v>
      </c>
      <c r="P5" s="216">
        <f>VLOOKUP("營業利益",$B$40:$L$500,8,0)</f>
        <v>338</v>
      </c>
      <c r="Q5" s="216">
        <f>VLOOKUP("營業利益",$B$40:$L$500,7,0)</f>
        <v>378</v>
      </c>
      <c r="R5" s="216">
        <f>VLOOKUP("營業利益",$B$40:$L$500,6,0)</f>
        <v>402</v>
      </c>
      <c r="S5" s="216">
        <f>VLOOKUP("營業利益",$B$40:$L$500,5,0)</f>
        <v>482</v>
      </c>
      <c r="T5" s="216">
        <f>VLOOKUP("營業利益",$B$40:$L$500,4,0)</f>
        <v>399</v>
      </c>
      <c r="U5" s="216">
        <f>VLOOKUP("營業利益",$B$40:$L$500,3,0)</f>
        <v>428</v>
      </c>
      <c r="V5" s="217">
        <f>VLOOKUP("營業利益",$B$40:$L$500,2,0)</f>
        <v>457</v>
      </c>
      <c r="W5" s="174"/>
      <c r="X5" s="174"/>
      <c r="Y5" s="174"/>
      <c r="Z5" s="8"/>
      <c r="AA5" s="3"/>
      <c r="AB5" s="278"/>
      <c r="AC5" s="282"/>
      <c r="AD5" s="280"/>
    </row>
    <row r="6" spans="1:31">
      <c r="A6" s="4"/>
      <c r="B6" s="189"/>
      <c r="C6" s="5"/>
      <c r="D6" s="8"/>
      <c r="E6" s="5"/>
      <c r="F6" s="332"/>
      <c r="G6" s="332"/>
      <c r="H6" s="332"/>
      <c r="I6" s="332"/>
      <c r="J6" s="6"/>
      <c r="K6" s="8"/>
      <c r="L6" s="8"/>
      <c r="M6" s="8"/>
      <c r="N6" s="184" t="s">
        <v>12</v>
      </c>
      <c r="O6" s="215">
        <f>VLOOKUP("營業外收入合計",$B$40:$L$500,9,0)</f>
        <v>26</v>
      </c>
      <c r="P6" s="216">
        <f>VLOOKUP("營業外收入合計",$B$40:$L$500,8,0)</f>
        <v>16</v>
      </c>
      <c r="Q6" s="216">
        <f>VLOOKUP("營業外收入合計",$B$40:$L$500,7,0)</f>
        <v>19</v>
      </c>
      <c r="R6" s="216">
        <f>VLOOKUP("營業外收入合計",$B$40:$L$500,6,0)</f>
        <v>21</v>
      </c>
      <c r="S6" s="216">
        <f>VLOOKUP("營業外收入合計",$B$40:$L$500,5,0)</f>
        <v>41</v>
      </c>
      <c r="T6" s="216">
        <f>VLOOKUP("營業外收入合計",$B$40:$L$500,4,0)</f>
        <v>21</v>
      </c>
      <c r="U6" s="216">
        <f>VLOOKUP("營業外收入合計",$B$40:$L$500,3,0)</f>
        <v>23</v>
      </c>
      <c r="V6" s="217">
        <f>VLOOKUP("營業外收入合計",$B$40:$L$500,2,0)</f>
        <v>25</v>
      </c>
      <c r="W6" s="174"/>
      <c r="X6" s="174"/>
      <c r="Y6" s="174"/>
      <c r="Z6" s="8"/>
      <c r="AA6" s="3"/>
      <c r="AB6" s="283"/>
      <c r="AC6" s="279"/>
      <c r="AD6" s="280"/>
    </row>
    <row r="7" spans="1:31">
      <c r="A7" s="4"/>
      <c r="B7" s="5"/>
      <c r="C7" s="5"/>
      <c r="D7" s="8"/>
      <c r="E7" s="5"/>
      <c r="F7" s="5"/>
      <c r="G7" s="5"/>
      <c r="H7" s="5"/>
      <c r="I7" s="5"/>
      <c r="J7" s="6"/>
      <c r="K7" s="8"/>
      <c r="L7" s="8"/>
      <c r="M7" s="8"/>
      <c r="N7" s="184" t="s">
        <v>202</v>
      </c>
      <c r="O7" s="215">
        <f>VLOOKUP("稅前淨利",$B$40:$L$500,9,0)</f>
        <v>448</v>
      </c>
      <c r="P7" s="216">
        <f>VLOOKUP("稅前淨利",$B$40:$L$500,8,0)</f>
        <v>351</v>
      </c>
      <c r="Q7" s="216">
        <f>VLOOKUP("稅前淨利",$B$40:$L$500,7,0)</f>
        <v>387</v>
      </c>
      <c r="R7" s="216">
        <f>VLOOKUP("稅前淨利",$B$40:$L$500,6,0)</f>
        <v>430</v>
      </c>
      <c r="S7" s="216">
        <f>VLOOKUP("稅前淨利",$B$40:$L$500,5,0)</f>
        <v>521</v>
      </c>
      <c r="T7" s="216">
        <f>VLOOKUP("稅前淨利",$B$40:$L$500,4,0)</f>
        <v>419</v>
      </c>
      <c r="U7" s="216">
        <f>VLOOKUP("稅前淨利",$B$40:$L$500,3,0)</f>
        <v>448</v>
      </c>
      <c r="V7" s="217">
        <f>VLOOKUP("稅前淨利",$B$40:$L$500,2,0)</f>
        <v>472</v>
      </c>
      <c r="W7" s="174"/>
      <c r="X7" s="174"/>
      <c r="Y7" s="174"/>
      <c r="Z7" s="8"/>
      <c r="AA7" s="3"/>
      <c r="AB7" s="278"/>
      <c r="AC7" s="284"/>
      <c r="AD7" s="285"/>
    </row>
    <row r="8" spans="1:31">
      <c r="A8" s="4"/>
      <c r="B8" s="189"/>
      <c r="C8" s="5"/>
      <c r="D8" s="8"/>
      <c r="E8" s="5"/>
      <c r="F8" s="332"/>
      <c r="G8" s="332"/>
      <c r="H8" s="332"/>
      <c r="I8" s="332"/>
      <c r="J8" s="6"/>
      <c r="K8" s="8"/>
      <c r="L8" s="8"/>
      <c r="M8" s="8"/>
      <c r="N8" s="184" t="s">
        <v>13</v>
      </c>
      <c r="O8" s="215">
        <f>VLOOKUP("本期稅後淨利",$B$40:$L$500,9,0)</f>
        <v>256</v>
      </c>
      <c r="P8" s="216">
        <f>VLOOKUP("本期稅後淨利",$B$40:$L$500,8,0)</f>
        <v>195</v>
      </c>
      <c r="Q8" s="216">
        <f>VLOOKUP("本期稅後淨利",$B$40:$L$500,7,0)</f>
        <v>211</v>
      </c>
      <c r="R8" s="216">
        <f>VLOOKUP("本期稅後淨利",$B$40:$L$500,6,0)</f>
        <v>246</v>
      </c>
      <c r="S8" s="216">
        <f>VLOOKUP("本期稅後淨利",$B$40:$L$500,5,0)</f>
        <v>291</v>
      </c>
      <c r="T8" s="216">
        <f>VLOOKUP("本期稅後淨利",$B$40:$L$500,4,0)</f>
        <v>238</v>
      </c>
      <c r="U8" s="216">
        <f>VLOOKUP("本期稅後淨利",$B$40:$L$500,3,0)</f>
        <v>244</v>
      </c>
      <c r="V8" s="217">
        <f>VLOOKUP("本期稅後淨利",$B$40:$L$500,2,0)</f>
        <v>262</v>
      </c>
      <c r="W8" s="174"/>
      <c r="X8" s="174"/>
      <c r="Y8" s="174"/>
      <c r="Z8" s="8"/>
      <c r="AA8" s="3"/>
      <c r="AB8" s="278"/>
      <c r="AC8" s="284"/>
      <c r="AD8" s="280"/>
    </row>
    <row r="9" spans="1:31">
      <c r="A9" s="4"/>
      <c r="B9" s="5"/>
      <c r="C9" s="5"/>
      <c r="D9" s="8"/>
      <c r="E9" s="5"/>
      <c r="F9" s="5"/>
      <c r="G9" s="5"/>
      <c r="H9" s="5"/>
      <c r="I9" s="5"/>
      <c r="J9" s="6"/>
      <c r="K9" s="8"/>
      <c r="L9" s="8"/>
      <c r="M9" s="8"/>
      <c r="N9" s="184" t="s">
        <v>14</v>
      </c>
      <c r="O9" s="215">
        <f>VLOOKUP("每股盈餘 (元)",$B$40:$L$500,9,0)</f>
        <v>1.96</v>
      </c>
      <c r="P9" s="216">
        <f>VLOOKUP("每股盈餘 (元)",$B$40:$L$500,8,0)</f>
        <v>1.49</v>
      </c>
      <c r="Q9" s="216">
        <f>VLOOKUP("每股盈餘 (元)",$B$40:$L$500,7,0)</f>
        <v>1.62</v>
      </c>
      <c r="R9" s="216">
        <f>VLOOKUP("每股盈餘 (元)",$B$40:$L$500,6,0)</f>
        <v>1.89</v>
      </c>
      <c r="S9" s="216">
        <f>VLOOKUP("每股盈餘 (元)",$B$40:$L$500,5,0)</f>
        <v>2.2400000000000002</v>
      </c>
      <c r="T9" s="216">
        <f>VLOOKUP("每股盈餘 (元)",$B$40:$L$500,4,0)</f>
        <v>1.83</v>
      </c>
      <c r="U9" s="216">
        <f>VLOOKUP("每股盈餘 (元)",$B$40:$L$500,3,0)</f>
        <v>1.88</v>
      </c>
      <c r="V9" s="217">
        <f>VLOOKUP("每股盈餘 (元)",$B$40:$L$500,2,0)</f>
        <v>2.0099999999999998</v>
      </c>
      <c r="W9" s="174">
        <f>MAX(R9:V9)</f>
        <v>2.2400000000000002</v>
      </c>
      <c r="X9" s="174"/>
      <c r="Y9" s="174"/>
      <c r="Z9" s="8"/>
      <c r="AA9" s="127"/>
      <c r="AB9" s="278"/>
      <c r="AC9" s="284"/>
      <c r="AD9" s="286"/>
    </row>
    <row r="10" spans="1:31" ht="17.25" thickBot="1">
      <c r="A10" s="4"/>
      <c r="B10" s="189"/>
      <c r="C10" s="5"/>
      <c r="D10" s="8"/>
      <c r="E10" s="5"/>
      <c r="F10" s="332"/>
      <c r="G10" s="332"/>
      <c r="H10" s="332"/>
      <c r="I10" s="332"/>
      <c r="J10" s="6"/>
      <c r="K10" s="8"/>
      <c r="L10" s="8"/>
      <c r="M10" s="8"/>
      <c r="N10" s="184" t="s">
        <v>222</v>
      </c>
      <c r="O10" s="215">
        <f>VLOOKUP(" 應收帳款及票據",$B$40:$L$500,9,0)</f>
        <v>86</v>
      </c>
      <c r="P10" s="216">
        <f>VLOOKUP(" 應收帳款及票據",$B$40:$L$500,8,0)</f>
        <v>93</v>
      </c>
      <c r="Q10" s="216">
        <f>VLOOKUP(" 應收帳款及票據",$B$40:$L$500,7,0)</f>
        <v>90</v>
      </c>
      <c r="R10" s="216">
        <f>VLOOKUP(" 應收帳款及票據",$B$40:$L$500,6,0)</f>
        <v>89</v>
      </c>
      <c r="S10" s="216">
        <f>VLOOKUP(" 應收帳款及票據",$B$40:$L$500,5,0)</f>
        <v>98</v>
      </c>
      <c r="T10" s="216">
        <f>VLOOKUP(" 應收帳款及票據",$B$40:$L$500,4,0)</f>
        <v>101</v>
      </c>
      <c r="U10" s="216">
        <f>VLOOKUP(" 應收帳款及票據",$B$40:$L$500,3,0)</f>
        <v>98</v>
      </c>
      <c r="V10" s="217">
        <f>VLOOKUP(" 應收帳款及票據",$B$40:$L$500,2,0)</f>
        <v>116</v>
      </c>
      <c r="W10" s="174"/>
      <c r="X10" s="174"/>
      <c r="Y10" s="174"/>
      <c r="Z10" s="8"/>
      <c r="AA10" s="127"/>
      <c r="AB10" s="287"/>
      <c r="AC10" s="288"/>
      <c r="AD10" s="289"/>
    </row>
    <row r="11" spans="1:31">
      <c r="A11" s="4"/>
      <c r="B11" s="5"/>
      <c r="C11" s="5"/>
      <c r="D11" s="8"/>
      <c r="E11" s="5"/>
      <c r="F11" s="5"/>
      <c r="G11" s="5"/>
      <c r="H11" s="5"/>
      <c r="I11" s="5"/>
      <c r="J11" s="6"/>
      <c r="K11" s="8"/>
      <c r="L11" s="8"/>
      <c r="M11" s="8"/>
      <c r="N11" s="184" t="s">
        <v>15</v>
      </c>
      <c r="O11" s="215">
        <f>VLOOKUP(" 存貨",$B$40:$L$500,9,0)</f>
        <v>235</v>
      </c>
      <c r="P11" s="216">
        <f>VLOOKUP(" 存貨",$B$40:$L$500,8,0)</f>
        <v>241</v>
      </c>
      <c r="Q11" s="216">
        <f>VLOOKUP(" 存貨",$B$40:$L$500,7,0)</f>
        <v>224</v>
      </c>
      <c r="R11" s="216">
        <f>VLOOKUP(" 存貨",$B$40:$L$500,6,0)</f>
        <v>245</v>
      </c>
      <c r="S11" s="216">
        <f>VLOOKUP(" 存貨",$B$40:$L$500,5,0)</f>
        <v>268</v>
      </c>
      <c r="T11" s="216">
        <f>VLOOKUP(" 存貨",$B$40:$L$500,4,0)</f>
        <v>285</v>
      </c>
      <c r="U11" s="216">
        <f>VLOOKUP(" 存貨",$B$40:$L$500,3,0)</f>
        <v>325</v>
      </c>
      <c r="V11" s="217">
        <f>VLOOKUP(" 存貨",$B$40:$L$500,2,0)</f>
        <v>365</v>
      </c>
      <c r="W11" s="174"/>
      <c r="X11" s="174"/>
      <c r="Y11" s="174"/>
      <c r="Z11" s="8"/>
      <c r="AA11" s="127"/>
      <c r="AB11" s="269"/>
      <c r="AC11" s="270"/>
      <c r="AD11" s="271"/>
    </row>
    <row r="12" spans="1:31" ht="17.25" thickBot="1">
      <c r="A12" s="4"/>
      <c r="B12" s="5"/>
      <c r="C12" s="5"/>
      <c r="D12" s="8"/>
      <c r="E12" s="5"/>
      <c r="F12" s="5"/>
      <c r="G12" s="5"/>
      <c r="H12" s="5"/>
      <c r="I12" s="5"/>
      <c r="J12" s="6"/>
      <c r="K12" s="8"/>
      <c r="L12" s="8"/>
      <c r="M12" s="8"/>
      <c r="N12" s="184" t="s">
        <v>16</v>
      </c>
      <c r="O12" s="215">
        <f>VLOOKUP(" 應付帳款及票據",$B$40:$L$500,9,0)</f>
        <v>88</v>
      </c>
      <c r="P12" s="216">
        <f>VLOOKUP(" 應付帳款及票據",$B$40:$L$500,8,0)</f>
        <v>95</v>
      </c>
      <c r="Q12" s="216">
        <f>VLOOKUP(" 應付帳款及票據",$B$40:$L$500,7,0)</f>
        <v>101</v>
      </c>
      <c r="R12" s="216">
        <f>VLOOKUP(" 應付帳款及票據",$B$40:$L$500,6,0)</f>
        <v>117</v>
      </c>
      <c r="S12" s="216">
        <f>VLOOKUP(" 應付帳款及票據",$B$40:$L$500,5,0)</f>
        <v>128</v>
      </c>
      <c r="T12" s="216">
        <f>VLOOKUP(" 應付帳款及票據",$B$40:$L$500,4,0)</f>
        <v>144</v>
      </c>
      <c r="U12" s="216">
        <f>VLOOKUP(" 應付帳款及票據",$B$40:$L$500,3,0)</f>
        <v>185</v>
      </c>
      <c r="V12" s="217">
        <f>VLOOKUP(" 應付帳款及票據",$B$40:$L$500,2,0)</f>
        <v>154</v>
      </c>
      <c r="W12" s="174"/>
      <c r="X12" s="174"/>
      <c r="Y12" s="174"/>
      <c r="Z12" s="8"/>
      <c r="AA12" s="127"/>
      <c r="AB12" s="272"/>
      <c r="AC12" s="273"/>
      <c r="AD12" s="274"/>
    </row>
    <row r="13" spans="1:31" ht="5.0999999999999996" customHeight="1" thickBot="1">
      <c r="A13" s="7"/>
      <c r="B13" s="8"/>
      <c r="C13" s="8"/>
      <c r="D13" s="8"/>
      <c r="E13" s="8"/>
      <c r="F13" s="8"/>
      <c r="G13" s="8"/>
      <c r="H13" s="8"/>
      <c r="I13" s="8"/>
      <c r="J13" s="9"/>
      <c r="K13" s="8"/>
      <c r="L13" s="8"/>
      <c r="M13" s="8"/>
      <c r="N13" s="184" t="s">
        <v>17</v>
      </c>
      <c r="O13" s="215">
        <f>VLOOKUP("負債總額",$B$40:$L$500,9,0)</f>
        <v>1408</v>
      </c>
      <c r="P13" s="216">
        <f>VLOOKUP("負債總額",$B$40:$L$500,8,0)</f>
        <v>1353</v>
      </c>
      <c r="Q13" s="216">
        <f>VLOOKUP("負債總額",$B$40:$L$500,7,0)</f>
        <v>2151</v>
      </c>
      <c r="R13" s="216">
        <f>VLOOKUP("負債總額",$B$40:$L$500,6,0)</f>
        <v>1317</v>
      </c>
      <c r="S13" s="216">
        <f>VLOOKUP("負債總額",$B$40:$L$500,5,0)</f>
        <v>1652</v>
      </c>
      <c r="T13" s="216">
        <f>VLOOKUP("負債總額",$B$40:$L$500,4,0)</f>
        <v>3621</v>
      </c>
      <c r="U13" s="216">
        <f>VLOOKUP("負債總額",$B$40:$L$500,3,0)</f>
        <v>4276</v>
      </c>
      <c r="V13" s="217">
        <f>VLOOKUP("負債總額",$B$40:$L$500,2,0)</f>
        <v>4112</v>
      </c>
      <c r="W13" s="174"/>
      <c r="X13" s="174"/>
      <c r="Y13" s="174"/>
      <c r="Z13" s="8"/>
      <c r="AA13" s="127"/>
      <c r="AB13" s="147"/>
      <c r="AC13" s="148"/>
      <c r="AD13" s="147"/>
    </row>
    <row r="14" spans="1:31" ht="24" customHeight="1">
      <c r="A14" s="40"/>
      <c r="B14" s="138" t="s">
        <v>1887</v>
      </c>
      <c r="C14" s="41"/>
      <c r="D14" s="8"/>
      <c r="E14" s="41"/>
      <c r="F14" s="324" t="s">
        <v>1889</v>
      </c>
      <c r="G14" s="324"/>
      <c r="H14" s="324"/>
      <c r="I14" s="324"/>
      <c r="J14" s="42"/>
      <c r="K14" s="8"/>
      <c r="L14" s="8"/>
      <c r="M14" s="8"/>
      <c r="N14" s="184" t="s">
        <v>18</v>
      </c>
      <c r="O14" s="215">
        <f>VLOOKUP("資產總額",$B$40:$L$500,9,0)</f>
        <v>4629</v>
      </c>
      <c r="P14" s="216">
        <f>VLOOKUP("資產總額",$B$40:$L$500,8,0)</f>
        <v>4863</v>
      </c>
      <c r="Q14" s="216">
        <f>VLOOKUP("資產總額",$B$40:$L$500,7,0)</f>
        <v>5074</v>
      </c>
      <c r="R14" s="216">
        <f>VLOOKUP("資產總額",$B$40:$L$500,6,0)</f>
        <v>4599</v>
      </c>
      <c r="S14" s="216">
        <f>VLOOKUP("資產總額",$B$40:$L$500,5,0)</f>
        <v>5369</v>
      </c>
      <c r="T14" s="216">
        <f>VLOOKUP("資產總額",$B$40:$L$500,4,0)</f>
        <v>7682</v>
      </c>
      <c r="U14" s="216">
        <f>VLOOKUP("資產總額",$B$40:$L$500,3,0)</f>
        <v>7600</v>
      </c>
      <c r="V14" s="217">
        <f>VLOOKUP("資產總額",$B$40:$L$500,2,0)</f>
        <v>7885</v>
      </c>
      <c r="W14" s="174"/>
      <c r="X14" s="174"/>
      <c r="Y14" s="174"/>
      <c r="Z14" s="8"/>
      <c r="AA14" s="127"/>
      <c r="AB14" s="290"/>
      <c r="AC14" s="291"/>
      <c r="AD14" s="292"/>
    </row>
    <row r="15" spans="1:31">
      <c r="A15" s="4"/>
      <c r="B15" s="5"/>
      <c r="C15" s="5"/>
      <c r="D15" s="8"/>
      <c r="E15" s="5"/>
      <c r="F15" s="5"/>
      <c r="G15" s="5"/>
      <c r="H15" s="5"/>
      <c r="I15" s="5"/>
      <c r="J15" s="6"/>
      <c r="K15" s="8"/>
      <c r="L15" s="8"/>
      <c r="M15" s="8"/>
      <c r="N15" s="184" t="s">
        <v>19</v>
      </c>
      <c r="O15" s="215">
        <f>VLOOKUP("來自營運之現金流量",$B$40:$L$500,9,0)</f>
        <v>690</v>
      </c>
      <c r="P15" s="216">
        <f>VLOOKUP("來自營運之現金流量",$B$40:$L$500,8,0)</f>
        <v>154</v>
      </c>
      <c r="Q15" s="216">
        <f>VLOOKUP("來自營運之現金流量",$B$40:$L$500,7,0)</f>
        <v>79</v>
      </c>
      <c r="R15" s="216">
        <f>VLOOKUP("來自營運之現金流量",$B$40:$L$500,6,0)</f>
        <v>836</v>
      </c>
      <c r="S15" s="216">
        <f>VLOOKUP("來自營運之現金流量",$B$40:$L$500,5,0)</f>
        <v>631</v>
      </c>
      <c r="T15" s="216">
        <f>VLOOKUP("來自營運之現金流量",$B$40:$L$500,4,0)</f>
        <v>285</v>
      </c>
      <c r="U15" s="216">
        <f>VLOOKUP("來自營運之現金流量",$B$40:$L$500,3,0)</f>
        <v>593</v>
      </c>
      <c r="V15" s="217">
        <f>VLOOKUP("來自營運之現金流量",$B$40:$L$500,2,0)</f>
        <v>-533</v>
      </c>
      <c r="W15" s="176">
        <f>AVERAGE(R15:V15)</f>
        <v>362.4</v>
      </c>
      <c r="X15" s="176">
        <f>AVERAGE(U15:V15)</f>
        <v>30</v>
      </c>
      <c r="Y15" s="174"/>
      <c r="Z15" s="8"/>
      <c r="AA15" s="127"/>
      <c r="AB15" s="293"/>
      <c r="AC15" s="294"/>
      <c r="AD15" s="295"/>
    </row>
    <row r="16" spans="1:31">
      <c r="A16" s="4"/>
      <c r="B16" s="189"/>
      <c r="C16" s="5"/>
      <c r="D16" s="8"/>
      <c r="E16" s="5"/>
      <c r="F16" s="332"/>
      <c r="G16" s="332"/>
      <c r="H16" s="332"/>
      <c r="I16" s="332"/>
      <c r="J16" s="6"/>
      <c r="K16" s="8"/>
      <c r="L16" s="8"/>
      <c r="M16" s="8"/>
      <c r="N16" s="184" t="s">
        <v>20</v>
      </c>
      <c r="O16" s="215">
        <v>-245</v>
      </c>
      <c r="P16" s="216">
        <v>47</v>
      </c>
      <c r="Q16" s="216">
        <v>38</v>
      </c>
      <c r="R16" s="216">
        <v>38</v>
      </c>
      <c r="S16" s="216">
        <v>64</v>
      </c>
      <c r="T16" s="216">
        <v>109</v>
      </c>
      <c r="U16" s="216">
        <v>2274</v>
      </c>
      <c r="V16" s="217">
        <v>113</v>
      </c>
      <c r="W16" s="176">
        <f>MAX(O16:V16)</f>
        <v>2274</v>
      </c>
      <c r="X16" s="176">
        <f>AVERAGE(U16:V16)</f>
        <v>1193.5</v>
      </c>
      <c r="Y16" s="174"/>
      <c r="Z16" s="8"/>
      <c r="AA16" s="127"/>
      <c r="AB16" s="293"/>
      <c r="AC16" s="296"/>
      <c r="AD16" s="295"/>
    </row>
    <row r="17" spans="1:30" ht="17.25" thickBot="1">
      <c r="A17" s="4"/>
      <c r="B17" s="5"/>
      <c r="C17" s="5"/>
      <c r="D17" s="8"/>
      <c r="E17" s="5"/>
      <c r="F17" s="5"/>
      <c r="G17" s="5"/>
      <c r="H17" s="5"/>
      <c r="I17" s="5"/>
      <c r="J17" s="6"/>
      <c r="K17" s="8"/>
      <c r="L17" s="8"/>
      <c r="M17" s="8"/>
      <c r="N17" s="184" t="s">
        <v>21</v>
      </c>
      <c r="O17" s="215">
        <v>0</v>
      </c>
      <c r="P17" s="216">
        <v>0</v>
      </c>
      <c r="Q17" s="216">
        <v>0</v>
      </c>
      <c r="R17" s="216">
        <v>6</v>
      </c>
      <c r="S17" s="216">
        <v>-6</v>
      </c>
      <c r="T17" s="216">
        <v>0</v>
      </c>
      <c r="U17" s="216">
        <v>0</v>
      </c>
      <c r="V17" s="217">
        <v>0</v>
      </c>
      <c r="W17" s="174"/>
      <c r="X17" s="174"/>
      <c r="Y17" s="174"/>
      <c r="Z17" s="8"/>
      <c r="AA17" s="127"/>
      <c r="AB17" s="297"/>
      <c r="AC17" s="298"/>
      <c r="AD17" s="299"/>
    </row>
    <row r="18" spans="1:30">
      <c r="A18" s="4"/>
      <c r="B18" s="189"/>
      <c r="C18" s="5"/>
      <c r="D18" s="8"/>
      <c r="E18" s="5"/>
      <c r="F18" s="332"/>
      <c r="G18" s="332"/>
      <c r="H18" s="332"/>
      <c r="I18" s="332"/>
      <c r="J18" s="6"/>
      <c r="K18" s="8"/>
      <c r="L18" s="8"/>
      <c r="M18" s="8"/>
      <c r="N18" s="184" t="s">
        <v>22</v>
      </c>
      <c r="O18" s="215">
        <f>VLOOKUP(" 折舊",$B$40:$L$500,9,0)</f>
        <v>32</v>
      </c>
      <c r="P18" s="216">
        <f>VLOOKUP(" 折舊",$B$40:$L$500,8,0)</f>
        <v>33</v>
      </c>
      <c r="Q18" s="216">
        <f>VLOOKUP(" 折舊",$B$40:$L$500,7,0)</f>
        <v>33</v>
      </c>
      <c r="R18" s="216">
        <f>VLOOKUP(" 折舊",$B$40:$L$500,6,0)</f>
        <v>34</v>
      </c>
      <c r="S18" s="216">
        <f>VLOOKUP(" 折舊",$B$40:$L$500,5,0)</f>
        <v>29</v>
      </c>
      <c r="T18" s="216">
        <f>VLOOKUP(" 折舊",$B$40:$L$500,4,0)</f>
        <v>35</v>
      </c>
      <c r="U18" s="216">
        <f>VLOOKUP(" 折舊",$B$40:$L$500,3,0)</f>
        <v>38</v>
      </c>
      <c r="V18" s="217">
        <f>VLOOKUP(" 折舊",$B$40:$L$500,2,0)</f>
        <v>39</v>
      </c>
      <c r="W18" s="174"/>
      <c r="X18" s="174"/>
      <c r="Y18" s="174"/>
      <c r="Z18" s="8"/>
      <c r="AA18" s="127"/>
      <c r="AB18" s="173"/>
      <c r="AC18" s="186"/>
      <c r="AD18" s="2"/>
    </row>
    <row r="19" spans="1:30" ht="17.25" thickBot="1">
      <c r="A19" s="4"/>
      <c r="B19" s="5"/>
      <c r="C19" s="5"/>
      <c r="D19" s="8"/>
      <c r="E19" s="5"/>
      <c r="F19" s="5"/>
      <c r="G19" s="5"/>
      <c r="H19" s="5"/>
      <c r="I19" s="5"/>
      <c r="J19" s="6"/>
      <c r="K19" s="8"/>
      <c r="L19" s="8"/>
      <c r="M19" s="8"/>
      <c r="N19" s="184" t="s">
        <v>23</v>
      </c>
      <c r="O19" s="218">
        <f>VLOOKUP(" 攤提",$B$40:$L$500,9,0)</f>
        <v>0</v>
      </c>
      <c r="P19" s="219">
        <f>VLOOKUP(" 攤提",$B$40:$L$500,8,0)</f>
        <v>0</v>
      </c>
      <c r="Q19" s="219">
        <f>VLOOKUP(" 攤提",$B$40:$L$500,7,0)</f>
        <v>0</v>
      </c>
      <c r="R19" s="219">
        <f>VLOOKUP(" 攤提",$B$40:$L$500,6,0)</f>
        <v>0</v>
      </c>
      <c r="S19" s="219">
        <f>VLOOKUP(" 攤提",$B$40:$L$500,5,0)</f>
        <v>0</v>
      </c>
      <c r="T19" s="219">
        <f>VLOOKUP(" 攤提",$B$40:$L$500,4,0)</f>
        <v>0</v>
      </c>
      <c r="U19" s="219">
        <f>VLOOKUP(" 攤提",$B$40:$L$500,3,0)</f>
        <v>0</v>
      </c>
      <c r="V19" s="220">
        <f>VLOOKUP(" 攤提",$B$40:$L$500,2,0)</f>
        <v>0</v>
      </c>
      <c r="W19" s="174"/>
      <c r="X19" s="174"/>
      <c r="Y19" s="174"/>
      <c r="Z19" s="8"/>
      <c r="AA19" s="127"/>
      <c r="AB19" s="7"/>
      <c r="AC19" s="112"/>
      <c r="AD19" s="9"/>
    </row>
    <row r="20" spans="1:30">
      <c r="A20" s="4"/>
      <c r="B20" s="189"/>
      <c r="C20" s="5"/>
      <c r="D20" s="8"/>
      <c r="E20" s="5"/>
      <c r="F20" s="332"/>
      <c r="G20" s="332"/>
      <c r="H20" s="332"/>
      <c r="I20" s="332"/>
      <c r="J20" s="6"/>
      <c r="K20" s="8"/>
      <c r="L20" s="8"/>
      <c r="M20" s="8"/>
      <c r="N20" s="184" t="s">
        <v>24</v>
      </c>
      <c r="O20" s="221">
        <f>VLOOKUP("股東權益總額",$B$40:$L$500,9,0)</f>
        <v>3221</v>
      </c>
      <c r="P20" s="222">
        <f>VLOOKUP("股東權益總額",$B$40:$L$500,8,0)</f>
        <v>3510</v>
      </c>
      <c r="Q20" s="222">
        <f>VLOOKUP("股東權益總額",$B$40:$L$500,7,0)</f>
        <v>2923</v>
      </c>
      <c r="R20" s="222">
        <f>VLOOKUP("股東權益總額",$B$40:$L$500,6,0)</f>
        <v>3282</v>
      </c>
      <c r="S20" s="222">
        <f>VLOOKUP("股東權益總額",$B$40:$L$500,5,0)</f>
        <v>3717</v>
      </c>
      <c r="T20" s="222">
        <f>VLOOKUP("股東權益總額",$B$40:$L$500,4,0)</f>
        <v>4061</v>
      </c>
      <c r="U20" s="222">
        <f>VLOOKUP("股東權益總額",$B$40:$L$500,3,0)</f>
        <v>3324</v>
      </c>
      <c r="V20" s="223">
        <f>VLOOKUP("股東權益總額",$B$40:$L$500,2,0)</f>
        <v>3774</v>
      </c>
      <c r="W20" s="174"/>
      <c r="X20" s="174"/>
      <c r="Y20" s="174"/>
      <c r="Z20" s="8"/>
      <c r="AA20" s="127"/>
      <c r="AB20" s="7"/>
      <c r="AC20" s="8"/>
      <c r="AD20" s="9"/>
    </row>
    <row r="21" spans="1:30">
      <c r="A21" s="4"/>
      <c r="B21" s="5"/>
      <c r="C21" s="5"/>
      <c r="D21" s="8"/>
      <c r="E21" s="5"/>
      <c r="F21" s="5"/>
      <c r="G21" s="5"/>
      <c r="H21" s="5"/>
      <c r="I21" s="5"/>
      <c r="J21" s="6"/>
      <c r="K21" s="8"/>
      <c r="L21" s="8"/>
      <c r="M21" s="8"/>
      <c r="N21" s="185" t="s">
        <v>195</v>
      </c>
      <c r="O21" s="224">
        <f>VLOOKUP(" 普通股股本",$B$40:$L$500,9,0)</f>
        <v>1302</v>
      </c>
      <c r="P21" s="225">
        <f>VLOOKUP(" 普通股股本",$B$40:$L$500,8,0)</f>
        <v>1302</v>
      </c>
      <c r="Q21" s="225">
        <f>VLOOKUP(" 普通股股本",$B$40:$L$500,7,0)</f>
        <v>1302</v>
      </c>
      <c r="R21" s="225">
        <f>VLOOKUP(" 普通股股本",$B$40:$L$500,6,0)</f>
        <v>1302</v>
      </c>
      <c r="S21" s="225">
        <f>VLOOKUP(" 普通股股本",$B$40:$L$500,5,0)</f>
        <v>1302</v>
      </c>
      <c r="T21" s="225">
        <f>VLOOKUP(" 普通股股本",$B$40:$L$500,4,0)</f>
        <v>1302</v>
      </c>
      <c r="U21" s="225">
        <f>VLOOKUP(" 普通股股本",$B$40:$L$500,3,0)</f>
        <v>1302</v>
      </c>
      <c r="V21" s="226">
        <f>VLOOKUP(" 普通股股本",$B$40:$L$500,2,0)</f>
        <v>1302</v>
      </c>
      <c r="W21" s="175"/>
      <c r="X21" s="175"/>
      <c r="Y21" s="175"/>
      <c r="Z21" s="8"/>
      <c r="AA21" s="127"/>
      <c r="AB21" s="7"/>
      <c r="AC21" s="8"/>
      <c r="AD21" s="9"/>
    </row>
    <row r="22" spans="1:30">
      <c r="A22" s="4"/>
      <c r="B22" s="189"/>
      <c r="C22" s="5"/>
      <c r="D22" s="8"/>
      <c r="E22" s="5"/>
      <c r="F22" s="332"/>
      <c r="G22" s="332"/>
      <c r="H22" s="332"/>
      <c r="I22" s="332"/>
      <c r="J22" s="6"/>
      <c r="K22" s="8"/>
      <c r="L22" s="8"/>
      <c r="M22" s="8"/>
      <c r="N22" s="184" t="s">
        <v>25</v>
      </c>
      <c r="O22" s="227">
        <f t="shared" ref="O22:V22" si="0">IF(ISNUMBER((O3-O4)/O3),(O3-O4)/O3,0)</f>
        <v>0.88631857237276934</v>
      </c>
      <c r="P22" s="228">
        <f t="shared" si="0"/>
        <v>0.88744588744588748</v>
      </c>
      <c r="Q22" s="228">
        <f t="shared" si="0"/>
        <v>0.87415592387968077</v>
      </c>
      <c r="R22" s="228">
        <f t="shared" si="0"/>
        <v>0.88344370860927157</v>
      </c>
      <c r="S22" s="228">
        <f t="shared" si="0"/>
        <v>0.89476678043230939</v>
      </c>
      <c r="T22" s="228">
        <f t="shared" si="0"/>
        <v>0.88370684433676561</v>
      </c>
      <c r="U22" s="228">
        <f t="shared" si="0"/>
        <v>0.87944025834230355</v>
      </c>
      <c r="V22" s="229">
        <f t="shared" si="0"/>
        <v>0.87557870370370372</v>
      </c>
      <c r="W22" s="331">
        <f>MIN(O22:V23)</f>
        <v>0.12952731737262124</v>
      </c>
      <c r="X22" s="331">
        <f>MAX(O22:V23)</f>
        <v>0.89476678043230939</v>
      </c>
      <c r="Y22" s="174"/>
      <c r="Z22" s="8"/>
      <c r="AA22" s="127"/>
      <c r="AB22" s="7"/>
      <c r="AC22" s="8"/>
      <c r="AD22" s="9"/>
    </row>
    <row r="23" spans="1:30">
      <c r="A23" s="4"/>
      <c r="B23" s="5"/>
      <c r="C23" s="5"/>
      <c r="D23" s="8"/>
      <c r="E23" s="5"/>
      <c r="F23" s="5"/>
      <c r="G23" s="5"/>
      <c r="H23" s="5"/>
      <c r="I23" s="5"/>
      <c r="J23" s="6"/>
      <c r="K23" s="8"/>
      <c r="L23" s="8"/>
      <c r="M23" s="8"/>
      <c r="N23" s="184" t="s">
        <v>1936</v>
      </c>
      <c r="O23" s="227">
        <f>O8/O3</f>
        <v>0.16920026437541308</v>
      </c>
      <c r="P23" s="228">
        <f t="shared" ref="P23:V23" si="1">P8/P3</f>
        <v>0.1406926406926407</v>
      </c>
      <c r="Q23" s="228">
        <f t="shared" si="1"/>
        <v>0.12952731737262124</v>
      </c>
      <c r="R23" s="228">
        <f t="shared" si="1"/>
        <v>0.16291390728476821</v>
      </c>
      <c r="S23" s="228">
        <f t="shared" si="1"/>
        <v>0.16552901023890784</v>
      </c>
      <c r="T23" s="228">
        <f t="shared" si="1"/>
        <v>0.14415505754088431</v>
      </c>
      <c r="U23" s="228">
        <f t="shared" si="1"/>
        <v>0.13132400430570507</v>
      </c>
      <c r="V23" s="229">
        <f t="shared" si="1"/>
        <v>0.15162037037037038</v>
      </c>
      <c r="W23" s="331"/>
      <c r="X23" s="331"/>
      <c r="Y23" s="174"/>
      <c r="Z23" s="8"/>
      <c r="AA23" s="127"/>
      <c r="AB23" s="7"/>
      <c r="AC23" s="8"/>
      <c r="AD23" s="9"/>
    </row>
    <row r="24" spans="1:30">
      <c r="A24" s="4"/>
      <c r="B24" s="5"/>
      <c r="C24" s="5"/>
      <c r="D24" s="8"/>
      <c r="E24" s="5"/>
      <c r="F24" s="5"/>
      <c r="G24" s="5"/>
      <c r="H24" s="5"/>
      <c r="I24" s="5"/>
      <c r="J24" s="6"/>
      <c r="K24" s="8"/>
      <c r="L24" s="8"/>
      <c r="M24" s="8"/>
      <c r="N24" s="184" t="s">
        <v>26</v>
      </c>
      <c r="O24" s="227">
        <f t="shared" ref="O24:V24" si="2">O13/O14</f>
        <v>0.30416936703391662</v>
      </c>
      <c r="P24" s="228">
        <f t="shared" si="2"/>
        <v>0.2782233189389266</v>
      </c>
      <c r="Q24" s="228">
        <f t="shared" si="2"/>
        <v>0.4239258967284194</v>
      </c>
      <c r="R24" s="228">
        <f t="shared" si="2"/>
        <v>0.28636660143509457</v>
      </c>
      <c r="S24" s="228">
        <f t="shared" si="2"/>
        <v>0.30769230769230771</v>
      </c>
      <c r="T24" s="228">
        <f t="shared" si="2"/>
        <v>0.47136162457693309</v>
      </c>
      <c r="U24" s="228">
        <f t="shared" si="2"/>
        <v>0.56263157894736837</v>
      </c>
      <c r="V24" s="229">
        <f t="shared" si="2"/>
        <v>0.52149651236525052</v>
      </c>
      <c r="W24" s="177">
        <f>MIN(O24:V24)</f>
        <v>0.2782233189389266</v>
      </c>
      <c r="X24" s="177">
        <f>MAX(O24:V24)</f>
        <v>0.56263157894736837</v>
      </c>
      <c r="Y24" s="174"/>
      <c r="Z24" s="8"/>
      <c r="AA24" s="127"/>
      <c r="AB24" s="7"/>
      <c r="AC24" s="8"/>
      <c r="AD24" s="9"/>
    </row>
    <row r="25" spans="1:30" ht="5.0999999999999996" customHeight="1">
      <c r="A25" s="327"/>
      <c r="B25" s="328"/>
      <c r="C25" s="328"/>
      <c r="D25" s="328"/>
      <c r="E25" s="328"/>
      <c r="F25" s="328"/>
      <c r="G25" s="328"/>
      <c r="H25" s="328"/>
      <c r="I25" s="328"/>
      <c r="J25" s="329"/>
      <c r="K25" s="8"/>
      <c r="L25" s="8"/>
      <c r="M25" s="8"/>
      <c r="N25" s="184" t="s">
        <v>27</v>
      </c>
      <c r="O25" s="230">
        <f>P25</f>
        <v>53.52163461538462</v>
      </c>
      <c r="P25" s="231">
        <f t="shared" ref="P25:V25" si="3">IF(ISNUMBER(365/(P4*4/((O12+P12)/2))),365/(P4*4/((O12+P12)/2)),0)</f>
        <v>53.52163461538462</v>
      </c>
      <c r="Q25" s="231">
        <f t="shared" si="3"/>
        <v>43.621951219512198</v>
      </c>
      <c r="R25" s="231">
        <f t="shared" si="3"/>
        <v>56.512784090909086</v>
      </c>
      <c r="S25" s="231">
        <f t="shared" si="3"/>
        <v>60.422297297297298</v>
      </c>
      <c r="T25" s="231">
        <f t="shared" si="3"/>
        <v>64.635416666666657</v>
      </c>
      <c r="U25" s="231">
        <f t="shared" si="3"/>
        <v>67.01171875</v>
      </c>
      <c r="V25" s="232">
        <f t="shared" si="3"/>
        <v>71.938953488372093</v>
      </c>
      <c r="W25" s="178">
        <f>MIN(O25:V27)</f>
        <v>4.8531712172923784</v>
      </c>
      <c r="X25" s="179">
        <f>MAX(O25:V27)</f>
        <v>146.42441860465115</v>
      </c>
      <c r="Y25" s="174"/>
      <c r="Z25" s="8"/>
      <c r="AA25" s="127"/>
      <c r="AB25" s="7"/>
      <c r="AC25" s="8"/>
      <c r="AD25" s="9"/>
    </row>
    <row r="26" spans="1:30" ht="24" customHeight="1">
      <c r="A26" s="122"/>
      <c r="B26" s="138" t="s">
        <v>1888</v>
      </c>
      <c r="C26" s="123"/>
      <c r="D26" s="208"/>
      <c r="E26" s="123"/>
      <c r="F26" s="324" t="s">
        <v>1881</v>
      </c>
      <c r="G26" s="324"/>
      <c r="H26" s="324"/>
      <c r="I26" s="324"/>
      <c r="J26" s="124"/>
      <c r="K26" s="8"/>
      <c r="L26" s="8"/>
      <c r="M26" s="8"/>
      <c r="N26" s="184" t="s">
        <v>28</v>
      </c>
      <c r="O26" s="233">
        <f>P26</f>
        <v>5.8924062049062043</v>
      </c>
      <c r="P26" s="234">
        <f t="shared" ref="P26:V27" si="4">IF(ISNUMBER(365/(P3*4/((O10+P10)/2))),365/(P3*4/((O10+P10)/2)),0)</f>
        <v>5.8924062049062043</v>
      </c>
      <c r="Q26" s="234">
        <f t="shared" si="4"/>
        <v>5.125460405156538</v>
      </c>
      <c r="R26" s="234">
        <f t="shared" si="4"/>
        <v>5.4085264900662251</v>
      </c>
      <c r="S26" s="234">
        <f t="shared" si="4"/>
        <v>4.8531712172923784</v>
      </c>
      <c r="T26" s="234">
        <f t="shared" si="4"/>
        <v>5.4993185947910357</v>
      </c>
      <c r="U26" s="234">
        <f t="shared" si="4"/>
        <v>4.8866388589881593</v>
      </c>
      <c r="V26" s="235">
        <f t="shared" si="4"/>
        <v>5.6503182870370381</v>
      </c>
      <c r="W26" s="178"/>
      <c r="X26" s="179"/>
      <c r="Y26" s="174"/>
      <c r="Z26" s="8"/>
      <c r="AA26" s="127"/>
      <c r="AB26" s="7"/>
      <c r="AC26" s="8"/>
      <c r="AD26" s="9"/>
    </row>
    <row r="27" spans="1:30">
      <c r="A27" s="4"/>
      <c r="B27" s="5"/>
      <c r="C27" s="5"/>
      <c r="D27" s="8"/>
      <c r="E27" s="5"/>
      <c r="F27" s="5"/>
      <c r="G27" s="5"/>
      <c r="H27" s="5"/>
      <c r="I27" s="5"/>
      <c r="J27" s="6"/>
      <c r="K27" s="8"/>
      <c r="L27" s="8"/>
      <c r="M27" s="8"/>
      <c r="N27" s="184" t="s">
        <v>29</v>
      </c>
      <c r="O27" s="230">
        <f>P27</f>
        <v>139.21474358974359</v>
      </c>
      <c r="P27" s="231">
        <f t="shared" si="4"/>
        <v>139.21474358974359</v>
      </c>
      <c r="Q27" s="231">
        <f t="shared" si="4"/>
        <v>103.49085365853658</v>
      </c>
      <c r="R27" s="231">
        <f t="shared" si="4"/>
        <v>121.58025568181817</v>
      </c>
      <c r="S27" s="231">
        <f t="shared" si="4"/>
        <v>126.5168918918919</v>
      </c>
      <c r="T27" s="231">
        <f t="shared" si="4"/>
        <v>131.40950520833334</v>
      </c>
      <c r="U27" s="231">
        <f t="shared" si="4"/>
        <v>124.24665178571429</v>
      </c>
      <c r="V27" s="232">
        <f t="shared" si="4"/>
        <v>146.42441860465115</v>
      </c>
      <c r="W27" s="178"/>
      <c r="X27" s="179"/>
      <c r="Y27" s="174"/>
      <c r="Z27" s="8"/>
      <c r="AA27" s="127"/>
      <c r="AB27" s="7"/>
      <c r="AC27" s="8"/>
      <c r="AD27" s="9"/>
    </row>
    <row r="28" spans="1:30">
      <c r="A28" s="4"/>
      <c r="B28" s="189"/>
      <c r="C28" s="5"/>
      <c r="D28" s="8"/>
      <c r="E28" s="5"/>
      <c r="F28" s="332"/>
      <c r="G28" s="332"/>
      <c r="H28" s="332"/>
      <c r="I28" s="332"/>
      <c r="J28" s="6"/>
      <c r="K28" s="8"/>
      <c r="L28" s="8"/>
      <c r="M28" s="8"/>
      <c r="N28" s="184" t="s">
        <v>30</v>
      </c>
      <c r="O28" s="236">
        <f>O26+O27</f>
        <v>145.10714979464979</v>
      </c>
      <c r="P28" s="237">
        <f t="shared" ref="P28:V28" si="5">P26+P27</f>
        <v>145.10714979464979</v>
      </c>
      <c r="Q28" s="237">
        <f t="shared" si="5"/>
        <v>108.61631406369312</v>
      </c>
      <c r="R28" s="237">
        <f t="shared" si="5"/>
        <v>126.9887821718844</v>
      </c>
      <c r="S28" s="237">
        <f t="shared" si="5"/>
        <v>131.37006310918429</v>
      </c>
      <c r="T28" s="237">
        <f t="shared" si="5"/>
        <v>136.90882380312439</v>
      </c>
      <c r="U28" s="237">
        <f t="shared" si="5"/>
        <v>129.13329064470244</v>
      </c>
      <c r="V28" s="238">
        <f t="shared" si="5"/>
        <v>152.07473689168819</v>
      </c>
      <c r="W28" s="180">
        <f>MIN(O28:V28)</f>
        <v>108.61631406369312</v>
      </c>
      <c r="X28" s="177"/>
      <c r="Y28" s="174"/>
      <c r="Z28" s="8"/>
      <c r="AA28" s="127"/>
      <c r="AB28" s="7"/>
      <c r="AC28" s="8"/>
      <c r="AD28" s="9"/>
    </row>
    <row r="29" spans="1:30">
      <c r="A29" s="4"/>
      <c r="B29" s="5"/>
      <c r="C29" s="5"/>
      <c r="D29" s="8"/>
      <c r="E29" s="5"/>
      <c r="F29" s="5"/>
      <c r="G29" s="5"/>
      <c r="H29" s="5"/>
      <c r="I29" s="5"/>
      <c r="J29" s="6"/>
      <c r="K29" s="8"/>
      <c r="L29" s="8"/>
      <c r="M29" s="8"/>
      <c r="N29" s="184" t="s">
        <v>31</v>
      </c>
      <c r="O29" s="215">
        <f>O18+O19</f>
        <v>32</v>
      </c>
      <c r="P29" s="216">
        <f t="shared" ref="P29:V29" si="6">P18+P19</f>
        <v>33</v>
      </c>
      <c r="Q29" s="216">
        <f t="shared" si="6"/>
        <v>33</v>
      </c>
      <c r="R29" s="216">
        <f t="shared" si="6"/>
        <v>34</v>
      </c>
      <c r="S29" s="216">
        <f t="shared" si="6"/>
        <v>29</v>
      </c>
      <c r="T29" s="216">
        <f t="shared" si="6"/>
        <v>35</v>
      </c>
      <c r="U29" s="216">
        <f t="shared" si="6"/>
        <v>38</v>
      </c>
      <c r="V29" s="217">
        <f t="shared" si="6"/>
        <v>39</v>
      </c>
      <c r="W29" s="174"/>
      <c r="X29" s="174"/>
      <c r="Y29" s="174"/>
      <c r="Z29" s="8"/>
      <c r="AA29" s="127"/>
      <c r="AB29" s="7"/>
      <c r="AC29" s="8"/>
      <c r="AD29" s="9"/>
    </row>
    <row r="30" spans="1:30">
      <c r="A30" s="4"/>
      <c r="B30" s="189"/>
      <c r="C30" s="5"/>
      <c r="D30" s="8"/>
      <c r="E30" s="5"/>
      <c r="F30" s="332"/>
      <c r="G30" s="332"/>
      <c r="H30" s="332"/>
      <c r="I30" s="332"/>
      <c r="J30" s="6"/>
      <c r="K30" s="8"/>
      <c r="L30" s="8"/>
      <c r="M30" s="8"/>
      <c r="N30" s="184" t="s">
        <v>32</v>
      </c>
      <c r="O30" s="227">
        <f>P30</f>
        <v>0.26400000000000001</v>
      </c>
      <c r="P30" s="228">
        <f t="shared" ref="P30:V30" si="7">P29/(IF(P3-O3&gt;0,P3,O4)-P16)</f>
        <v>0.26400000000000001</v>
      </c>
      <c r="Q30" s="228">
        <f t="shared" si="7"/>
        <v>2.0741671904462602E-2</v>
      </c>
      <c r="R30" s="228">
        <f t="shared" si="7"/>
        <v>0.20359281437125748</v>
      </c>
      <c r="S30" s="228">
        <f t="shared" si="7"/>
        <v>1.7119244391971666E-2</v>
      </c>
      <c r="T30" s="228">
        <f t="shared" si="7"/>
        <v>0.46052631578947367</v>
      </c>
      <c r="U30" s="228">
        <f t="shared" si="7"/>
        <v>-9.1346153846153841E-2</v>
      </c>
      <c r="V30" s="229">
        <f t="shared" si="7"/>
        <v>0.35135135135135137</v>
      </c>
      <c r="W30" s="174"/>
      <c r="X30" s="174"/>
      <c r="Y30" s="174"/>
      <c r="Z30" s="8"/>
      <c r="AA30" s="127"/>
      <c r="AB30" s="7"/>
      <c r="AC30" s="8"/>
      <c r="AD30" s="9"/>
    </row>
    <row r="31" spans="1:30">
      <c r="A31" s="4"/>
      <c r="B31" s="5"/>
      <c r="C31" s="5"/>
      <c r="D31" s="8"/>
      <c r="E31" s="5"/>
      <c r="F31" s="5"/>
      <c r="G31" s="5"/>
      <c r="H31" s="5"/>
      <c r="I31" s="5"/>
      <c r="J31" s="6"/>
      <c r="K31" s="8"/>
      <c r="L31" s="8"/>
      <c r="M31" s="8"/>
      <c r="N31" s="185" t="s">
        <v>224</v>
      </c>
      <c r="O31" s="239">
        <f t="shared" ref="O31:V31" si="8">O29/O4</f>
        <v>0.18604651162790697</v>
      </c>
      <c r="P31" s="240">
        <f t="shared" si="8"/>
        <v>0.21153846153846154</v>
      </c>
      <c r="Q31" s="240">
        <f t="shared" si="8"/>
        <v>0.16097560975609757</v>
      </c>
      <c r="R31" s="240">
        <f t="shared" si="8"/>
        <v>0.19318181818181818</v>
      </c>
      <c r="S31" s="240">
        <f>S29/S4</f>
        <v>0.15675675675675677</v>
      </c>
      <c r="T31" s="240">
        <f t="shared" si="8"/>
        <v>0.18229166666666666</v>
      </c>
      <c r="U31" s="240">
        <f t="shared" si="8"/>
        <v>0.16964285714285715</v>
      </c>
      <c r="V31" s="241">
        <f t="shared" si="8"/>
        <v>0.18139534883720931</v>
      </c>
      <c r="W31" s="326">
        <f>AVERAGE(O32:V32)</f>
        <v>1.4862347779892524</v>
      </c>
      <c r="X31" s="326"/>
      <c r="Y31" s="174"/>
      <c r="Z31" s="8"/>
      <c r="AA31" s="127"/>
      <c r="AB31" s="7"/>
      <c r="AC31" s="8"/>
      <c r="AD31" s="9"/>
    </row>
    <row r="32" spans="1:30">
      <c r="A32" s="4"/>
      <c r="B32" s="189"/>
      <c r="C32" s="5"/>
      <c r="D32" s="8"/>
      <c r="E32" s="5"/>
      <c r="F32" s="332"/>
      <c r="G32" s="332"/>
      <c r="H32" s="332"/>
      <c r="I32" s="332"/>
      <c r="J32" s="6"/>
      <c r="K32" s="8"/>
      <c r="L32" s="8"/>
      <c r="M32" s="8"/>
      <c r="N32" s="325" t="s">
        <v>33</v>
      </c>
      <c r="O32" s="242">
        <f t="shared" ref="O32:V32" si="9">IF(O8&gt;0,IF(O15&gt;O8,IF(ISNUMBER(O15/O8),O15/O8,0),0),0)</f>
        <v>2.6953125</v>
      </c>
      <c r="P32" s="243">
        <f t="shared" si="9"/>
        <v>0</v>
      </c>
      <c r="Q32" s="243">
        <f t="shared" si="9"/>
        <v>0</v>
      </c>
      <c r="R32" s="243">
        <f t="shared" si="9"/>
        <v>3.3983739837398375</v>
      </c>
      <c r="S32" s="243">
        <f t="shared" si="9"/>
        <v>2.1683848797250858</v>
      </c>
      <c r="T32" s="243">
        <f t="shared" si="9"/>
        <v>1.1974789915966386</v>
      </c>
      <c r="U32" s="243">
        <f t="shared" si="9"/>
        <v>2.430327868852459</v>
      </c>
      <c r="V32" s="244">
        <f t="shared" si="9"/>
        <v>0</v>
      </c>
      <c r="W32" s="326"/>
      <c r="X32" s="326"/>
      <c r="Y32" s="174"/>
      <c r="Z32" s="8"/>
      <c r="AA32" s="127"/>
      <c r="AB32" s="7"/>
      <c r="AC32" s="8"/>
      <c r="AD32" s="9"/>
    </row>
    <row r="33" spans="1:31">
      <c r="A33" s="4"/>
      <c r="B33" s="5"/>
      <c r="C33" s="5"/>
      <c r="D33" s="8"/>
      <c r="E33" s="5"/>
      <c r="F33" s="5"/>
      <c r="G33" s="5"/>
      <c r="H33" s="5"/>
      <c r="I33" s="5"/>
      <c r="J33" s="6"/>
      <c r="K33" s="8"/>
      <c r="L33" s="8"/>
      <c r="M33" s="8"/>
      <c r="N33" s="325"/>
      <c r="O33" s="242">
        <f>$W$31</f>
        <v>1.4862347779892524</v>
      </c>
      <c r="P33" s="243">
        <f t="shared" ref="P33:V33" si="10">$W$31</f>
        <v>1.4862347779892524</v>
      </c>
      <c r="Q33" s="243">
        <f t="shared" si="10"/>
        <v>1.4862347779892524</v>
      </c>
      <c r="R33" s="243">
        <f t="shared" si="10"/>
        <v>1.4862347779892524</v>
      </c>
      <c r="S33" s="243">
        <f t="shared" si="10"/>
        <v>1.4862347779892524</v>
      </c>
      <c r="T33" s="243">
        <f t="shared" si="10"/>
        <v>1.4862347779892524</v>
      </c>
      <c r="U33" s="243">
        <f t="shared" si="10"/>
        <v>1.4862347779892524</v>
      </c>
      <c r="V33" s="244">
        <f t="shared" si="10"/>
        <v>1.4862347779892524</v>
      </c>
      <c r="W33" s="177"/>
      <c r="X33" s="177"/>
      <c r="Y33" s="174"/>
      <c r="Z33" s="8"/>
      <c r="AA33" s="127"/>
      <c r="AB33" s="7"/>
      <c r="AC33" s="8"/>
      <c r="AD33" s="9"/>
    </row>
    <row r="34" spans="1:31">
      <c r="A34" s="4"/>
      <c r="B34" s="189"/>
      <c r="C34" s="5"/>
      <c r="D34" s="8"/>
      <c r="E34" s="5"/>
      <c r="F34" s="332"/>
      <c r="G34" s="332"/>
      <c r="H34" s="332"/>
      <c r="I34" s="332"/>
      <c r="J34" s="6"/>
      <c r="K34" s="8"/>
      <c r="L34" s="8"/>
      <c r="M34" s="8"/>
      <c r="N34" s="185" t="s">
        <v>34</v>
      </c>
      <c r="O34" s="245">
        <f t="shared" ref="O34:V34" si="11">IF(O6&gt;0,IF((O7-O6)&gt;0,O5,0),MAX(O5,O7))</f>
        <v>422</v>
      </c>
      <c r="P34" s="246">
        <f t="shared" si="11"/>
        <v>338</v>
      </c>
      <c r="Q34" s="246">
        <f t="shared" si="11"/>
        <v>378</v>
      </c>
      <c r="R34" s="246">
        <f t="shared" si="11"/>
        <v>402</v>
      </c>
      <c r="S34" s="246">
        <f t="shared" si="11"/>
        <v>482</v>
      </c>
      <c r="T34" s="246">
        <f t="shared" si="11"/>
        <v>399</v>
      </c>
      <c r="U34" s="246">
        <f t="shared" si="11"/>
        <v>428</v>
      </c>
      <c r="V34" s="247">
        <f t="shared" si="11"/>
        <v>457</v>
      </c>
      <c r="W34" s="177"/>
      <c r="X34" s="177"/>
      <c r="Y34" s="174"/>
      <c r="Z34" s="8"/>
      <c r="AA34" s="127"/>
      <c r="AB34" s="7"/>
      <c r="AC34" s="8"/>
      <c r="AD34" s="9"/>
    </row>
    <row r="35" spans="1:31">
      <c r="A35" s="4"/>
      <c r="B35" s="5"/>
      <c r="C35" s="5"/>
      <c r="D35" s="8"/>
      <c r="E35" s="5"/>
      <c r="F35" s="5"/>
      <c r="G35" s="5"/>
      <c r="H35" s="5"/>
      <c r="I35" s="5"/>
      <c r="J35" s="6"/>
      <c r="K35" s="8"/>
      <c r="L35" s="8"/>
      <c r="M35" s="8"/>
      <c r="N35" s="185" t="s">
        <v>35</v>
      </c>
      <c r="O35" s="227">
        <f t="shared" ref="O35:U35" si="12">O34/O7</f>
        <v>0.9419642857142857</v>
      </c>
      <c r="P35" s="228">
        <f t="shared" si="12"/>
        <v>0.96296296296296291</v>
      </c>
      <c r="Q35" s="228">
        <f t="shared" si="12"/>
        <v>0.97674418604651159</v>
      </c>
      <c r="R35" s="228">
        <f t="shared" si="12"/>
        <v>0.93488372093023253</v>
      </c>
      <c r="S35" s="228">
        <f t="shared" si="12"/>
        <v>0.92514395393474091</v>
      </c>
      <c r="T35" s="228">
        <f t="shared" si="12"/>
        <v>0.95226730310262531</v>
      </c>
      <c r="U35" s="228">
        <f t="shared" si="12"/>
        <v>0.9553571428571429</v>
      </c>
      <c r="V35" s="229">
        <f>IF(ISNUMBER(V6),V34/V7,1)</f>
        <v>0.96822033898305082</v>
      </c>
      <c r="W35" s="174"/>
      <c r="X35" s="174"/>
      <c r="Y35" s="174"/>
      <c r="Z35" s="8"/>
      <c r="AA35" s="127"/>
      <c r="AB35" s="7"/>
      <c r="AC35" s="8"/>
      <c r="AD35" s="9"/>
    </row>
    <row r="36" spans="1:31" ht="17.25" thickBot="1">
      <c r="A36" s="10"/>
      <c r="B36" s="11"/>
      <c r="C36" s="11"/>
      <c r="D36" s="114"/>
      <c r="E36" s="11"/>
      <c r="F36" s="11"/>
      <c r="G36" s="11"/>
      <c r="H36" s="11"/>
      <c r="I36" s="11"/>
      <c r="J36" s="12"/>
      <c r="K36" s="114"/>
      <c r="L36" s="114"/>
      <c r="M36" s="114"/>
      <c r="N36" s="211" t="s">
        <v>36</v>
      </c>
      <c r="O36" s="248"/>
      <c r="P36" s="249">
        <f>Q36</f>
        <v>0.13216145833333334</v>
      </c>
      <c r="Q36" s="249">
        <f>(Q8+P8)*2/(O20+Q20)</f>
        <v>0.13216145833333334</v>
      </c>
      <c r="R36" s="249">
        <f>((R8+Q8+P8)/3)*4/(O20+R20)</f>
        <v>0.13368189040955458</v>
      </c>
      <c r="S36" s="249">
        <f>(S8+R8+Q8+P8)/(O20+S20)</f>
        <v>0.13591813202652062</v>
      </c>
      <c r="T36" s="249">
        <f>(T8+S8+R8+Q8)/(P20+T20)</f>
        <v>0.13023378681812178</v>
      </c>
      <c r="U36" s="249">
        <f>(U8+T8+S8+R8)/(Q20+U20)</f>
        <v>0.16311829678245557</v>
      </c>
      <c r="V36" s="250">
        <f>(V8+U8+T8+S8)/(R20+V20)</f>
        <v>0.14668367346938777</v>
      </c>
      <c r="W36" s="175"/>
      <c r="X36" s="175"/>
      <c r="Y36" s="175"/>
      <c r="Z36" s="8"/>
      <c r="AA36" s="127"/>
      <c r="AB36" s="113"/>
      <c r="AC36" s="114"/>
      <c r="AD36" s="115"/>
    </row>
    <row r="37" spans="1:31" s="3" customFormat="1">
      <c r="A37" s="8"/>
      <c r="B37" s="8"/>
      <c r="C37" s="8"/>
      <c r="D37" s="8"/>
      <c r="E37" s="8"/>
      <c r="F37" s="8"/>
      <c r="G37" s="8"/>
      <c r="H37" s="8"/>
      <c r="I37" s="8"/>
      <c r="J37" s="8"/>
      <c r="K37" s="8"/>
      <c r="L37" s="8"/>
      <c r="M37" s="8"/>
      <c r="N37" s="172" t="s">
        <v>46</v>
      </c>
      <c r="O37" s="125">
        <f>O15-O16</f>
        <v>935</v>
      </c>
      <c r="P37" s="125">
        <f>P15-P16</f>
        <v>107</v>
      </c>
      <c r="Q37" s="125">
        <f t="shared" ref="Q37:V37" si="13">Q15-Q16</f>
        <v>41</v>
      </c>
      <c r="R37" s="125">
        <f t="shared" si="13"/>
        <v>798</v>
      </c>
      <c r="S37" s="125">
        <f t="shared" si="13"/>
        <v>567</v>
      </c>
      <c r="T37" s="125">
        <f t="shared" si="13"/>
        <v>176</v>
      </c>
      <c r="U37" s="125">
        <f t="shared" si="13"/>
        <v>-1681</v>
      </c>
      <c r="V37" s="125">
        <f t="shared" si="13"/>
        <v>-646</v>
      </c>
      <c r="W37" s="25"/>
      <c r="X37" s="25"/>
      <c r="Y37" s="25"/>
      <c r="Z37" s="8"/>
      <c r="AA37" s="127"/>
      <c r="AB37" s="8"/>
      <c r="AC37" s="8"/>
      <c r="AD37" s="8"/>
      <c r="AE37" s="8"/>
    </row>
    <row r="38" spans="1:31" s="3" customFormat="1" ht="17.25" thickBot="1">
      <c r="B38" s="3" t="s">
        <v>2058</v>
      </c>
      <c r="N38" s="169"/>
      <c r="O38" s="168"/>
      <c r="P38" s="168"/>
      <c r="Q38" s="168"/>
      <c r="R38" s="168"/>
      <c r="S38" s="168"/>
      <c r="T38" s="168"/>
      <c r="U38" s="168"/>
      <c r="V38" s="168"/>
      <c r="AA38" s="127"/>
    </row>
    <row r="39" spans="1:31" s="3" customFormat="1">
      <c r="B39" s="3" t="s">
        <v>47</v>
      </c>
      <c r="AA39" s="127"/>
    </row>
    <row r="40" spans="1:31" s="3" customFormat="1" ht="25.5">
      <c r="B40" s="3" t="s">
        <v>48</v>
      </c>
      <c r="C40" s="146" t="s">
        <v>1933</v>
      </c>
      <c r="D40" s="14" t="s">
        <v>226</v>
      </c>
      <c r="E40" s="14" t="s">
        <v>49</v>
      </c>
      <c r="F40" s="14" t="s">
        <v>50</v>
      </c>
      <c r="G40" s="14" t="s">
        <v>51</v>
      </c>
      <c r="H40" s="14" t="s">
        <v>52</v>
      </c>
      <c r="I40" s="14" t="s">
        <v>53</v>
      </c>
      <c r="J40" s="14" t="s">
        <v>54</v>
      </c>
      <c r="AA40" s="127"/>
    </row>
    <row r="41" spans="1:31" s="3" customFormat="1">
      <c r="B41" s="3" t="s">
        <v>10</v>
      </c>
      <c r="C41" s="14">
        <v>1728</v>
      </c>
      <c r="D41" s="14">
        <v>1858</v>
      </c>
      <c r="E41" s="14">
        <v>1651</v>
      </c>
      <c r="F41" s="14">
        <v>1758</v>
      </c>
      <c r="G41" s="14">
        <v>1510</v>
      </c>
      <c r="H41" s="14">
        <v>1629</v>
      </c>
      <c r="I41" s="14">
        <v>1386</v>
      </c>
      <c r="J41" s="14">
        <v>1513</v>
      </c>
      <c r="AA41" s="127"/>
    </row>
    <row r="42" spans="1:31" s="3" customFormat="1">
      <c r="B42" s="3" t="s">
        <v>11</v>
      </c>
      <c r="C42" s="14">
        <v>215</v>
      </c>
      <c r="D42" s="14">
        <v>224</v>
      </c>
      <c r="E42" s="14">
        <v>192</v>
      </c>
      <c r="F42" s="14">
        <v>185</v>
      </c>
      <c r="G42" s="14">
        <v>176</v>
      </c>
      <c r="H42" s="14">
        <v>205</v>
      </c>
      <c r="I42" s="14">
        <v>156</v>
      </c>
      <c r="J42" s="14">
        <v>172</v>
      </c>
      <c r="O42" s="128"/>
      <c r="P42" s="128"/>
      <c r="Q42" s="128"/>
      <c r="R42" s="128"/>
      <c r="S42" s="128"/>
      <c r="T42" s="128"/>
      <c r="U42" s="128"/>
      <c r="V42" s="128"/>
      <c r="AA42" s="127"/>
    </row>
    <row r="43" spans="1:31" s="3" customFormat="1">
      <c r="B43" s="3" t="s">
        <v>55</v>
      </c>
      <c r="C43" s="14">
        <v>1513</v>
      </c>
      <c r="D43" s="14">
        <v>1634</v>
      </c>
      <c r="E43" s="14">
        <v>1458</v>
      </c>
      <c r="F43" s="14">
        <v>1573</v>
      </c>
      <c r="G43" s="14">
        <v>1334</v>
      </c>
      <c r="H43" s="14">
        <v>1425</v>
      </c>
      <c r="I43" s="14">
        <v>1230</v>
      </c>
      <c r="J43" s="14">
        <v>1341</v>
      </c>
      <c r="O43" s="170"/>
      <c r="P43" s="170"/>
      <c r="Q43" s="170"/>
      <c r="R43" s="170"/>
      <c r="S43" s="170"/>
      <c r="T43" s="170"/>
      <c r="U43" s="170"/>
      <c r="V43" s="170"/>
      <c r="AA43" s="127"/>
    </row>
    <row r="44" spans="1:31" s="3" customFormat="1">
      <c r="B44" s="3" t="s">
        <v>56</v>
      </c>
      <c r="C44" s="14">
        <v>0</v>
      </c>
      <c r="D44" s="14">
        <v>0</v>
      </c>
      <c r="E44" s="14">
        <v>0</v>
      </c>
      <c r="F44" s="14">
        <v>0</v>
      </c>
      <c r="G44" s="14">
        <v>0</v>
      </c>
      <c r="H44" s="14">
        <v>0</v>
      </c>
      <c r="I44" s="14">
        <v>0</v>
      </c>
      <c r="J44" s="14">
        <v>0</v>
      </c>
      <c r="AA44" s="127"/>
    </row>
    <row r="45" spans="1:31" s="3" customFormat="1">
      <c r="B45" s="3" t="s">
        <v>57</v>
      </c>
      <c r="C45" s="14">
        <v>1513</v>
      </c>
      <c r="D45" s="14">
        <v>1634</v>
      </c>
      <c r="E45" s="14">
        <v>1458</v>
      </c>
      <c r="F45" s="14">
        <v>1573</v>
      </c>
      <c r="G45" s="14">
        <v>1334</v>
      </c>
      <c r="H45" s="14">
        <v>1425</v>
      </c>
      <c r="I45" s="14">
        <v>1230</v>
      </c>
      <c r="J45" s="14">
        <v>1341</v>
      </c>
      <c r="N45" s="171"/>
      <c r="O45" s="194"/>
      <c r="P45" s="196"/>
      <c r="Q45" s="196"/>
      <c r="R45" s="196"/>
      <c r="S45" s="196"/>
      <c r="T45" s="196"/>
      <c r="U45" s="196"/>
      <c r="V45" s="196"/>
      <c r="W45" s="195"/>
      <c r="X45" s="195"/>
      <c r="Y45" s="195"/>
      <c r="AA45" s="127"/>
    </row>
    <row r="46" spans="1:31" s="3" customFormat="1">
      <c r="B46" s="3" t="s">
        <v>58</v>
      </c>
      <c r="C46" s="14">
        <v>1056</v>
      </c>
      <c r="D46" s="14">
        <v>1206</v>
      </c>
      <c r="E46" s="14">
        <v>1060</v>
      </c>
      <c r="F46" s="14">
        <v>1091</v>
      </c>
      <c r="G46" s="14">
        <v>932</v>
      </c>
      <c r="H46" s="14">
        <v>1047</v>
      </c>
      <c r="I46" s="14">
        <v>892</v>
      </c>
      <c r="J46" s="14">
        <v>919</v>
      </c>
      <c r="N46" s="126"/>
      <c r="AA46" s="127"/>
    </row>
    <row r="47" spans="1:31" s="3" customFormat="1">
      <c r="B47" s="3" t="s">
        <v>59</v>
      </c>
      <c r="C47" s="14">
        <v>932</v>
      </c>
      <c r="D47" s="14">
        <v>1075</v>
      </c>
      <c r="E47" s="14">
        <v>943</v>
      </c>
      <c r="F47" s="14">
        <v>928</v>
      </c>
      <c r="G47" s="14">
        <v>790</v>
      </c>
      <c r="H47" s="14">
        <v>931</v>
      </c>
      <c r="I47" s="14">
        <v>767</v>
      </c>
      <c r="J47" s="14">
        <v>786</v>
      </c>
      <c r="N47" s="126"/>
      <c r="O47" s="192"/>
      <c r="P47" s="192"/>
      <c r="Q47" s="192"/>
      <c r="R47" s="192"/>
      <c r="S47" s="192"/>
      <c r="T47" s="192"/>
      <c r="U47" s="192"/>
      <c r="V47" s="192"/>
      <c r="AA47" s="127"/>
    </row>
    <row r="48" spans="1:31" s="3" customFormat="1" ht="17.25" thickBot="1">
      <c r="B48" s="3" t="s">
        <v>60</v>
      </c>
      <c r="C48" s="14">
        <v>101</v>
      </c>
      <c r="D48" s="14">
        <v>109</v>
      </c>
      <c r="E48" s="14">
        <v>84</v>
      </c>
      <c r="F48" s="14">
        <v>143</v>
      </c>
      <c r="G48" s="14">
        <v>123</v>
      </c>
      <c r="H48" s="14">
        <v>104</v>
      </c>
      <c r="I48" s="14">
        <v>91</v>
      </c>
      <c r="J48" s="14">
        <v>99</v>
      </c>
      <c r="N48" s="126"/>
      <c r="O48" s="191"/>
      <c r="P48" s="128"/>
      <c r="Q48" s="128"/>
      <c r="R48" s="128"/>
      <c r="S48" s="128"/>
      <c r="T48" s="128"/>
      <c r="U48" s="128"/>
      <c r="V48" s="128"/>
      <c r="AA48" s="127"/>
    </row>
    <row r="49" spans="2:27" s="3" customFormat="1">
      <c r="B49" s="3" t="s">
        <v>61</v>
      </c>
      <c r="C49" s="14">
        <v>23</v>
      </c>
      <c r="D49" s="14">
        <v>22</v>
      </c>
      <c r="E49" s="14">
        <v>32</v>
      </c>
      <c r="F49" s="14">
        <v>20</v>
      </c>
      <c r="G49" s="14">
        <v>19</v>
      </c>
      <c r="H49" s="14">
        <v>11</v>
      </c>
      <c r="I49" s="14">
        <v>34</v>
      </c>
      <c r="J49" s="14">
        <v>34</v>
      </c>
      <c r="N49" s="116" t="s">
        <v>1959</v>
      </c>
      <c r="O49" s="335" t="s">
        <v>1961</v>
      </c>
      <c r="P49" s="335" t="s">
        <v>1962</v>
      </c>
      <c r="Q49" s="337" t="s">
        <v>1963</v>
      </c>
      <c r="R49" s="335" t="s">
        <v>1964</v>
      </c>
      <c r="S49" s="333" t="s">
        <v>1965</v>
      </c>
      <c r="T49" s="363" t="s">
        <v>1966</v>
      </c>
      <c r="U49" s="333" t="s">
        <v>1967</v>
      </c>
      <c r="V49" s="333" t="s">
        <v>1968</v>
      </c>
      <c r="W49" s="333" t="s">
        <v>1969</v>
      </c>
      <c r="X49" s="333" t="s">
        <v>1970</v>
      </c>
      <c r="Y49" s="333" t="s">
        <v>1971</v>
      </c>
      <c r="AA49" s="127"/>
    </row>
    <row r="50" spans="2:27" s="3" customFormat="1" ht="17.25" thickBot="1">
      <c r="B50" s="3" t="s">
        <v>62</v>
      </c>
      <c r="C50" s="14">
        <v>457</v>
      </c>
      <c r="D50" s="14">
        <v>428</v>
      </c>
      <c r="E50" s="14">
        <v>399</v>
      </c>
      <c r="F50" s="14">
        <v>482</v>
      </c>
      <c r="G50" s="14">
        <v>402</v>
      </c>
      <c r="H50" s="14">
        <v>378</v>
      </c>
      <c r="I50" s="14">
        <v>338</v>
      </c>
      <c r="J50" s="14">
        <v>422</v>
      </c>
      <c r="N50" s="117" t="s">
        <v>1960</v>
      </c>
      <c r="O50" s="336"/>
      <c r="P50" s="336"/>
      <c r="Q50" s="338"/>
      <c r="R50" s="336"/>
      <c r="S50" s="334"/>
      <c r="T50" s="364"/>
      <c r="U50" s="334"/>
      <c r="V50" s="334"/>
      <c r="W50" s="334"/>
      <c r="X50" s="334"/>
      <c r="Y50" s="334"/>
      <c r="AA50" s="127"/>
    </row>
    <row r="51" spans="2:27" s="3" customFormat="1">
      <c r="B51" s="3" t="s">
        <v>63</v>
      </c>
      <c r="C51" s="14">
        <v>1</v>
      </c>
      <c r="D51" s="14">
        <v>1</v>
      </c>
      <c r="E51" s="14">
        <v>0</v>
      </c>
      <c r="F51" s="14">
        <v>1</v>
      </c>
      <c r="G51" s="14">
        <v>0</v>
      </c>
      <c r="H51" s="14">
        <v>1</v>
      </c>
      <c r="I51" s="14">
        <v>1</v>
      </c>
      <c r="J51" s="14">
        <v>1</v>
      </c>
      <c r="N51" s="129" t="s">
        <v>2060</v>
      </c>
      <c r="O51" s="342">
        <v>0.60416666666666663</v>
      </c>
      <c r="P51" s="345">
        <v>188</v>
      </c>
      <c r="Q51" s="348">
        <v>188</v>
      </c>
      <c r="R51" s="351">
        <v>188.5</v>
      </c>
      <c r="S51" s="354" t="s">
        <v>2061</v>
      </c>
      <c r="T51" s="357">
        <v>311</v>
      </c>
      <c r="U51" s="360">
        <v>186.5</v>
      </c>
      <c r="V51" s="360">
        <v>188</v>
      </c>
      <c r="W51" s="360">
        <v>189</v>
      </c>
      <c r="X51" s="360">
        <v>187.5</v>
      </c>
      <c r="Y51" s="130" t="s">
        <v>1973</v>
      </c>
      <c r="AA51" s="127"/>
    </row>
    <row r="52" spans="2:27" s="3" customFormat="1">
      <c r="B52" s="3" t="s">
        <v>64</v>
      </c>
      <c r="C52" s="14">
        <v>0</v>
      </c>
      <c r="D52" s="14">
        <v>0</v>
      </c>
      <c r="E52" s="14">
        <v>0</v>
      </c>
      <c r="F52" s="14">
        <v>0</v>
      </c>
      <c r="G52" s="14">
        <v>0</v>
      </c>
      <c r="H52" s="14">
        <v>0</v>
      </c>
      <c r="I52" s="14">
        <v>0</v>
      </c>
      <c r="J52" s="14">
        <v>0</v>
      </c>
      <c r="N52" s="131" t="s">
        <v>1972</v>
      </c>
      <c r="O52" s="343"/>
      <c r="P52" s="346"/>
      <c r="Q52" s="349"/>
      <c r="R52" s="352"/>
      <c r="S52" s="355"/>
      <c r="T52" s="358"/>
      <c r="U52" s="361"/>
      <c r="V52" s="361"/>
      <c r="W52" s="361"/>
      <c r="X52" s="361"/>
      <c r="Y52" s="132" t="s">
        <v>1974</v>
      </c>
      <c r="AA52" s="127"/>
    </row>
    <row r="53" spans="2:27" s="3" customFormat="1">
      <c r="B53" s="3" t="s">
        <v>65</v>
      </c>
      <c r="C53" s="14">
        <v>0</v>
      </c>
      <c r="D53" s="14">
        <v>0</v>
      </c>
      <c r="E53" s="14">
        <v>0</v>
      </c>
      <c r="F53" s="14">
        <v>0</v>
      </c>
      <c r="G53" s="14">
        <v>0</v>
      </c>
      <c r="H53" s="14">
        <v>0</v>
      </c>
      <c r="I53" s="14">
        <v>0</v>
      </c>
      <c r="J53" s="14">
        <v>0</v>
      </c>
      <c r="N53" s="133"/>
      <c r="O53" s="343"/>
      <c r="P53" s="346"/>
      <c r="Q53" s="349"/>
      <c r="R53" s="352"/>
      <c r="S53" s="355"/>
      <c r="T53" s="358"/>
      <c r="U53" s="361"/>
      <c r="V53" s="361"/>
      <c r="W53" s="361"/>
      <c r="X53" s="361"/>
      <c r="Y53" s="132" t="s">
        <v>1975</v>
      </c>
      <c r="AA53" s="127"/>
    </row>
    <row r="54" spans="2:27" s="3" customFormat="1" ht="17.25" thickBot="1">
      <c r="B54" s="3" t="s">
        <v>66</v>
      </c>
      <c r="C54" s="14">
        <v>0</v>
      </c>
      <c r="D54" s="14">
        <v>0</v>
      </c>
      <c r="E54" s="14">
        <v>0</v>
      </c>
      <c r="F54" s="14">
        <v>0</v>
      </c>
      <c r="G54" s="14">
        <v>0</v>
      </c>
      <c r="H54" s="14">
        <v>0</v>
      </c>
      <c r="I54" s="14">
        <v>0</v>
      </c>
      <c r="J54" s="14">
        <v>0</v>
      </c>
      <c r="N54" s="134"/>
      <c r="O54" s="344"/>
      <c r="P54" s="347"/>
      <c r="Q54" s="350"/>
      <c r="R54" s="353"/>
      <c r="S54" s="356"/>
      <c r="T54" s="359"/>
      <c r="U54" s="362"/>
      <c r="V54" s="362"/>
      <c r="W54" s="362"/>
      <c r="X54" s="362"/>
      <c r="Y54" s="135" t="s">
        <v>1976</v>
      </c>
      <c r="AA54" s="127"/>
    </row>
    <row r="55" spans="2:27" s="3" customFormat="1" ht="17.25" customHeight="1" thickBot="1">
      <c r="B55" s="3" t="s">
        <v>67</v>
      </c>
      <c r="C55" s="14">
        <v>1</v>
      </c>
      <c r="D55" s="14">
        <v>0</v>
      </c>
      <c r="E55" s="14">
        <v>0</v>
      </c>
      <c r="F55" s="14">
        <v>0</v>
      </c>
      <c r="G55" s="14">
        <v>1</v>
      </c>
      <c r="H55" s="14">
        <v>1</v>
      </c>
      <c r="I55" s="14">
        <v>1</v>
      </c>
      <c r="J55" s="14">
        <v>1</v>
      </c>
      <c r="N55" s="118" t="s">
        <v>2055</v>
      </c>
      <c r="O55" s="339" t="s">
        <v>2056</v>
      </c>
      <c r="P55" s="340"/>
      <c r="Q55" s="340"/>
      <c r="R55" s="340"/>
      <c r="S55" s="340"/>
      <c r="T55" s="340"/>
      <c r="U55" s="340"/>
      <c r="V55" s="340"/>
      <c r="W55" s="340"/>
      <c r="X55" s="340"/>
      <c r="Y55" s="341"/>
      <c r="AA55" s="127"/>
    </row>
    <row r="56" spans="2:27" s="3" customFormat="1">
      <c r="B56" s="3" t="s">
        <v>68</v>
      </c>
      <c r="C56" s="14">
        <v>0</v>
      </c>
      <c r="D56" s="14">
        <v>0</v>
      </c>
      <c r="E56" s="14">
        <v>0</v>
      </c>
      <c r="F56" s="14">
        <v>0</v>
      </c>
      <c r="G56" s="14">
        <v>0</v>
      </c>
      <c r="H56" s="14">
        <v>0</v>
      </c>
      <c r="I56" s="14">
        <v>0</v>
      </c>
      <c r="J56" s="14">
        <v>0</v>
      </c>
      <c r="Q56" s="14"/>
      <c r="R56" s="14"/>
      <c r="T56" s="14"/>
      <c r="AA56" s="127"/>
    </row>
    <row r="57" spans="2:27" s="3" customFormat="1">
      <c r="B57" s="3" t="s">
        <v>69</v>
      </c>
      <c r="C57" s="14">
        <v>0</v>
      </c>
      <c r="D57" s="14">
        <v>0</v>
      </c>
      <c r="E57" s="14">
        <v>0</v>
      </c>
      <c r="F57" s="14">
        <v>0</v>
      </c>
      <c r="G57" s="14">
        <v>0</v>
      </c>
      <c r="H57" s="14">
        <v>0</v>
      </c>
      <c r="I57" s="14">
        <v>0</v>
      </c>
      <c r="J57" s="14">
        <v>0</v>
      </c>
      <c r="AA57" s="127"/>
    </row>
    <row r="58" spans="2:27" s="3" customFormat="1">
      <c r="B58" s="3" t="s">
        <v>70</v>
      </c>
      <c r="C58" s="14">
        <v>0</v>
      </c>
      <c r="D58" s="14">
        <v>0</v>
      </c>
      <c r="E58" s="14">
        <v>0</v>
      </c>
      <c r="F58" s="14">
        <v>0</v>
      </c>
      <c r="G58" s="14">
        <v>0</v>
      </c>
      <c r="H58" s="14">
        <v>0</v>
      </c>
      <c r="I58" s="14">
        <v>0</v>
      </c>
      <c r="J58" s="14">
        <v>0</v>
      </c>
      <c r="Q58" s="14"/>
      <c r="R58" s="14"/>
      <c r="T58" s="14"/>
      <c r="AA58" s="127"/>
    </row>
    <row r="59" spans="2:27" s="3" customFormat="1">
      <c r="B59" s="3" t="s">
        <v>71</v>
      </c>
      <c r="C59" s="14">
        <v>0</v>
      </c>
      <c r="D59" s="14">
        <v>0</v>
      </c>
      <c r="E59" s="14">
        <v>0</v>
      </c>
      <c r="F59" s="14">
        <v>0</v>
      </c>
      <c r="G59" s="14">
        <v>0</v>
      </c>
      <c r="H59" s="14">
        <v>0</v>
      </c>
      <c r="I59" s="14">
        <v>0</v>
      </c>
      <c r="J59" s="14">
        <v>0</v>
      </c>
      <c r="AA59" s="127"/>
    </row>
    <row r="60" spans="2:27" s="3" customFormat="1">
      <c r="B60" s="3" t="s">
        <v>72</v>
      </c>
      <c r="C60" s="14">
        <v>0</v>
      </c>
      <c r="D60" s="14">
        <v>0</v>
      </c>
      <c r="E60" s="14">
        <v>0</v>
      </c>
      <c r="F60" s="14">
        <v>0</v>
      </c>
      <c r="G60" s="14">
        <v>0</v>
      </c>
      <c r="H60" s="14">
        <v>0</v>
      </c>
      <c r="I60" s="14">
        <v>0</v>
      </c>
      <c r="J60" s="14">
        <v>0</v>
      </c>
      <c r="Q60" s="14"/>
      <c r="R60" s="14"/>
      <c r="T60" s="14"/>
      <c r="AA60" s="127"/>
    </row>
    <row r="61" spans="2:27" s="3" customFormat="1">
      <c r="B61" s="3" t="s">
        <v>73</v>
      </c>
      <c r="C61" s="14">
        <v>0</v>
      </c>
      <c r="D61" s="14">
        <v>0</v>
      </c>
      <c r="E61" s="14">
        <v>0</v>
      </c>
      <c r="F61" s="14">
        <v>1</v>
      </c>
      <c r="G61" s="14">
        <v>1</v>
      </c>
      <c r="H61" s="14">
        <v>0</v>
      </c>
      <c r="I61" s="14">
        <v>0</v>
      </c>
      <c r="J61" s="14">
        <v>7</v>
      </c>
      <c r="AA61" s="127"/>
    </row>
    <row r="62" spans="2:27" s="3" customFormat="1">
      <c r="B62" s="3" t="s">
        <v>74</v>
      </c>
      <c r="C62" s="14">
        <v>23</v>
      </c>
      <c r="D62" s="14">
        <v>21</v>
      </c>
      <c r="E62" s="14">
        <v>20</v>
      </c>
      <c r="F62" s="14">
        <v>38</v>
      </c>
      <c r="G62" s="14">
        <v>19</v>
      </c>
      <c r="H62" s="14">
        <v>17</v>
      </c>
      <c r="I62" s="14">
        <v>15</v>
      </c>
      <c r="J62" s="14">
        <v>18</v>
      </c>
      <c r="Q62" s="14"/>
      <c r="R62" s="14"/>
      <c r="T62" s="14"/>
      <c r="AA62" s="127"/>
    </row>
    <row r="63" spans="2:27" s="3" customFormat="1">
      <c r="B63" s="3" t="s">
        <v>75</v>
      </c>
      <c r="C63" s="14">
        <v>25</v>
      </c>
      <c r="D63" s="14">
        <v>23</v>
      </c>
      <c r="E63" s="14">
        <v>21</v>
      </c>
      <c r="F63" s="14">
        <v>41</v>
      </c>
      <c r="G63" s="14">
        <v>21</v>
      </c>
      <c r="H63" s="14">
        <v>19</v>
      </c>
      <c r="I63" s="14">
        <v>16</v>
      </c>
      <c r="J63" s="14">
        <v>26</v>
      </c>
      <c r="P63" s="14"/>
      <c r="Q63" s="136"/>
      <c r="R63" s="14"/>
      <c r="S63" s="136"/>
      <c r="T63" s="14"/>
      <c r="U63" s="136"/>
      <c r="AA63" s="127"/>
    </row>
    <row r="64" spans="2:27" s="3" customFormat="1">
      <c r="B64" s="3" t="s">
        <v>76</v>
      </c>
      <c r="C64" s="14">
        <v>9</v>
      </c>
      <c r="D64" s="14">
        <v>3</v>
      </c>
      <c r="E64" s="14">
        <v>0</v>
      </c>
      <c r="F64" s="14">
        <v>0</v>
      </c>
      <c r="G64" s="14">
        <v>0</v>
      </c>
      <c r="H64" s="14">
        <v>0</v>
      </c>
      <c r="I64" s="14">
        <v>0</v>
      </c>
      <c r="J64" s="14">
        <v>0</v>
      </c>
      <c r="P64" s="14"/>
      <c r="Q64" s="14"/>
      <c r="R64" s="14"/>
      <c r="S64" s="136"/>
      <c r="T64" s="14"/>
      <c r="U64" s="136"/>
      <c r="AA64" s="127"/>
    </row>
    <row r="65" spans="2:27" s="3" customFormat="1">
      <c r="B65" s="3" t="s">
        <v>77</v>
      </c>
      <c r="C65" s="14">
        <v>0</v>
      </c>
      <c r="D65" s="14">
        <v>0</v>
      </c>
      <c r="E65" s="14">
        <v>0</v>
      </c>
      <c r="F65" s="14">
        <v>0</v>
      </c>
      <c r="G65" s="14">
        <v>0</v>
      </c>
      <c r="H65" s="14">
        <v>0</v>
      </c>
      <c r="I65" s="14">
        <v>0</v>
      </c>
      <c r="J65" s="14">
        <v>0</v>
      </c>
      <c r="P65" s="14"/>
      <c r="Q65" s="136"/>
      <c r="R65" s="14"/>
      <c r="S65" s="136"/>
      <c r="T65" s="14"/>
      <c r="U65" s="136"/>
      <c r="AA65" s="127"/>
    </row>
    <row r="66" spans="2:27" s="3" customFormat="1">
      <c r="B66" s="3" t="s">
        <v>78</v>
      </c>
      <c r="C66" s="14">
        <v>0</v>
      </c>
      <c r="D66" s="14">
        <v>0</v>
      </c>
      <c r="E66" s="3">
        <v>0</v>
      </c>
      <c r="F66" s="14">
        <v>0</v>
      </c>
      <c r="G66" s="14">
        <v>0</v>
      </c>
      <c r="H66" s="14">
        <v>0</v>
      </c>
      <c r="I66" s="14">
        <v>0</v>
      </c>
      <c r="J66" s="14">
        <v>0</v>
      </c>
      <c r="P66" s="14"/>
      <c r="Q66" s="14"/>
      <c r="R66" s="14"/>
      <c r="S66" s="136"/>
      <c r="T66" s="14"/>
      <c r="U66" s="136"/>
      <c r="AA66" s="127"/>
    </row>
    <row r="67" spans="2:27" s="3" customFormat="1">
      <c r="B67" s="3" t="s">
        <v>79</v>
      </c>
      <c r="C67" s="14">
        <v>0</v>
      </c>
      <c r="D67" s="3">
        <v>0</v>
      </c>
      <c r="E67" s="14">
        <v>0</v>
      </c>
      <c r="F67" s="14">
        <v>0</v>
      </c>
      <c r="G67" s="14">
        <v>0</v>
      </c>
      <c r="H67" s="14">
        <v>0</v>
      </c>
      <c r="I67" s="14">
        <v>0</v>
      </c>
      <c r="J67" s="14">
        <v>0</v>
      </c>
      <c r="P67" s="14"/>
      <c r="Q67" s="136"/>
      <c r="R67" s="14"/>
      <c r="S67" s="136"/>
      <c r="T67" s="14"/>
      <c r="U67" s="136"/>
      <c r="AA67" s="127"/>
    </row>
    <row r="68" spans="2:27" s="3" customFormat="1">
      <c r="B68" s="3" t="s">
        <v>80</v>
      </c>
      <c r="C68" s="14">
        <v>0</v>
      </c>
      <c r="D68" s="14">
        <v>0</v>
      </c>
      <c r="E68" s="14">
        <v>0</v>
      </c>
      <c r="F68" s="14">
        <v>0</v>
      </c>
      <c r="G68" s="14">
        <v>-2</v>
      </c>
      <c r="H68" s="14">
        <v>4</v>
      </c>
      <c r="I68" s="14">
        <v>0</v>
      </c>
      <c r="J68" s="14">
        <v>0</v>
      </c>
      <c r="P68" s="14"/>
      <c r="Q68" s="14"/>
      <c r="R68" s="14"/>
      <c r="S68" s="136"/>
      <c r="T68" s="14"/>
      <c r="U68" s="136"/>
      <c r="AA68" s="127"/>
    </row>
    <row r="69" spans="2:27" s="3" customFormat="1">
      <c r="B69" s="3" t="s">
        <v>81</v>
      </c>
      <c r="C69" s="14">
        <v>0</v>
      </c>
      <c r="D69" s="14">
        <v>0</v>
      </c>
      <c r="E69" s="14">
        <v>0</v>
      </c>
      <c r="F69" s="14">
        <v>0</v>
      </c>
      <c r="G69" s="14">
        <v>0</v>
      </c>
      <c r="H69" s="14">
        <v>0</v>
      </c>
      <c r="I69" s="14">
        <v>0</v>
      </c>
      <c r="J69" s="14">
        <v>0</v>
      </c>
      <c r="P69" s="14"/>
      <c r="Q69" s="136"/>
      <c r="R69" s="14"/>
      <c r="S69" s="136"/>
      <c r="T69" s="14"/>
      <c r="U69" s="136"/>
      <c r="AA69" s="127"/>
    </row>
    <row r="70" spans="2:27" s="3" customFormat="1">
      <c r="B70" s="3" t="s">
        <v>82</v>
      </c>
      <c r="C70" s="3">
        <v>0</v>
      </c>
      <c r="D70" s="3">
        <v>0</v>
      </c>
      <c r="E70" s="14">
        <v>0</v>
      </c>
      <c r="F70" s="3">
        <v>0</v>
      </c>
      <c r="G70" s="3">
        <v>0</v>
      </c>
      <c r="H70" s="3">
        <v>0</v>
      </c>
      <c r="I70" s="14">
        <v>0</v>
      </c>
      <c r="J70" s="3">
        <v>0</v>
      </c>
      <c r="P70" s="14"/>
      <c r="Q70" s="14"/>
      <c r="R70" s="14"/>
      <c r="S70" s="136"/>
      <c r="T70" s="14"/>
      <c r="U70" s="136"/>
      <c r="AA70" s="127"/>
    </row>
    <row r="71" spans="2:27" s="3" customFormat="1">
      <c r="B71" s="3" t="s">
        <v>83</v>
      </c>
      <c r="C71" s="14">
        <v>0</v>
      </c>
      <c r="D71" s="14">
        <v>0</v>
      </c>
      <c r="E71" s="14">
        <v>0</v>
      </c>
      <c r="F71" s="14">
        <v>0</v>
      </c>
      <c r="G71" s="14">
        <v>0</v>
      </c>
      <c r="H71" s="14">
        <v>0</v>
      </c>
      <c r="I71" s="14">
        <v>0</v>
      </c>
      <c r="J71" s="14">
        <v>0</v>
      </c>
      <c r="P71" s="14"/>
      <c r="Q71" s="136"/>
      <c r="R71" s="14"/>
      <c r="S71" s="136"/>
      <c r="T71" s="14"/>
      <c r="U71" s="136"/>
      <c r="AA71" s="127"/>
    </row>
    <row r="72" spans="2:27" s="3" customFormat="1">
      <c r="B72" s="3" t="s">
        <v>84</v>
      </c>
      <c r="C72" s="14">
        <v>0</v>
      </c>
      <c r="D72" s="14">
        <v>0</v>
      </c>
      <c r="E72" s="14">
        <v>0</v>
      </c>
      <c r="F72" s="14">
        <v>0</v>
      </c>
      <c r="G72" s="14">
        <v>0</v>
      </c>
      <c r="H72" s="14">
        <v>0</v>
      </c>
      <c r="I72" s="14">
        <v>0</v>
      </c>
      <c r="J72" s="14">
        <v>0</v>
      </c>
      <c r="P72" s="14"/>
      <c r="Q72" s="14"/>
      <c r="R72" s="14"/>
      <c r="S72" s="136"/>
      <c r="T72" s="14"/>
      <c r="U72" s="136"/>
      <c r="AA72" s="127"/>
    </row>
    <row r="73" spans="2:27" s="3" customFormat="1">
      <c r="B73" s="3" t="s">
        <v>85</v>
      </c>
      <c r="C73" s="14">
        <v>0</v>
      </c>
      <c r="D73" s="14">
        <v>0</v>
      </c>
      <c r="E73" s="14">
        <v>0</v>
      </c>
      <c r="F73" s="14">
        <v>0</v>
      </c>
      <c r="G73" s="14">
        <v>0</v>
      </c>
      <c r="H73" s="14">
        <v>0</v>
      </c>
      <c r="I73" s="14">
        <v>0</v>
      </c>
      <c r="J73" s="14">
        <v>0</v>
      </c>
      <c r="P73" s="14"/>
      <c r="Q73" s="136"/>
      <c r="R73" s="14"/>
      <c r="S73" s="136"/>
      <c r="T73" s="14"/>
      <c r="U73" s="136"/>
      <c r="AA73" s="127"/>
    </row>
    <row r="74" spans="2:27" s="3" customFormat="1">
      <c r="B74" s="3" t="s">
        <v>86</v>
      </c>
      <c r="C74" s="14">
        <v>-1</v>
      </c>
      <c r="D74" s="14">
        <v>0</v>
      </c>
      <c r="E74" s="14">
        <v>0</v>
      </c>
      <c r="F74" s="14">
        <v>0</v>
      </c>
      <c r="G74" s="14">
        <v>-9</v>
      </c>
      <c r="H74" s="14">
        <v>5</v>
      </c>
      <c r="I74" s="14">
        <v>4</v>
      </c>
      <c r="J74" s="14">
        <v>0</v>
      </c>
      <c r="P74" s="14"/>
      <c r="Q74" s="14"/>
      <c r="R74" s="14"/>
      <c r="S74" s="136"/>
      <c r="T74" s="14"/>
      <c r="U74" s="136"/>
      <c r="AA74" s="127"/>
    </row>
    <row r="75" spans="2:27" s="3" customFormat="1">
      <c r="B75" s="3" t="s">
        <v>87</v>
      </c>
      <c r="C75" s="14">
        <v>0</v>
      </c>
      <c r="D75" s="14">
        <v>0</v>
      </c>
      <c r="E75" s="14">
        <v>0</v>
      </c>
      <c r="F75" s="14">
        <v>0</v>
      </c>
      <c r="G75" s="14">
        <v>0</v>
      </c>
      <c r="H75" s="14">
        <v>0</v>
      </c>
      <c r="I75" s="14">
        <v>0</v>
      </c>
      <c r="J75" s="14">
        <v>0</v>
      </c>
      <c r="P75" s="14"/>
      <c r="Q75" s="136"/>
      <c r="R75" s="14"/>
      <c r="S75" s="136"/>
      <c r="T75" s="14"/>
      <c r="U75" s="136"/>
      <c r="AA75" s="127"/>
    </row>
    <row r="76" spans="2:27" s="3" customFormat="1">
      <c r="B76" s="3" t="s">
        <v>88</v>
      </c>
      <c r="C76" s="14">
        <v>1</v>
      </c>
      <c r="D76" s="14">
        <v>0</v>
      </c>
      <c r="E76" s="14">
        <v>0</v>
      </c>
      <c r="F76" s="14">
        <v>1</v>
      </c>
      <c r="G76" s="14">
        <v>4</v>
      </c>
      <c r="H76" s="14">
        <v>0</v>
      </c>
      <c r="I76" s="14">
        <v>0</v>
      </c>
      <c r="J76" s="14">
        <v>0</v>
      </c>
      <c r="P76" s="14"/>
      <c r="Q76" s="14"/>
      <c r="R76" s="14"/>
      <c r="S76" s="136"/>
      <c r="T76" s="14"/>
      <c r="U76" s="136"/>
      <c r="AA76" s="127"/>
    </row>
    <row r="77" spans="2:27" s="3" customFormat="1">
      <c r="B77" s="3" t="s">
        <v>89</v>
      </c>
      <c r="C77" s="14">
        <v>10</v>
      </c>
      <c r="D77" s="14">
        <v>3</v>
      </c>
      <c r="E77" s="14">
        <v>0</v>
      </c>
      <c r="F77" s="14">
        <v>1</v>
      </c>
      <c r="G77" s="14">
        <v>-7</v>
      </c>
      <c r="H77" s="14">
        <v>9</v>
      </c>
      <c r="I77" s="14">
        <v>4</v>
      </c>
      <c r="J77" s="14">
        <v>0</v>
      </c>
      <c r="P77" s="14"/>
      <c r="Q77" s="136"/>
      <c r="R77" s="14"/>
      <c r="S77" s="136"/>
      <c r="T77" s="14"/>
      <c r="U77" s="136"/>
      <c r="AA77" s="127"/>
    </row>
    <row r="78" spans="2:27" s="3" customFormat="1">
      <c r="B78" s="3" t="s">
        <v>90</v>
      </c>
      <c r="C78" s="14">
        <v>472</v>
      </c>
      <c r="D78" s="14">
        <v>448</v>
      </c>
      <c r="E78" s="14">
        <v>419</v>
      </c>
      <c r="F78" s="14">
        <v>521</v>
      </c>
      <c r="G78" s="14">
        <v>430</v>
      </c>
      <c r="H78" s="14">
        <v>387</v>
      </c>
      <c r="I78" s="14">
        <v>351</v>
      </c>
      <c r="J78" s="14">
        <v>448</v>
      </c>
      <c r="P78" s="14"/>
      <c r="Q78" s="14"/>
      <c r="R78" s="14"/>
      <c r="S78" s="136"/>
      <c r="T78" s="14"/>
      <c r="U78" s="136"/>
      <c r="AA78" s="127"/>
    </row>
    <row r="79" spans="2:27" s="3" customFormat="1">
      <c r="B79" s="3" t="s">
        <v>91</v>
      </c>
      <c r="C79" s="14">
        <v>79</v>
      </c>
      <c r="D79" s="14">
        <v>91</v>
      </c>
      <c r="E79" s="14">
        <v>72</v>
      </c>
      <c r="F79" s="14">
        <v>94</v>
      </c>
      <c r="G79" s="14">
        <v>68</v>
      </c>
      <c r="H79" s="14">
        <v>78</v>
      </c>
      <c r="I79" s="14">
        <v>62</v>
      </c>
      <c r="J79" s="14">
        <v>77</v>
      </c>
      <c r="P79" s="14"/>
      <c r="Q79" s="136"/>
      <c r="R79" s="14"/>
      <c r="S79" s="136"/>
      <c r="T79" s="14"/>
      <c r="U79" s="136"/>
      <c r="AA79" s="127"/>
    </row>
    <row r="80" spans="2:27" s="3" customFormat="1">
      <c r="B80" s="3" t="s">
        <v>92</v>
      </c>
      <c r="C80" s="14">
        <v>393</v>
      </c>
      <c r="D80" s="14">
        <v>357</v>
      </c>
      <c r="E80" s="14">
        <v>347</v>
      </c>
      <c r="F80" s="14">
        <v>427</v>
      </c>
      <c r="G80" s="14">
        <v>362</v>
      </c>
      <c r="H80" s="14">
        <v>309</v>
      </c>
      <c r="I80" s="14">
        <v>289</v>
      </c>
      <c r="J80" s="14">
        <v>371</v>
      </c>
      <c r="P80" s="14"/>
      <c r="Q80" s="14"/>
      <c r="R80" s="14"/>
      <c r="S80" s="136"/>
      <c r="T80" s="14"/>
      <c r="U80" s="136"/>
      <c r="AA80" s="127"/>
    </row>
    <row r="81" spans="2:27" s="3" customFormat="1">
      <c r="B81" s="3" t="s">
        <v>93</v>
      </c>
      <c r="C81" s="14">
        <v>0</v>
      </c>
      <c r="D81" s="14">
        <v>0</v>
      </c>
      <c r="E81" s="14">
        <v>0</v>
      </c>
      <c r="F81" s="14">
        <v>0</v>
      </c>
      <c r="G81" s="14">
        <v>0</v>
      </c>
      <c r="H81" s="14">
        <v>0</v>
      </c>
      <c r="I81" s="14">
        <v>0</v>
      </c>
      <c r="J81" s="14">
        <v>0</v>
      </c>
      <c r="P81" s="14"/>
      <c r="Q81" s="136"/>
      <c r="R81" s="14"/>
      <c r="S81" s="136"/>
      <c r="T81" s="14"/>
      <c r="U81" s="136"/>
      <c r="AA81" s="127"/>
    </row>
    <row r="82" spans="2:27" s="3" customFormat="1">
      <c r="B82" s="3" t="s">
        <v>94</v>
      </c>
      <c r="C82" s="3">
        <v>0</v>
      </c>
      <c r="D82" s="3">
        <v>0</v>
      </c>
      <c r="E82" s="3">
        <v>0</v>
      </c>
      <c r="F82" s="3">
        <v>0</v>
      </c>
      <c r="G82" s="3">
        <v>0</v>
      </c>
      <c r="H82" s="3">
        <v>0</v>
      </c>
      <c r="I82" s="3">
        <v>0</v>
      </c>
      <c r="J82" s="3">
        <v>0</v>
      </c>
      <c r="P82" s="14"/>
      <c r="Q82" s="14"/>
      <c r="R82" s="14"/>
      <c r="S82" s="136"/>
      <c r="T82" s="14"/>
      <c r="U82" s="136"/>
      <c r="AA82" s="127"/>
    </row>
    <row r="83" spans="2:27" s="3" customFormat="1">
      <c r="B83" s="3" t="s">
        <v>95</v>
      </c>
      <c r="C83" s="14">
        <v>0</v>
      </c>
      <c r="D83" s="14">
        <v>0</v>
      </c>
      <c r="E83" s="14">
        <v>0</v>
      </c>
      <c r="F83" s="14">
        <v>0</v>
      </c>
      <c r="G83" s="14">
        <v>0</v>
      </c>
      <c r="H83" s="14">
        <v>0</v>
      </c>
      <c r="I83" s="14">
        <v>0</v>
      </c>
      <c r="J83" s="14">
        <v>0</v>
      </c>
      <c r="P83" s="14"/>
      <c r="Q83" s="136"/>
      <c r="R83" s="14"/>
      <c r="S83" s="136"/>
      <c r="T83" s="14"/>
      <c r="U83" s="136"/>
      <c r="AA83" s="127"/>
    </row>
    <row r="84" spans="2:27" s="3" customFormat="1">
      <c r="B84" s="3" t="s">
        <v>96</v>
      </c>
      <c r="C84" s="14">
        <v>393</v>
      </c>
      <c r="D84" s="14">
        <v>357</v>
      </c>
      <c r="E84" s="14">
        <v>347</v>
      </c>
      <c r="F84" s="14">
        <v>427</v>
      </c>
      <c r="G84" s="14">
        <v>362</v>
      </c>
      <c r="H84" s="14">
        <v>309</v>
      </c>
      <c r="I84" s="14">
        <v>289</v>
      </c>
      <c r="J84" s="14">
        <v>371</v>
      </c>
      <c r="P84" s="14"/>
      <c r="Q84" s="14"/>
      <c r="R84" s="14"/>
      <c r="S84" s="136"/>
      <c r="T84" s="14"/>
      <c r="U84" s="136"/>
      <c r="AA84" s="127"/>
    </row>
    <row r="85" spans="2:27" s="3" customFormat="1">
      <c r="B85" s="3" t="s">
        <v>97</v>
      </c>
      <c r="C85" s="14" t="s">
        <v>98</v>
      </c>
      <c r="D85" s="14" t="s">
        <v>98</v>
      </c>
      <c r="E85" s="14" t="s">
        <v>98</v>
      </c>
      <c r="F85" s="14" t="s">
        <v>98</v>
      </c>
      <c r="G85" s="14" t="s">
        <v>98</v>
      </c>
      <c r="H85" s="14" t="s">
        <v>98</v>
      </c>
      <c r="I85" s="14" t="s">
        <v>98</v>
      </c>
      <c r="J85" s="14" t="s">
        <v>98</v>
      </c>
      <c r="P85" s="14"/>
      <c r="Q85" s="136"/>
      <c r="R85" s="14"/>
      <c r="S85" s="136"/>
      <c r="T85" s="14"/>
      <c r="U85" s="136"/>
      <c r="AA85" s="127"/>
    </row>
    <row r="86" spans="2:27" s="3" customFormat="1">
      <c r="B86" s="3" t="s">
        <v>99</v>
      </c>
      <c r="C86" s="14">
        <v>131</v>
      </c>
      <c r="D86" s="14">
        <v>113</v>
      </c>
      <c r="E86" s="14">
        <v>109</v>
      </c>
      <c r="F86" s="14">
        <v>135</v>
      </c>
      <c r="G86" s="14">
        <v>116</v>
      </c>
      <c r="H86" s="14">
        <v>99</v>
      </c>
      <c r="I86" s="14">
        <v>94</v>
      </c>
      <c r="J86" s="14">
        <v>115</v>
      </c>
      <c r="P86" s="14"/>
      <c r="Q86" s="14"/>
      <c r="R86" s="14"/>
      <c r="S86" s="136"/>
      <c r="T86" s="14"/>
      <c r="U86" s="136"/>
      <c r="AA86" s="127"/>
    </row>
    <row r="87" spans="2:27" s="3" customFormat="1">
      <c r="B87" s="3" t="s">
        <v>100</v>
      </c>
      <c r="C87" s="14">
        <v>0</v>
      </c>
      <c r="D87" s="14">
        <v>0</v>
      </c>
      <c r="E87" s="14">
        <v>0</v>
      </c>
      <c r="F87" s="14">
        <v>0</v>
      </c>
      <c r="G87" s="14">
        <v>0</v>
      </c>
      <c r="H87" s="14">
        <v>0</v>
      </c>
      <c r="I87" s="14">
        <v>0</v>
      </c>
      <c r="J87" s="14">
        <v>0</v>
      </c>
      <c r="P87" s="14"/>
      <c r="Q87" s="136"/>
      <c r="R87" s="14"/>
      <c r="S87" s="136"/>
      <c r="T87" s="14"/>
      <c r="U87" s="136"/>
      <c r="AA87" s="127"/>
    </row>
    <row r="88" spans="2:27" s="3" customFormat="1">
      <c r="B88" s="3" t="s">
        <v>13</v>
      </c>
      <c r="C88" s="14">
        <v>262</v>
      </c>
      <c r="D88" s="14">
        <v>244</v>
      </c>
      <c r="E88" s="14">
        <v>238</v>
      </c>
      <c r="F88" s="14">
        <v>291</v>
      </c>
      <c r="G88" s="14">
        <v>246</v>
      </c>
      <c r="H88" s="14">
        <v>211</v>
      </c>
      <c r="I88" s="14">
        <v>195</v>
      </c>
      <c r="J88" s="14">
        <v>256</v>
      </c>
      <c r="P88" s="14"/>
      <c r="Q88" s="14"/>
      <c r="R88" s="14"/>
      <c r="S88" s="136"/>
      <c r="T88" s="14"/>
      <c r="U88" s="136"/>
      <c r="AA88" s="127"/>
    </row>
    <row r="89" spans="2:27" s="3" customFormat="1">
      <c r="B89" s="3" t="s">
        <v>14</v>
      </c>
      <c r="C89" s="14">
        <v>2.0099999999999998</v>
      </c>
      <c r="D89" s="14">
        <v>1.88</v>
      </c>
      <c r="E89" s="14">
        <v>1.83</v>
      </c>
      <c r="F89" s="14">
        <v>2.2400000000000002</v>
      </c>
      <c r="G89" s="14">
        <v>1.89</v>
      </c>
      <c r="H89" s="14">
        <v>1.62</v>
      </c>
      <c r="I89" s="14">
        <v>1.49</v>
      </c>
      <c r="J89" s="14">
        <v>1.96</v>
      </c>
      <c r="P89" s="14"/>
      <c r="Q89" s="136"/>
      <c r="R89" s="14"/>
      <c r="S89" s="136"/>
      <c r="T89" s="14"/>
      <c r="U89" s="136"/>
      <c r="AA89" s="127"/>
    </row>
    <row r="90" spans="2:27" s="3" customFormat="1">
      <c r="B90" s="3" t="s">
        <v>101</v>
      </c>
      <c r="C90" s="14">
        <v>1.98</v>
      </c>
      <c r="D90" s="14">
        <v>1.87</v>
      </c>
      <c r="E90" s="14">
        <v>1.81</v>
      </c>
      <c r="F90" s="14" t="s">
        <v>98</v>
      </c>
      <c r="G90" s="14">
        <v>1.89</v>
      </c>
      <c r="H90" s="14">
        <v>1.62</v>
      </c>
      <c r="I90" s="14">
        <v>1.49</v>
      </c>
      <c r="J90" s="14" t="s">
        <v>98</v>
      </c>
      <c r="P90" s="14"/>
      <c r="Q90" s="14"/>
      <c r="R90" s="14"/>
      <c r="S90" s="136"/>
      <c r="T90" s="14"/>
      <c r="U90" s="136"/>
      <c r="AA90" s="127"/>
    </row>
    <row r="91" spans="2:27" s="3" customFormat="1">
      <c r="B91" s="3" t="s">
        <v>102</v>
      </c>
      <c r="C91" s="14">
        <v>1302</v>
      </c>
      <c r="D91" s="14">
        <v>1302</v>
      </c>
      <c r="E91" s="14">
        <v>1302</v>
      </c>
      <c r="F91" s="14">
        <v>1302</v>
      </c>
      <c r="G91" s="14">
        <v>1302</v>
      </c>
      <c r="H91" s="14">
        <v>1302</v>
      </c>
      <c r="I91" s="14">
        <v>1302</v>
      </c>
      <c r="J91" s="14">
        <v>1302</v>
      </c>
      <c r="P91" s="14"/>
      <c r="Q91" s="136"/>
      <c r="R91" s="14"/>
      <c r="S91" s="136"/>
      <c r="T91" s="14"/>
      <c r="U91" s="136"/>
      <c r="AA91" s="127"/>
    </row>
    <row r="92" spans="2:27" s="3" customFormat="1">
      <c r="B92" s="3" t="s">
        <v>103</v>
      </c>
      <c r="C92" s="14">
        <v>0</v>
      </c>
      <c r="D92" s="14">
        <v>0</v>
      </c>
      <c r="E92" s="14">
        <v>0</v>
      </c>
      <c r="F92" s="14">
        <v>0</v>
      </c>
      <c r="G92" s="14">
        <v>0</v>
      </c>
      <c r="H92" s="14">
        <v>0</v>
      </c>
      <c r="I92" s="14">
        <v>0</v>
      </c>
      <c r="J92" s="14">
        <v>0</v>
      </c>
      <c r="P92" s="14"/>
      <c r="Q92" s="14"/>
      <c r="R92" s="14"/>
      <c r="S92" s="136"/>
      <c r="T92" s="14"/>
      <c r="U92" s="136"/>
      <c r="AA92" s="127"/>
    </row>
    <row r="93" spans="2:27" s="3" customFormat="1">
      <c r="B93" s="3" t="s">
        <v>104</v>
      </c>
      <c r="C93" s="14" t="s">
        <v>98</v>
      </c>
      <c r="D93" s="14" t="s">
        <v>98</v>
      </c>
      <c r="E93" s="14" t="s">
        <v>98</v>
      </c>
      <c r="F93" s="14">
        <v>0</v>
      </c>
      <c r="G93" s="14" t="s">
        <v>98</v>
      </c>
      <c r="H93" s="14" t="s">
        <v>98</v>
      </c>
      <c r="I93" s="14" t="s">
        <v>98</v>
      </c>
      <c r="J93" s="14">
        <v>0</v>
      </c>
      <c r="P93" s="14"/>
      <c r="Q93" s="136"/>
      <c r="R93" s="14"/>
      <c r="S93" s="136"/>
      <c r="T93" s="14"/>
      <c r="U93" s="136"/>
      <c r="AA93" s="127"/>
    </row>
    <row r="94" spans="2:27" s="3" customFormat="1">
      <c r="B94" s="3" t="s">
        <v>105</v>
      </c>
      <c r="C94" s="14">
        <v>0</v>
      </c>
      <c r="D94" s="14">
        <v>0</v>
      </c>
      <c r="E94" s="14">
        <v>0</v>
      </c>
      <c r="F94" s="14">
        <v>0</v>
      </c>
      <c r="G94" s="14">
        <v>0</v>
      </c>
      <c r="H94" s="14">
        <v>0</v>
      </c>
      <c r="I94" s="14">
        <v>0</v>
      </c>
      <c r="J94" s="14">
        <v>0</v>
      </c>
      <c r="P94" s="137"/>
      <c r="Q94" s="14"/>
      <c r="R94" s="14"/>
      <c r="S94" s="136"/>
      <c r="T94" s="14"/>
      <c r="U94" s="136"/>
      <c r="AA94" s="127"/>
    </row>
    <row r="95" spans="2:27" s="3" customFormat="1">
      <c r="B95" s="3" t="s">
        <v>106</v>
      </c>
      <c r="C95" s="14">
        <v>0</v>
      </c>
      <c r="D95" s="14">
        <v>0</v>
      </c>
      <c r="E95" s="14">
        <v>0</v>
      </c>
      <c r="F95" s="14">
        <v>0</v>
      </c>
      <c r="G95" s="14">
        <v>0</v>
      </c>
      <c r="H95" s="14">
        <v>0</v>
      </c>
      <c r="I95" s="14">
        <v>0</v>
      </c>
      <c r="J95" s="14">
        <v>0</v>
      </c>
      <c r="P95" s="14"/>
      <c r="Q95" s="136"/>
      <c r="R95" s="14"/>
      <c r="S95" s="136"/>
      <c r="T95" s="14"/>
      <c r="U95" s="136"/>
      <c r="AA95" s="127"/>
    </row>
    <row r="96" spans="2:27" s="3" customFormat="1">
      <c r="B96" s="3" t="s">
        <v>107</v>
      </c>
      <c r="C96" s="14">
        <v>481</v>
      </c>
      <c r="D96" s="14">
        <v>451</v>
      </c>
      <c r="E96" s="14">
        <v>419</v>
      </c>
      <c r="F96" s="14">
        <v>521</v>
      </c>
      <c r="G96" s="14">
        <v>430</v>
      </c>
      <c r="H96" s="14">
        <v>387</v>
      </c>
      <c r="I96" s="14">
        <v>351</v>
      </c>
      <c r="J96" s="14">
        <v>448</v>
      </c>
      <c r="P96" s="137"/>
      <c r="Q96" s="14"/>
      <c r="R96" s="14"/>
      <c r="S96" s="136"/>
      <c r="T96" s="14"/>
      <c r="U96" s="136"/>
      <c r="AA96" s="127"/>
    </row>
    <row r="97" spans="2:27" s="3" customFormat="1">
      <c r="B97" s="3" t="s">
        <v>108</v>
      </c>
      <c r="C97" s="14">
        <v>521</v>
      </c>
      <c r="D97" s="14">
        <v>489</v>
      </c>
      <c r="E97" s="14">
        <v>454</v>
      </c>
      <c r="F97" s="14">
        <v>550</v>
      </c>
      <c r="G97" s="14">
        <v>463</v>
      </c>
      <c r="H97" s="14">
        <v>420</v>
      </c>
      <c r="I97" s="14">
        <v>384</v>
      </c>
      <c r="J97" s="14">
        <v>480</v>
      </c>
      <c r="P97" s="14"/>
      <c r="Q97" s="136"/>
      <c r="R97" s="14"/>
      <c r="S97" s="136"/>
      <c r="T97" s="14"/>
      <c r="U97" s="136"/>
      <c r="AA97" s="127"/>
    </row>
    <row r="98" spans="2:27" s="3" customFormat="1">
      <c r="B98" s="3" t="s">
        <v>109</v>
      </c>
      <c r="C98" s="14">
        <v>392</v>
      </c>
      <c r="D98" s="14">
        <v>357</v>
      </c>
      <c r="E98" s="14">
        <v>347</v>
      </c>
      <c r="F98" s="14">
        <v>426</v>
      </c>
      <c r="G98" s="14">
        <v>359</v>
      </c>
      <c r="H98" s="14">
        <v>312</v>
      </c>
      <c r="I98" s="14">
        <v>288</v>
      </c>
      <c r="J98" s="14">
        <v>370</v>
      </c>
      <c r="P98" s="137"/>
      <c r="Q98" s="14"/>
      <c r="R98" s="14"/>
      <c r="S98" s="136"/>
      <c r="T98" s="14"/>
      <c r="U98" s="136"/>
      <c r="AA98" s="127"/>
    </row>
    <row r="99" spans="2:27" s="3" customFormat="1">
      <c r="B99" s="3" t="s">
        <v>110</v>
      </c>
      <c r="C99" s="14"/>
      <c r="D99" s="14"/>
      <c r="E99" s="14"/>
      <c r="F99" s="14"/>
      <c r="G99" s="14"/>
      <c r="H99" s="14"/>
      <c r="I99" s="14"/>
      <c r="J99" s="14"/>
      <c r="P99" s="14"/>
      <c r="Q99" s="136"/>
      <c r="R99" s="14"/>
      <c r="S99" s="136"/>
      <c r="T99" s="14"/>
      <c r="U99" s="136"/>
      <c r="AA99" s="127"/>
    </row>
    <row r="100" spans="2:27" s="3" customFormat="1">
      <c r="B100" s="3" t="s">
        <v>111</v>
      </c>
      <c r="C100" s="14"/>
      <c r="D100" s="14"/>
      <c r="E100" s="14"/>
      <c r="F100" s="14"/>
      <c r="G100" s="14"/>
      <c r="H100" s="14"/>
      <c r="I100" s="14"/>
      <c r="J100" s="14"/>
      <c r="P100" s="137"/>
      <c r="Q100" s="14"/>
      <c r="R100" s="14"/>
      <c r="T100" s="14"/>
      <c r="AA100" s="127"/>
    </row>
    <row r="101" spans="2:27" s="3" customFormat="1">
      <c r="C101" s="14"/>
      <c r="D101" s="14"/>
      <c r="E101" s="14"/>
      <c r="F101" s="14"/>
      <c r="G101" s="14"/>
      <c r="H101" s="14"/>
      <c r="I101" s="14"/>
      <c r="J101" s="14"/>
      <c r="P101" s="14"/>
      <c r="Q101" s="136"/>
      <c r="T101" s="14"/>
      <c r="AA101" s="127"/>
    </row>
    <row r="102" spans="2:27" s="3" customFormat="1">
      <c r="C102" s="14"/>
      <c r="D102" s="14"/>
      <c r="E102" s="14"/>
      <c r="F102" s="14"/>
      <c r="G102" s="14"/>
      <c r="H102" s="14"/>
      <c r="I102" s="14"/>
      <c r="J102" s="14"/>
      <c r="P102" s="137"/>
      <c r="Q102" s="14"/>
      <c r="R102" s="14"/>
      <c r="T102" s="14"/>
      <c r="AA102" s="127"/>
    </row>
    <row r="103" spans="2:27" s="3" customFormat="1">
      <c r="C103" s="14"/>
      <c r="D103" s="14"/>
      <c r="E103" s="14"/>
      <c r="F103" s="14"/>
      <c r="G103" s="14"/>
      <c r="H103" s="14"/>
      <c r="I103" s="14"/>
      <c r="P103" s="14"/>
      <c r="Q103" s="136"/>
      <c r="T103" s="14"/>
      <c r="AA103" s="127"/>
    </row>
    <row r="104" spans="2:27" s="3" customFormat="1">
      <c r="C104" s="14"/>
      <c r="D104" s="14"/>
      <c r="E104" s="14"/>
      <c r="F104" s="14"/>
      <c r="G104" s="14"/>
      <c r="H104" s="14"/>
      <c r="I104" s="14"/>
      <c r="J104" s="14"/>
      <c r="P104" s="137"/>
      <c r="Q104" s="14"/>
      <c r="R104" s="14"/>
      <c r="T104" s="14"/>
      <c r="AA104" s="127"/>
    </row>
    <row r="105" spans="2:27" s="3" customFormat="1">
      <c r="C105" s="14"/>
      <c r="D105" s="14"/>
      <c r="E105" s="14"/>
      <c r="F105" s="14"/>
      <c r="G105" s="14"/>
      <c r="H105" s="14"/>
      <c r="I105" s="14"/>
      <c r="J105" s="14"/>
      <c r="P105" s="14"/>
      <c r="Q105" s="136"/>
      <c r="T105" s="14"/>
      <c r="AA105" s="127"/>
    </row>
    <row r="106" spans="2:27" s="3" customFormat="1">
      <c r="C106" s="14"/>
      <c r="D106" s="14"/>
      <c r="E106" s="14"/>
      <c r="F106" s="14"/>
      <c r="G106" s="14"/>
      <c r="H106" s="14"/>
      <c r="I106" s="14"/>
      <c r="J106" s="14"/>
      <c r="P106" s="137"/>
      <c r="Q106" s="14"/>
      <c r="R106" s="14"/>
      <c r="T106" s="14"/>
      <c r="AA106" s="127"/>
    </row>
    <row r="107" spans="2:27" s="3" customFormat="1">
      <c r="C107" s="14"/>
      <c r="D107" s="14"/>
      <c r="E107" s="14"/>
      <c r="F107" s="14"/>
      <c r="G107" s="14"/>
      <c r="H107" s="14"/>
      <c r="I107" s="14"/>
      <c r="J107" s="14"/>
      <c r="P107" s="14"/>
      <c r="Q107" s="136"/>
      <c r="T107" s="14"/>
      <c r="AA107" s="127"/>
    </row>
    <row r="108" spans="2:27" s="3" customFormat="1">
      <c r="C108" s="14"/>
      <c r="D108" s="14"/>
      <c r="E108" s="14"/>
      <c r="F108" s="14"/>
      <c r="G108" s="14"/>
      <c r="H108" s="14"/>
      <c r="I108" s="14"/>
      <c r="J108" s="14"/>
      <c r="P108" s="137"/>
      <c r="Q108" s="14"/>
      <c r="R108" s="14"/>
      <c r="T108" s="14"/>
      <c r="AA108" s="127"/>
    </row>
    <row r="109" spans="2:27" s="3" customFormat="1">
      <c r="C109" s="14"/>
      <c r="D109" s="14"/>
      <c r="E109" s="14"/>
      <c r="F109" s="14"/>
      <c r="G109" s="14"/>
      <c r="H109" s="14"/>
      <c r="I109" s="14"/>
      <c r="J109" s="14"/>
      <c r="P109" s="14"/>
      <c r="Q109" s="136"/>
      <c r="T109" s="14"/>
      <c r="AA109" s="127"/>
    </row>
    <row r="110" spans="2:27" s="3" customFormat="1">
      <c r="C110" s="14"/>
      <c r="D110" s="14"/>
      <c r="E110" s="14"/>
      <c r="F110" s="14"/>
      <c r="G110" s="14"/>
      <c r="H110" s="14"/>
      <c r="I110" s="14"/>
      <c r="J110" s="14"/>
      <c r="P110" s="137"/>
      <c r="Q110" s="14"/>
      <c r="R110" s="14"/>
      <c r="T110" s="14"/>
      <c r="AA110" s="127"/>
    </row>
    <row r="111" spans="2:27" s="3" customFormat="1">
      <c r="C111" s="14"/>
      <c r="D111" s="14"/>
      <c r="E111" s="14"/>
      <c r="F111" s="14"/>
      <c r="G111" s="14"/>
      <c r="H111" s="14"/>
      <c r="I111" s="14"/>
      <c r="J111" s="14"/>
      <c r="AA111" s="127"/>
    </row>
    <row r="112" spans="2:27" s="3" customFormat="1">
      <c r="C112" s="14"/>
      <c r="D112" s="14"/>
      <c r="E112" s="14"/>
      <c r="F112" s="14"/>
      <c r="G112" s="14"/>
      <c r="H112" s="14"/>
      <c r="I112" s="14"/>
      <c r="J112" s="14"/>
      <c r="P112" s="137"/>
      <c r="Q112" s="14"/>
      <c r="R112" s="14"/>
      <c r="T112" s="14"/>
      <c r="AA112" s="127"/>
    </row>
    <row r="113" spans="2:27" s="3" customFormat="1">
      <c r="C113" s="14"/>
      <c r="D113" s="14"/>
      <c r="E113" s="14"/>
      <c r="F113" s="14"/>
      <c r="G113" s="14"/>
      <c r="H113" s="14"/>
      <c r="I113" s="14"/>
      <c r="J113" s="14"/>
      <c r="AA113" s="127"/>
    </row>
    <row r="114" spans="2:27" s="3" customFormat="1">
      <c r="C114" s="14"/>
      <c r="D114" s="14"/>
      <c r="E114" s="14"/>
      <c r="F114" s="14"/>
      <c r="G114" s="14"/>
      <c r="H114" s="14"/>
      <c r="I114" s="14"/>
      <c r="J114" s="14"/>
      <c r="P114" s="137"/>
      <c r="Q114" s="14"/>
      <c r="R114" s="14"/>
      <c r="T114" s="14"/>
      <c r="AA114" s="127"/>
    </row>
    <row r="115" spans="2:27" s="3" customFormat="1">
      <c r="C115" s="14"/>
      <c r="D115" s="14"/>
      <c r="E115" s="14"/>
      <c r="F115" s="14"/>
      <c r="G115" s="14"/>
      <c r="H115" s="14"/>
      <c r="I115" s="14"/>
      <c r="J115" s="14"/>
      <c r="AA115" s="127"/>
    </row>
    <row r="116" spans="2:27" s="3" customFormat="1">
      <c r="C116" s="14"/>
      <c r="D116" s="14"/>
      <c r="E116" s="14"/>
      <c r="F116" s="14"/>
      <c r="G116" s="14"/>
      <c r="H116" s="14"/>
      <c r="I116" s="14"/>
      <c r="J116" s="14"/>
      <c r="P116" s="137"/>
      <c r="Q116" s="14"/>
      <c r="R116" s="14"/>
      <c r="T116" s="14"/>
      <c r="AA116" s="127"/>
    </row>
    <row r="117" spans="2:27" s="3" customFormat="1">
      <c r="C117" s="14"/>
      <c r="D117" s="14"/>
      <c r="E117" s="14"/>
      <c r="F117" s="14"/>
      <c r="G117" s="14"/>
      <c r="H117" s="14"/>
      <c r="I117" s="14"/>
      <c r="J117" s="14"/>
      <c r="AA117" s="127"/>
    </row>
    <row r="118" spans="2:27" s="3" customFormat="1">
      <c r="C118" s="14"/>
      <c r="D118" s="14"/>
      <c r="E118" s="14"/>
      <c r="F118" s="14"/>
      <c r="G118" s="14"/>
      <c r="H118" s="14"/>
      <c r="I118" s="14"/>
      <c r="J118" s="14"/>
      <c r="P118" s="137"/>
      <c r="Q118" s="14"/>
      <c r="R118" s="14"/>
      <c r="T118" s="14"/>
      <c r="AA118" s="127"/>
    </row>
    <row r="119" spans="2:27" s="3" customFormat="1">
      <c r="C119" s="14"/>
      <c r="D119" s="14"/>
      <c r="E119" s="14"/>
      <c r="F119" s="14"/>
      <c r="G119" s="14"/>
      <c r="H119" s="14"/>
      <c r="I119" s="14"/>
      <c r="J119" s="14"/>
      <c r="AA119" s="127"/>
    </row>
    <row r="120" spans="2:27" s="3" customFormat="1">
      <c r="C120" s="14"/>
      <c r="D120" s="14"/>
      <c r="E120" s="14"/>
      <c r="F120" s="14"/>
      <c r="G120" s="14"/>
      <c r="H120" s="14"/>
      <c r="I120" s="14"/>
      <c r="J120" s="14"/>
      <c r="O120" s="32"/>
      <c r="P120" s="32"/>
      <c r="Q120" s="32"/>
      <c r="R120" s="32"/>
      <c r="S120" s="32"/>
      <c r="T120" s="32"/>
      <c r="U120" s="32"/>
      <c r="V120" s="32"/>
      <c r="W120" s="32"/>
      <c r="AA120" s="127"/>
    </row>
    <row r="121" spans="2:27" s="3" customFormat="1">
      <c r="C121" s="14"/>
      <c r="D121" s="14"/>
      <c r="E121" s="14"/>
      <c r="F121" s="14"/>
      <c r="G121" s="14"/>
      <c r="H121" s="14"/>
      <c r="I121" s="14"/>
      <c r="J121" s="14"/>
      <c r="O121" s="32"/>
      <c r="P121" s="32"/>
      <c r="Q121" s="32"/>
      <c r="R121" s="32"/>
      <c r="S121" s="32"/>
      <c r="T121" s="32"/>
      <c r="U121" s="32"/>
      <c r="V121" s="32"/>
      <c r="W121" s="32"/>
      <c r="AA121" s="127"/>
    </row>
    <row r="122" spans="2:27" s="3" customFormat="1">
      <c r="B122" s="3" t="s">
        <v>2059</v>
      </c>
      <c r="C122" s="14"/>
      <c r="D122" s="14"/>
      <c r="E122" s="14"/>
      <c r="F122" s="14"/>
      <c r="G122" s="14"/>
      <c r="H122" s="14"/>
      <c r="I122" s="14"/>
      <c r="J122" s="14"/>
      <c r="O122" s="32"/>
      <c r="P122" s="32"/>
      <c r="Q122" s="32"/>
      <c r="R122" s="32"/>
      <c r="S122" s="32"/>
      <c r="T122" s="32"/>
      <c r="U122" s="32"/>
      <c r="V122" s="32"/>
      <c r="W122" s="32"/>
      <c r="AA122" s="127"/>
    </row>
    <row r="123" spans="2:27" s="3" customFormat="1">
      <c r="B123" s="3" t="s">
        <v>47</v>
      </c>
      <c r="C123" s="14"/>
      <c r="D123" s="14"/>
      <c r="E123" s="14"/>
      <c r="F123" s="14"/>
      <c r="G123" s="14"/>
      <c r="H123" s="14"/>
      <c r="I123" s="14"/>
      <c r="J123" s="14"/>
      <c r="O123" s="32"/>
      <c r="P123" s="32"/>
      <c r="Q123" s="32"/>
      <c r="R123" s="32"/>
      <c r="S123" s="32"/>
      <c r="T123" s="32"/>
      <c r="U123" s="32"/>
      <c r="V123" s="32"/>
      <c r="W123" s="32"/>
      <c r="AA123" s="127"/>
    </row>
    <row r="124" spans="2:27" s="3" customFormat="1">
      <c r="B124" s="3" t="s">
        <v>48</v>
      </c>
      <c r="C124" s="14" t="s">
        <v>1933</v>
      </c>
      <c r="D124" s="14" t="s">
        <v>226</v>
      </c>
      <c r="E124" s="14" t="s">
        <v>49</v>
      </c>
      <c r="F124" s="14" t="s">
        <v>50</v>
      </c>
      <c r="G124" s="14" t="s">
        <v>51</v>
      </c>
      <c r="H124" s="14" t="s">
        <v>52</v>
      </c>
      <c r="I124" s="14" t="s">
        <v>53</v>
      </c>
      <c r="J124" s="14" t="s">
        <v>54</v>
      </c>
      <c r="P124" s="137"/>
      <c r="Q124" s="14"/>
      <c r="R124" s="14"/>
      <c r="T124" s="14"/>
      <c r="AA124" s="127"/>
    </row>
    <row r="125" spans="2:27" s="3" customFormat="1">
      <c r="B125" s="3" t="s">
        <v>152</v>
      </c>
      <c r="C125" s="14">
        <v>711</v>
      </c>
      <c r="D125" s="14">
        <v>1271</v>
      </c>
      <c r="E125" s="14">
        <v>1550</v>
      </c>
      <c r="F125" s="14">
        <v>1374</v>
      </c>
      <c r="G125" s="14">
        <v>766</v>
      </c>
      <c r="H125" s="14">
        <v>661</v>
      </c>
      <c r="I125" s="14">
        <v>1073</v>
      </c>
      <c r="J125" s="14">
        <v>1069</v>
      </c>
      <c r="AA125" s="127"/>
    </row>
    <row r="126" spans="2:27" s="3" customFormat="1">
      <c r="B126" s="3" t="s">
        <v>153</v>
      </c>
      <c r="C126" s="14">
        <v>800</v>
      </c>
      <c r="D126" s="14">
        <v>145</v>
      </c>
      <c r="E126" s="14">
        <v>246</v>
      </c>
      <c r="F126" s="14">
        <v>206</v>
      </c>
      <c r="G126" s="14">
        <v>314</v>
      </c>
      <c r="H126" s="14">
        <v>965</v>
      </c>
      <c r="I126" s="14">
        <v>524</v>
      </c>
      <c r="J126" s="14">
        <v>424</v>
      </c>
      <c r="P126" s="137"/>
      <c r="Q126" s="14"/>
      <c r="R126" s="14"/>
      <c r="T126" s="14"/>
      <c r="AA126" s="127"/>
    </row>
    <row r="127" spans="2:27" s="3" customFormat="1">
      <c r="B127" s="3" t="s">
        <v>190</v>
      </c>
      <c r="C127" s="14">
        <v>116</v>
      </c>
      <c r="D127" s="14">
        <v>98</v>
      </c>
      <c r="E127" s="14">
        <v>101</v>
      </c>
      <c r="F127" s="14">
        <v>98</v>
      </c>
      <c r="G127" s="14">
        <v>89</v>
      </c>
      <c r="H127" s="14">
        <v>90</v>
      </c>
      <c r="I127" s="14">
        <v>93</v>
      </c>
      <c r="J127" s="14">
        <v>86</v>
      </c>
      <c r="AA127" s="127"/>
    </row>
    <row r="128" spans="2:27" s="3" customFormat="1">
      <c r="B128" s="3" t="s">
        <v>154</v>
      </c>
      <c r="C128" s="14">
        <v>2</v>
      </c>
      <c r="D128" s="14">
        <v>2</v>
      </c>
      <c r="E128" s="14">
        <v>2</v>
      </c>
      <c r="F128" s="14">
        <v>2</v>
      </c>
      <c r="G128" s="14">
        <v>0</v>
      </c>
      <c r="H128" s="14">
        <v>1</v>
      </c>
      <c r="I128" s="14">
        <v>1</v>
      </c>
      <c r="J128" s="14">
        <v>1</v>
      </c>
      <c r="P128" s="137"/>
      <c r="Q128" s="14"/>
      <c r="R128" s="14"/>
      <c r="T128" s="14"/>
      <c r="AA128" s="127"/>
    </row>
    <row r="129" spans="2:27" s="3" customFormat="1">
      <c r="B129" s="3" t="s">
        <v>191</v>
      </c>
      <c r="C129" s="14">
        <v>0</v>
      </c>
      <c r="D129" s="14">
        <v>0</v>
      </c>
      <c r="E129" s="14">
        <v>0</v>
      </c>
      <c r="F129" s="14">
        <v>0</v>
      </c>
      <c r="G129" s="14">
        <v>0</v>
      </c>
      <c r="H129" s="14">
        <v>0</v>
      </c>
      <c r="I129" s="14">
        <v>0</v>
      </c>
      <c r="J129" s="14">
        <v>0</v>
      </c>
      <c r="AA129" s="127"/>
    </row>
    <row r="130" spans="2:27" s="3" customFormat="1">
      <c r="B130" s="3" t="s">
        <v>15</v>
      </c>
      <c r="C130" s="14">
        <v>365</v>
      </c>
      <c r="D130" s="14">
        <v>325</v>
      </c>
      <c r="E130" s="14">
        <v>285</v>
      </c>
      <c r="F130" s="14">
        <v>268</v>
      </c>
      <c r="G130" s="14">
        <v>245</v>
      </c>
      <c r="H130" s="14">
        <v>224</v>
      </c>
      <c r="I130" s="14">
        <v>241</v>
      </c>
      <c r="J130" s="14">
        <v>235</v>
      </c>
      <c r="P130" s="137"/>
      <c r="Q130" s="14"/>
      <c r="R130" s="14"/>
      <c r="T130" s="14"/>
      <c r="AA130" s="127"/>
    </row>
    <row r="131" spans="2:27" s="3" customFormat="1">
      <c r="B131" s="3" t="s">
        <v>192</v>
      </c>
      <c r="C131" s="14" t="s">
        <v>98</v>
      </c>
      <c r="D131" s="14" t="s">
        <v>98</v>
      </c>
      <c r="E131" s="14" t="s">
        <v>98</v>
      </c>
      <c r="F131" s="14" t="s">
        <v>98</v>
      </c>
      <c r="G131" s="14" t="s">
        <v>98</v>
      </c>
      <c r="H131" s="14" t="s">
        <v>98</v>
      </c>
      <c r="I131" s="14" t="s">
        <v>98</v>
      </c>
      <c r="J131" s="14" t="s">
        <v>98</v>
      </c>
      <c r="AA131" s="127"/>
    </row>
    <row r="132" spans="2:27" s="3" customFormat="1">
      <c r="B132" s="3" t="s">
        <v>155</v>
      </c>
      <c r="C132" s="14">
        <v>25</v>
      </c>
      <c r="D132" s="14">
        <v>23</v>
      </c>
      <c r="E132" s="14">
        <v>17</v>
      </c>
      <c r="F132" s="14">
        <v>16</v>
      </c>
      <c r="G132" s="14">
        <v>20</v>
      </c>
      <c r="H132" s="14">
        <v>24</v>
      </c>
      <c r="I132" s="14">
        <v>19</v>
      </c>
      <c r="J132" s="14">
        <v>15</v>
      </c>
      <c r="P132" s="137"/>
      <c r="Q132" s="14"/>
      <c r="R132" s="14"/>
      <c r="T132" s="14"/>
      <c r="AA132" s="127"/>
    </row>
    <row r="133" spans="2:27" s="3" customFormat="1">
      <c r="B133" s="3" t="s">
        <v>156</v>
      </c>
      <c r="C133" s="14">
        <v>3</v>
      </c>
      <c r="D133" s="14">
        <v>6</v>
      </c>
      <c r="E133" s="14">
        <v>1</v>
      </c>
      <c r="F133" s="14">
        <v>1</v>
      </c>
      <c r="G133" s="14">
        <v>1</v>
      </c>
      <c r="H133" s="14">
        <v>1</v>
      </c>
      <c r="I133" s="14">
        <v>1</v>
      </c>
      <c r="J133" s="14">
        <v>0</v>
      </c>
      <c r="AA133" s="127"/>
    </row>
    <row r="134" spans="2:27" s="3" customFormat="1">
      <c r="B134" s="3" t="s">
        <v>157</v>
      </c>
      <c r="C134" s="14">
        <v>2021</v>
      </c>
      <c r="D134" s="14">
        <v>1869</v>
      </c>
      <c r="E134" s="14">
        <v>2203</v>
      </c>
      <c r="F134" s="14">
        <v>1966</v>
      </c>
      <c r="G134" s="14">
        <v>1435</v>
      </c>
      <c r="H134" s="14">
        <v>1965</v>
      </c>
      <c r="I134" s="14">
        <v>1952</v>
      </c>
      <c r="J134" s="14">
        <v>1830</v>
      </c>
      <c r="P134" s="137"/>
      <c r="Q134" s="14"/>
      <c r="R134" s="14"/>
      <c r="T134" s="14"/>
      <c r="AA134" s="127"/>
    </row>
    <row r="135" spans="2:27" s="3" customFormat="1">
      <c r="B135" s="3" t="s">
        <v>158</v>
      </c>
      <c r="C135" s="14">
        <v>215</v>
      </c>
      <c r="D135" s="14">
        <v>204</v>
      </c>
      <c r="E135" s="14">
        <v>204</v>
      </c>
      <c r="F135" s="14">
        <v>204</v>
      </c>
      <c r="G135" s="14">
        <v>291</v>
      </c>
      <c r="H135" s="14">
        <v>1058</v>
      </c>
      <c r="I135" s="14">
        <v>326</v>
      </c>
      <c r="J135" s="14">
        <v>318</v>
      </c>
      <c r="AA135" s="127"/>
    </row>
    <row r="136" spans="2:27" s="3" customFormat="1">
      <c r="B136" s="3" t="s">
        <v>159</v>
      </c>
      <c r="C136" s="14">
        <v>3060</v>
      </c>
      <c r="D136" s="14">
        <v>3060</v>
      </c>
      <c r="E136" s="14">
        <v>2873</v>
      </c>
      <c r="F136" s="14">
        <v>926</v>
      </c>
      <c r="G136" s="14">
        <v>926</v>
      </c>
      <c r="H136" s="14">
        <v>926</v>
      </c>
      <c r="I136" s="14">
        <v>859</v>
      </c>
      <c r="J136" s="14">
        <v>859</v>
      </c>
      <c r="P136" s="137"/>
      <c r="Q136" s="14"/>
      <c r="R136" s="14"/>
      <c r="T136" s="14"/>
      <c r="AA136" s="127"/>
    </row>
    <row r="137" spans="2:27" s="3" customFormat="1">
      <c r="B137" s="3" t="s">
        <v>160</v>
      </c>
      <c r="C137" s="14">
        <v>2116</v>
      </c>
      <c r="D137" s="14">
        <v>2095</v>
      </c>
      <c r="E137" s="14">
        <v>2026</v>
      </c>
      <c r="F137" s="14">
        <v>1047</v>
      </c>
      <c r="G137" s="14">
        <v>938</v>
      </c>
      <c r="H137" s="14">
        <v>920</v>
      </c>
      <c r="I137" s="14">
        <v>922</v>
      </c>
      <c r="J137" s="14">
        <v>910</v>
      </c>
      <c r="AA137" s="127"/>
    </row>
    <row r="138" spans="2:27" s="3" customFormat="1">
      <c r="B138" s="3" t="s">
        <v>161</v>
      </c>
      <c r="C138" s="14">
        <v>1085</v>
      </c>
      <c r="D138" s="14">
        <v>1062</v>
      </c>
      <c r="E138" s="14">
        <v>1078</v>
      </c>
      <c r="F138" s="14">
        <v>1054</v>
      </c>
      <c r="G138" s="14">
        <v>1044</v>
      </c>
      <c r="H138" s="14">
        <v>1045</v>
      </c>
      <c r="I138" s="14">
        <v>1040</v>
      </c>
      <c r="J138" s="14">
        <v>1029</v>
      </c>
      <c r="P138" s="137"/>
      <c r="Q138" s="14"/>
      <c r="R138" s="14"/>
      <c r="T138" s="14"/>
      <c r="AA138" s="127"/>
    </row>
    <row r="139" spans="2:27" s="3" customFormat="1">
      <c r="B139" s="3" t="s">
        <v>162</v>
      </c>
      <c r="C139" s="14">
        <v>295</v>
      </c>
      <c r="D139" s="14">
        <v>282</v>
      </c>
      <c r="E139" s="14">
        <v>286</v>
      </c>
      <c r="F139" s="14">
        <v>278</v>
      </c>
      <c r="G139" s="14">
        <v>279</v>
      </c>
      <c r="H139" s="14">
        <v>268</v>
      </c>
      <c r="I139" s="14">
        <v>267</v>
      </c>
      <c r="J139" s="14">
        <v>266</v>
      </c>
      <c r="AA139" s="127"/>
    </row>
    <row r="140" spans="2:27" s="3" customFormat="1">
      <c r="B140" s="3" t="s">
        <v>163</v>
      </c>
      <c r="C140" s="14">
        <v>0</v>
      </c>
      <c r="D140" s="14">
        <v>0</v>
      </c>
      <c r="E140" s="14">
        <v>0</v>
      </c>
      <c r="F140" s="14">
        <v>0</v>
      </c>
      <c r="G140" s="14">
        <v>0</v>
      </c>
      <c r="H140" s="14">
        <v>0</v>
      </c>
      <c r="I140" s="14">
        <v>0</v>
      </c>
      <c r="J140" s="14">
        <v>0</v>
      </c>
      <c r="P140" s="137"/>
      <c r="Q140" s="14"/>
      <c r="R140" s="14"/>
      <c r="T140" s="14"/>
      <c r="AA140" s="127"/>
    </row>
    <row r="141" spans="2:27" s="3" customFormat="1">
      <c r="B141" s="3" t="s">
        <v>164</v>
      </c>
      <c r="C141" s="14">
        <v>-1429</v>
      </c>
      <c r="D141" s="14">
        <v>-1377</v>
      </c>
      <c r="E141" s="14">
        <v>-1381</v>
      </c>
      <c r="F141" s="14">
        <v>-1350</v>
      </c>
      <c r="G141" s="14">
        <v>-1306</v>
      </c>
      <c r="H141" s="14">
        <v>-1281</v>
      </c>
      <c r="I141" s="14">
        <v>-1263</v>
      </c>
      <c r="J141" s="14">
        <v>-1243</v>
      </c>
      <c r="AA141" s="127"/>
    </row>
    <row r="142" spans="2:27" s="3" customFormat="1">
      <c r="B142" s="3" t="s">
        <v>165</v>
      </c>
      <c r="C142" s="14">
        <v>0</v>
      </c>
      <c r="D142" s="14">
        <v>0</v>
      </c>
      <c r="E142" s="14">
        <v>0</v>
      </c>
      <c r="F142" s="14">
        <v>0</v>
      </c>
      <c r="G142" s="14">
        <v>0</v>
      </c>
      <c r="H142" s="14">
        <v>0</v>
      </c>
      <c r="I142" s="14">
        <v>0</v>
      </c>
      <c r="J142" s="14">
        <v>0</v>
      </c>
      <c r="P142" s="137"/>
      <c r="Q142" s="14"/>
      <c r="R142" s="14"/>
      <c r="T142" s="14"/>
      <c r="AA142" s="127"/>
    </row>
    <row r="143" spans="2:27" s="3" customFormat="1">
      <c r="B143" s="3" t="s">
        <v>166</v>
      </c>
      <c r="C143" s="14">
        <v>366</v>
      </c>
      <c r="D143" s="14">
        <v>244</v>
      </c>
      <c r="E143" s="14">
        <v>146</v>
      </c>
      <c r="F143" s="14">
        <v>112</v>
      </c>
      <c r="G143" s="14">
        <v>43</v>
      </c>
      <c r="H143" s="14">
        <v>14</v>
      </c>
      <c r="I143" s="14">
        <v>0</v>
      </c>
      <c r="J143" s="14">
        <v>0</v>
      </c>
      <c r="AA143" s="127"/>
    </row>
    <row r="144" spans="2:27" s="3" customFormat="1">
      <c r="B144" s="3" t="s">
        <v>167</v>
      </c>
      <c r="C144" s="14">
        <v>5493</v>
      </c>
      <c r="D144" s="14">
        <v>5364</v>
      </c>
      <c r="E144" s="14">
        <v>5028</v>
      </c>
      <c r="F144" s="14">
        <v>2068</v>
      </c>
      <c r="G144" s="14">
        <v>1925</v>
      </c>
      <c r="H144" s="14">
        <v>1893</v>
      </c>
      <c r="I144" s="14">
        <v>1824</v>
      </c>
      <c r="J144" s="14">
        <v>1820</v>
      </c>
      <c r="P144" s="137"/>
      <c r="Q144" s="14"/>
      <c r="R144" s="14"/>
      <c r="T144" s="14"/>
      <c r="AA144" s="127"/>
    </row>
    <row r="145" spans="2:27" s="3" customFormat="1">
      <c r="B145" s="3" t="s">
        <v>168</v>
      </c>
      <c r="C145" s="14">
        <v>7</v>
      </c>
      <c r="D145" s="14">
        <v>8</v>
      </c>
      <c r="E145" s="14">
        <v>8</v>
      </c>
      <c r="F145" s="14">
        <v>8</v>
      </c>
      <c r="G145" s="14">
        <v>15</v>
      </c>
      <c r="H145" s="14">
        <v>15</v>
      </c>
      <c r="I145" s="14">
        <v>16</v>
      </c>
      <c r="J145" s="14">
        <v>15</v>
      </c>
      <c r="AA145" s="127"/>
    </row>
    <row r="146" spans="2:27" s="3" customFormat="1">
      <c r="B146" s="3" t="s">
        <v>169</v>
      </c>
      <c r="C146" s="14">
        <v>13</v>
      </c>
      <c r="D146" s="14">
        <v>12</v>
      </c>
      <c r="E146" s="14">
        <v>12</v>
      </c>
      <c r="F146" s="14">
        <v>11</v>
      </c>
      <c r="G146" s="14">
        <v>8</v>
      </c>
      <c r="H146" s="14">
        <v>0</v>
      </c>
      <c r="I146" s="14">
        <v>0</v>
      </c>
      <c r="J146" s="14">
        <v>0</v>
      </c>
      <c r="P146" s="137"/>
      <c r="Q146" s="14"/>
      <c r="R146" s="14"/>
      <c r="T146" s="14"/>
      <c r="AA146" s="127"/>
    </row>
    <row r="147" spans="2:27" s="3" customFormat="1">
      <c r="B147" s="3" t="s">
        <v>170</v>
      </c>
      <c r="C147" s="14">
        <v>137</v>
      </c>
      <c r="D147" s="14">
        <v>143</v>
      </c>
      <c r="E147" s="14">
        <v>226</v>
      </c>
      <c r="F147" s="14">
        <v>1111</v>
      </c>
      <c r="G147" s="14">
        <v>923</v>
      </c>
      <c r="H147" s="14">
        <v>142</v>
      </c>
      <c r="I147" s="14">
        <v>744</v>
      </c>
      <c r="J147" s="14">
        <v>645</v>
      </c>
      <c r="AA147" s="127"/>
    </row>
    <row r="148" spans="2:27" s="3" customFormat="1">
      <c r="B148" s="3" t="s">
        <v>171</v>
      </c>
      <c r="C148" s="14">
        <v>156</v>
      </c>
      <c r="D148" s="14">
        <v>163</v>
      </c>
      <c r="E148" s="14">
        <v>247</v>
      </c>
      <c r="F148" s="14">
        <v>1131</v>
      </c>
      <c r="G148" s="14">
        <v>946</v>
      </c>
      <c r="H148" s="14">
        <v>157</v>
      </c>
      <c r="I148" s="14">
        <v>760</v>
      </c>
      <c r="J148" s="14">
        <v>661</v>
      </c>
      <c r="P148" s="137"/>
      <c r="Q148" s="14"/>
      <c r="R148" s="14"/>
      <c r="T148" s="14"/>
      <c r="AA148" s="127"/>
    </row>
    <row r="149" spans="2:27" s="3" customFormat="1">
      <c r="B149" s="3" t="s">
        <v>18</v>
      </c>
      <c r="C149" s="14">
        <v>7885</v>
      </c>
      <c r="D149" s="14">
        <v>7600</v>
      </c>
      <c r="E149" s="14">
        <v>7682</v>
      </c>
      <c r="F149" s="14">
        <v>5369</v>
      </c>
      <c r="G149" s="14">
        <v>4599</v>
      </c>
      <c r="H149" s="14">
        <v>5074</v>
      </c>
      <c r="I149" s="14">
        <v>4863</v>
      </c>
      <c r="J149" s="14">
        <v>4629</v>
      </c>
      <c r="AA149" s="127"/>
    </row>
    <row r="150" spans="2:27" s="3" customFormat="1">
      <c r="B150" s="3" t="s">
        <v>193</v>
      </c>
      <c r="C150" s="14">
        <v>0</v>
      </c>
      <c r="D150" s="14">
        <v>0</v>
      </c>
      <c r="E150" s="14">
        <v>0</v>
      </c>
      <c r="F150" s="14">
        <v>0</v>
      </c>
      <c r="G150" s="14">
        <v>0</v>
      </c>
      <c r="H150" s="14">
        <v>0</v>
      </c>
      <c r="I150" s="14">
        <v>0</v>
      </c>
      <c r="J150" s="14">
        <v>0</v>
      </c>
      <c r="P150" s="137"/>
      <c r="Q150" s="14"/>
      <c r="R150" s="14"/>
      <c r="T150" s="14"/>
      <c r="AA150" s="127"/>
    </row>
    <row r="151" spans="2:27" s="3" customFormat="1">
      <c r="B151" s="3" t="s">
        <v>194</v>
      </c>
      <c r="C151" s="14">
        <v>0</v>
      </c>
      <c r="D151" s="14">
        <v>0</v>
      </c>
      <c r="E151" s="14">
        <v>0</v>
      </c>
      <c r="F151" s="14">
        <v>0</v>
      </c>
      <c r="G151" s="14">
        <v>0</v>
      </c>
      <c r="H151" s="14">
        <v>0</v>
      </c>
      <c r="I151" s="14">
        <v>0</v>
      </c>
      <c r="J151" s="14">
        <v>0</v>
      </c>
      <c r="AA151" s="127"/>
    </row>
    <row r="152" spans="2:27" s="3" customFormat="1">
      <c r="B152" s="3" t="s">
        <v>16</v>
      </c>
      <c r="C152" s="14">
        <v>154</v>
      </c>
      <c r="D152" s="14">
        <v>185</v>
      </c>
      <c r="E152" s="14">
        <v>144</v>
      </c>
      <c r="F152" s="14">
        <v>128</v>
      </c>
      <c r="G152" s="14">
        <v>117</v>
      </c>
      <c r="H152" s="14">
        <v>101</v>
      </c>
      <c r="I152" s="14">
        <v>95</v>
      </c>
      <c r="J152" s="14">
        <v>88</v>
      </c>
      <c r="P152" s="137"/>
      <c r="Q152" s="14"/>
      <c r="R152" s="14"/>
      <c r="T152" s="14"/>
      <c r="AA152" s="127"/>
    </row>
    <row r="153" spans="2:27" s="3" customFormat="1">
      <c r="B153" s="3" t="s">
        <v>172</v>
      </c>
      <c r="C153" s="14">
        <v>885</v>
      </c>
      <c r="D153" s="14">
        <v>1092</v>
      </c>
      <c r="E153" s="14">
        <v>918</v>
      </c>
      <c r="F153" s="14">
        <v>1019</v>
      </c>
      <c r="G153" s="14">
        <v>786</v>
      </c>
      <c r="H153" s="14">
        <v>944</v>
      </c>
      <c r="I153" s="14">
        <v>751</v>
      </c>
      <c r="J153" s="14">
        <v>856</v>
      </c>
      <c r="AA153" s="127"/>
    </row>
    <row r="154" spans="2:27" s="3" customFormat="1">
      <c r="B154" s="3" t="s">
        <v>173</v>
      </c>
      <c r="C154" s="14">
        <v>42</v>
      </c>
      <c r="D154" s="14">
        <v>45</v>
      </c>
      <c r="E154" s="14">
        <v>25</v>
      </c>
      <c r="F154" s="14">
        <v>0</v>
      </c>
      <c r="G154" s="14">
        <v>23</v>
      </c>
      <c r="H154" s="14">
        <v>27</v>
      </c>
      <c r="I154" s="14">
        <v>20</v>
      </c>
      <c r="J154" s="14">
        <v>0</v>
      </c>
      <c r="P154" s="137"/>
      <c r="Q154" s="14"/>
      <c r="R154" s="14"/>
      <c r="T154" s="14"/>
      <c r="AA154" s="127"/>
    </row>
    <row r="155" spans="2:27" s="3" customFormat="1">
      <c r="B155" s="3" t="s">
        <v>174</v>
      </c>
      <c r="C155" s="14">
        <v>154</v>
      </c>
      <c r="D155" s="14">
        <v>785</v>
      </c>
      <c r="E155" s="14">
        <v>2072</v>
      </c>
      <c r="F155" s="14">
        <v>81</v>
      </c>
      <c r="G155" s="14">
        <v>47</v>
      </c>
      <c r="H155" s="14">
        <v>705</v>
      </c>
      <c r="I155" s="14">
        <v>44</v>
      </c>
      <c r="J155" s="14">
        <v>62</v>
      </c>
      <c r="AA155" s="127"/>
    </row>
    <row r="156" spans="2:27" s="3" customFormat="1">
      <c r="B156" s="3" t="s">
        <v>175</v>
      </c>
      <c r="C156" s="14">
        <v>100</v>
      </c>
      <c r="D156" s="14">
        <v>167</v>
      </c>
      <c r="E156" s="14">
        <v>256</v>
      </c>
      <c r="F156" s="14">
        <v>184</v>
      </c>
      <c r="G156" s="14">
        <v>99</v>
      </c>
      <c r="H156" s="14">
        <v>150</v>
      </c>
      <c r="I156" s="14">
        <v>230</v>
      </c>
      <c r="J156" s="14">
        <v>168</v>
      </c>
      <c r="P156" s="137"/>
      <c r="Q156" s="14"/>
      <c r="R156" s="14"/>
      <c r="T156" s="14"/>
      <c r="AA156" s="127"/>
    </row>
    <row r="157" spans="2:27" s="3" customFormat="1">
      <c r="B157" s="3" t="s">
        <v>176</v>
      </c>
      <c r="C157" s="14">
        <v>21</v>
      </c>
      <c r="D157" s="14">
        <v>16</v>
      </c>
      <c r="E157" s="14">
        <v>0</v>
      </c>
      <c r="F157" s="14">
        <v>0</v>
      </c>
      <c r="G157" s="14">
        <v>0</v>
      </c>
      <c r="H157" s="14">
        <v>0</v>
      </c>
      <c r="I157" s="14">
        <v>0</v>
      </c>
      <c r="J157" s="14">
        <v>0</v>
      </c>
      <c r="AA157" s="127"/>
    </row>
    <row r="158" spans="2:27" s="3" customFormat="1">
      <c r="B158" s="3" t="s">
        <v>177</v>
      </c>
      <c r="C158" s="14">
        <v>38</v>
      </c>
      <c r="D158" s="14">
        <v>16</v>
      </c>
      <c r="E158" s="14">
        <v>22</v>
      </c>
      <c r="F158" s="14">
        <v>51</v>
      </c>
      <c r="G158" s="14">
        <v>32</v>
      </c>
      <c r="H158" s="14">
        <v>15</v>
      </c>
      <c r="I158" s="14">
        <v>14</v>
      </c>
      <c r="J158" s="14">
        <v>43</v>
      </c>
      <c r="P158" s="137"/>
      <c r="Q158" s="14"/>
      <c r="R158" s="14"/>
      <c r="T158" s="14"/>
      <c r="AA158" s="127"/>
    </row>
    <row r="159" spans="2:27" s="3" customFormat="1">
      <c r="B159" s="3" t="s">
        <v>178</v>
      </c>
      <c r="C159" s="14">
        <v>1394</v>
      </c>
      <c r="D159" s="14">
        <v>2306</v>
      </c>
      <c r="E159" s="14">
        <v>3437</v>
      </c>
      <c r="F159" s="14">
        <v>1463</v>
      </c>
      <c r="G159" s="14">
        <v>1104</v>
      </c>
      <c r="H159" s="14">
        <v>1942</v>
      </c>
      <c r="I159" s="14">
        <v>1155</v>
      </c>
      <c r="J159" s="14">
        <v>1218</v>
      </c>
      <c r="AA159" s="127"/>
    </row>
    <row r="160" spans="2:27" s="3" customFormat="1">
      <c r="B160" s="3" t="s">
        <v>179</v>
      </c>
      <c r="C160" s="14">
        <v>2550</v>
      </c>
      <c r="D160" s="14">
        <v>1803</v>
      </c>
      <c r="E160" s="14">
        <v>18</v>
      </c>
      <c r="F160" s="14">
        <v>17</v>
      </c>
      <c r="G160" s="14">
        <v>32</v>
      </c>
      <c r="H160" s="14">
        <v>32</v>
      </c>
      <c r="I160" s="14">
        <v>34</v>
      </c>
      <c r="J160" s="14">
        <v>32</v>
      </c>
      <c r="P160" s="137"/>
      <c r="Q160" s="14"/>
      <c r="R160" s="14"/>
      <c r="T160" s="14"/>
      <c r="AA160" s="127"/>
    </row>
    <row r="161" spans="2:27" s="3" customFormat="1">
      <c r="B161" s="3" t="s">
        <v>180</v>
      </c>
      <c r="C161" s="14">
        <v>0</v>
      </c>
      <c r="D161" s="14">
        <v>0</v>
      </c>
      <c r="E161" s="14">
        <v>0</v>
      </c>
      <c r="F161" s="14">
        <v>0</v>
      </c>
      <c r="G161" s="14">
        <v>0</v>
      </c>
      <c r="H161" s="14">
        <v>0</v>
      </c>
      <c r="I161" s="14">
        <v>0</v>
      </c>
      <c r="J161" s="14">
        <v>0</v>
      </c>
      <c r="AA161" s="127"/>
    </row>
    <row r="162" spans="2:27" s="3" customFormat="1">
      <c r="B162" s="3" t="s">
        <v>181</v>
      </c>
      <c r="C162" s="14">
        <v>35</v>
      </c>
      <c r="D162" s="14">
        <v>36</v>
      </c>
      <c r="E162" s="14">
        <v>36</v>
      </c>
      <c r="F162" s="14">
        <v>40</v>
      </c>
      <c r="G162" s="14">
        <v>49</v>
      </c>
      <c r="H162" s="14">
        <v>50</v>
      </c>
      <c r="I162" s="14">
        <v>51</v>
      </c>
      <c r="J162" s="14">
        <v>54</v>
      </c>
      <c r="P162" s="137"/>
      <c r="Q162" s="14"/>
      <c r="R162" s="14"/>
      <c r="T162" s="14"/>
      <c r="AA162" s="127"/>
    </row>
    <row r="163" spans="2:27" s="3" customFormat="1">
      <c r="B163" s="3" t="s">
        <v>182</v>
      </c>
      <c r="C163" s="14">
        <v>70</v>
      </c>
      <c r="D163" s="14">
        <v>70</v>
      </c>
      <c r="E163" s="14">
        <v>70</v>
      </c>
      <c r="F163" s="14">
        <v>2</v>
      </c>
      <c r="G163" s="14">
        <v>2</v>
      </c>
      <c r="H163" s="14">
        <v>70</v>
      </c>
      <c r="I163" s="14">
        <v>70</v>
      </c>
      <c r="J163" s="14">
        <v>2</v>
      </c>
      <c r="AA163" s="127"/>
    </row>
    <row r="164" spans="2:27" s="3" customFormat="1">
      <c r="B164" s="3" t="s">
        <v>183</v>
      </c>
      <c r="C164" s="14">
        <v>0</v>
      </c>
      <c r="D164" s="14">
        <v>0</v>
      </c>
      <c r="E164" s="14">
        <v>0</v>
      </c>
      <c r="F164" s="14">
        <v>68</v>
      </c>
      <c r="G164" s="14">
        <v>68</v>
      </c>
      <c r="H164" s="14">
        <v>0</v>
      </c>
      <c r="I164" s="14">
        <v>0</v>
      </c>
      <c r="J164" s="14">
        <v>68</v>
      </c>
      <c r="P164" s="137"/>
      <c r="Q164" s="14"/>
      <c r="R164" s="14"/>
      <c r="T164" s="14"/>
      <c r="AA164" s="127"/>
    </row>
    <row r="165" spans="2:27" s="3" customFormat="1">
      <c r="B165" s="3" t="s">
        <v>184</v>
      </c>
      <c r="C165" s="14">
        <v>0</v>
      </c>
      <c r="D165" s="14">
        <v>0</v>
      </c>
      <c r="E165" s="14">
        <v>0</v>
      </c>
      <c r="F165" s="14">
        <v>0</v>
      </c>
      <c r="G165" s="14">
        <v>0</v>
      </c>
      <c r="H165" s="14">
        <v>0</v>
      </c>
      <c r="I165" s="14">
        <v>0</v>
      </c>
      <c r="J165" s="14">
        <v>0</v>
      </c>
      <c r="AA165" s="127"/>
    </row>
    <row r="166" spans="2:27" s="3" customFormat="1">
      <c r="B166" s="3" t="s">
        <v>185</v>
      </c>
      <c r="C166" s="14">
        <v>62</v>
      </c>
      <c r="D166" s="14">
        <v>62</v>
      </c>
      <c r="E166" s="14">
        <v>59</v>
      </c>
      <c r="F166" s="14">
        <v>62</v>
      </c>
      <c r="G166" s="14">
        <v>62</v>
      </c>
      <c r="H166" s="14">
        <v>57</v>
      </c>
      <c r="I166" s="14">
        <v>42</v>
      </c>
      <c r="J166" s="14">
        <v>33</v>
      </c>
      <c r="P166" s="137"/>
      <c r="Q166" s="14"/>
      <c r="R166" s="14"/>
      <c r="T166" s="14"/>
      <c r="AA166" s="127"/>
    </row>
    <row r="167" spans="2:27" s="3" customFormat="1">
      <c r="B167" s="3" t="s">
        <v>186</v>
      </c>
      <c r="C167" s="14">
        <v>168</v>
      </c>
      <c r="D167" s="14">
        <v>168</v>
      </c>
      <c r="E167" s="14">
        <v>166</v>
      </c>
      <c r="F167" s="14">
        <v>172</v>
      </c>
      <c r="G167" s="14">
        <v>181</v>
      </c>
      <c r="H167" s="14">
        <v>177</v>
      </c>
      <c r="I167" s="14">
        <v>164</v>
      </c>
      <c r="J167" s="14">
        <v>158</v>
      </c>
      <c r="AA167" s="127"/>
    </row>
    <row r="168" spans="2:27" s="3" customFormat="1">
      <c r="B168" s="3" t="s">
        <v>17</v>
      </c>
      <c r="C168" s="14">
        <v>4112</v>
      </c>
      <c r="D168" s="14">
        <v>4276</v>
      </c>
      <c r="E168" s="14">
        <v>3621</v>
      </c>
      <c r="F168" s="14">
        <v>1652</v>
      </c>
      <c r="G168" s="14">
        <v>1317</v>
      </c>
      <c r="H168" s="14">
        <v>2151</v>
      </c>
      <c r="I168" s="14">
        <v>1353</v>
      </c>
      <c r="J168" s="14">
        <v>1408</v>
      </c>
      <c r="P168" s="137"/>
      <c r="Q168" s="14"/>
      <c r="R168" s="14"/>
      <c r="T168" s="14"/>
      <c r="AA168" s="127"/>
    </row>
    <row r="169" spans="2:27" s="3" customFormat="1">
      <c r="B169" s="3" t="s">
        <v>187</v>
      </c>
      <c r="C169" s="14">
        <v>3774</v>
      </c>
      <c r="D169" s="14">
        <v>3324</v>
      </c>
      <c r="E169" s="14">
        <v>4061</v>
      </c>
      <c r="F169" s="14">
        <v>3717</v>
      </c>
      <c r="G169" s="14">
        <v>3282</v>
      </c>
      <c r="H169" s="14">
        <v>2923</v>
      </c>
      <c r="I169" s="14">
        <v>3510</v>
      </c>
      <c r="J169" s="14">
        <v>3221</v>
      </c>
      <c r="AA169" s="127"/>
    </row>
    <row r="170" spans="2:27" s="3" customFormat="1">
      <c r="B170" s="3" t="s">
        <v>195</v>
      </c>
      <c r="C170" s="14">
        <v>1302</v>
      </c>
      <c r="D170" s="14">
        <v>1302</v>
      </c>
      <c r="E170" s="14">
        <v>1302</v>
      </c>
      <c r="F170" s="14">
        <v>1302</v>
      </c>
      <c r="G170" s="14">
        <v>1302</v>
      </c>
      <c r="H170" s="14">
        <v>1302</v>
      </c>
      <c r="I170" s="14">
        <v>1302</v>
      </c>
      <c r="J170" s="14">
        <v>1302</v>
      </c>
      <c r="P170" s="137"/>
      <c r="Q170" s="14"/>
      <c r="R170" s="14"/>
      <c r="T170" s="14"/>
      <c r="AA170" s="127"/>
    </row>
    <row r="171" spans="2:27" s="3" customFormat="1">
      <c r="B171" s="3" t="s">
        <v>196</v>
      </c>
      <c r="C171" s="14">
        <v>0</v>
      </c>
      <c r="D171" s="14">
        <v>0</v>
      </c>
      <c r="E171" s="14">
        <v>0</v>
      </c>
      <c r="F171" s="14">
        <v>0</v>
      </c>
      <c r="G171" s="14">
        <v>0</v>
      </c>
      <c r="H171" s="14">
        <v>0</v>
      </c>
      <c r="I171" s="14">
        <v>0</v>
      </c>
      <c r="J171" s="14">
        <v>0</v>
      </c>
      <c r="AA171" s="127"/>
    </row>
    <row r="172" spans="2:27" s="3" customFormat="1">
      <c r="B172" s="3" t="s">
        <v>197</v>
      </c>
      <c r="C172" s="14">
        <v>50</v>
      </c>
      <c r="D172" s="14">
        <v>4</v>
      </c>
      <c r="E172" s="14">
        <v>4</v>
      </c>
      <c r="F172" s="14">
        <v>4</v>
      </c>
      <c r="G172" s="14">
        <v>4</v>
      </c>
      <c r="H172" s="14">
        <v>4</v>
      </c>
      <c r="I172" s="14">
        <v>4</v>
      </c>
      <c r="J172" s="14">
        <v>4</v>
      </c>
      <c r="P172" s="137"/>
      <c r="Q172" s="14"/>
      <c r="R172" s="14"/>
      <c r="T172" s="14"/>
      <c r="AA172" s="127"/>
    </row>
    <row r="173" spans="2:27" s="3" customFormat="1">
      <c r="B173" s="3" t="s">
        <v>198</v>
      </c>
      <c r="C173" s="14">
        <v>440</v>
      </c>
      <c r="D173" s="14">
        <v>440</v>
      </c>
      <c r="E173" s="14">
        <v>346</v>
      </c>
      <c r="F173" s="14">
        <v>346</v>
      </c>
      <c r="G173" s="14">
        <v>346</v>
      </c>
      <c r="H173" s="14">
        <v>346</v>
      </c>
      <c r="I173" s="14">
        <v>263</v>
      </c>
      <c r="J173" s="14">
        <v>263</v>
      </c>
      <c r="AA173" s="127"/>
    </row>
    <row r="174" spans="2:27" s="3" customFormat="1">
      <c r="B174" s="3" t="s">
        <v>199</v>
      </c>
      <c r="C174" s="14">
        <v>75</v>
      </c>
      <c r="D174" s="14">
        <v>75</v>
      </c>
      <c r="E174" s="14">
        <v>75</v>
      </c>
      <c r="F174" s="14">
        <v>75</v>
      </c>
      <c r="G174" s="14">
        <v>75</v>
      </c>
      <c r="H174" s="14">
        <v>75</v>
      </c>
      <c r="I174" s="14">
        <v>75</v>
      </c>
      <c r="J174" s="14">
        <v>75</v>
      </c>
      <c r="P174" s="137"/>
      <c r="Q174" s="14"/>
      <c r="R174" s="14"/>
      <c r="T174" s="14"/>
      <c r="AA174" s="127"/>
    </row>
    <row r="175" spans="2:27" s="3" customFormat="1">
      <c r="B175" s="3" t="s">
        <v>200</v>
      </c>
      <c r="C175" s="14">
        <v>1297</v>
      </c>
      <c r="D175" s="14">
        <v>1035</v>
      </c>
      <c r="E175" s="14">
        <v>1575</v>
      </c>
      <c r="F175" s="14">
        <v>1338</v>
      </c>
      <c r="G175" s="14">
        <v>1046</v>
      </c>
      <c r="H175" s="14">
        <v>800</v>
      </c>
      <c r="I175" s="14">
        <v>1325</v>
      </c>
      <c r="J175" s="14">
        <v>1130</v>
      </c>
      <c r="AA175" s="127"/>
    </row>
    <row r="176" spans="2:27" s="3" customFormat="1">
      <c r="B176" s="3" t="s">
        <v>201</v>
      </c>
      <c r="C176" s="14">
        <v>0</v>
      </c>
      <c r="D176" s="14">
        <v>0</v>
      </c>
      <c r="E176" s="14">
        <v>0</v>
      </c>
      <c r="F176" s="14">
        <v>0</v>
      </c>
      <c r="G176" s="14">
        <v>0</v>
      </c>
      <c r="H176" s="14">
        <v>0</v>
      </c>
      <c r="I176" s="14">
        <v>0</v>
      </c>
      <c r="J176" s="14">
        <v>0</v>
      </c>
      <c r="P176" s="137"/>
      <c r="Q176" s="14"/>
      <c r="R176" s="14"/>
      <c r="T176" s="14"/>
      <c r="AA176" s="127"/>
    </row>
    <row r="177" spans="2:27" s="3" customFormat="1">
      <c r="B177" s="3" t="s">
        <v>188</v>
      </c>
      <c r="C177" s="14">
        <v>599</v>
      </c>
      <c r="D177" s="14">
        <v>468</v>
      </c>
      <c r="E177" s="14">
        <v>755</v>
      </c>
      <c r="F177" s="14">
        <v>646</v>
      </c>
      <c r="G177" s="14">
        <v>510</v>
      </c>
      <c r="H177" s="14">
        <v>395</v>
      </c>
      <c r="I177" s="14">
        <v>543</v>
      </c>
      <c r="J177" s="14">
        <v>449</v>
      </c>
      <c r="AA177" s="127"/>
    </row>
    <row r="178" spans="2:27" s="3" customFormat="1">
      <c r="B178" s="3" t="s">
        <v>189</v>
      </c>
      <c r="C178" s="14">
        <v>7885</v>
      </c>
      <c r="D178" s="14">
        <v>7600</v>
      </c>
      <c r="E178" s="14">
        <v>7682</v>
      </c>
      <c r="F178" s="14">
        <v>5369</v>
      </c>
      <c r="G178" s="14">
        <v>4599</v>
      </c>
      <c r="H178" s="14">
        <v>5074</v>
      </c>
      <c r="I178" s="14">
        <v>4863</v>
      </c>
      <c r="J178" s="14">
        <v>4629</v>
      </c>
      <c r="P178" s="137"/>
      <c r="Q178" s="14"/>
      <c r="R178" s="14"/>
      <c r="T178" s="14"/>
      <c r="AA178" s="127"/>
    </row>
    <row r="179" spans="2:27" s="3" customFormat="1">
      <c r="B179" s="3" t="s">
        <v>110</v>
      </c>
      <c r="D179" s="14"/>
      <c r="E179" s="14"/>
      <c r="G179" s="14"/>
      <c r="J179" s="14"/>
      <c r="AA179" s="127"/>
    </row>
    <row r="180" spans="2:27" s="3" customFormat="1">
      <c r="B180" s="3" t="s">
        <v>111</v>
      </c>
      <c r="J180" s="14"/>
      <c r="P180" s="137"/>
      <c r="Q180" s="14"/>
      <c r="R180" s="14"/>
      <c r="T180" s="14"/>
      <c r="AA180" s="127"/>
    </row>
    <row r="181" spans="2:27" s="3" customFormat="1">
      <c r="C181" s="14"/>
      <c r="D181" s="14"/>
      <c r="E181" s="14"/>
      <c r="F181" s="14"/>
      <c r="G181" s="14"/>
      <c r="H181" s="14"/>
      <c r="I181" s="14"/>
      <c r="J181" s="14"/>
      <c r="AA181" s="127"/>
    </row>
    <row r="182" spans="2:27" s="3" customFormat="1">
      <c r="C182" s="14"/>
      <c r="D182" s="14"/>
      <c r="E182" s="14"/>
      <c r="F182" s="14"/>
      <c r="G182" s="14"/>
      <c r="H182" s="14"/>
      <c r="I182" s="14"/>
      <c r="J182" s="14"/>
      <c r="P182" s="137"/>
      <c r="Q182" s="14"/>
      <c r="R182" s="14"/>
      <c r="T182" s="14"/>
      <c r="AA182" s="127"/>
    </row>
    <row r="183" spans="2:27" s="3" customFormat="1">
      <c r="C183" s="14"/>
      <c r="D183" s="14"/>
      <c r="E183" s="14"/>
      <c r="F183" s="14"/>
      <c r="G183" s="14"/>
      <c r="H183" s="14"/>
      <c r="I183" s="14"/>
      <c r="J183" s="14"/>
      <c r="AA183" s="127"/>
    </row>
    <row r="184" spans="2:27" s="3" customFormat="1">
      <c r="C184" s="14"/>
      <c r="D184" s="14"/>
      <c r="E184" s="14"/>
      <c r="F184" s="14"/>
      <c r="G184" s="14"/>
      <c r="H184" s="14"/>
      <c r="I184" s="14"/>
      <c r="J184" s="14"/>
      <c r="P184" s="137"/>
      <c r="Q184" s="14"/>
      <c r="R184" s="14"/>
      <c r="T184" s="14"/>
      <c r="AA184" s="127"/>
    </row>
    <row r="185" spans="2:27" s="3" customFormat="1">
      <c r="C185" s="14"/>
      <c r="D185" s="14"/>
      <c r="E185" s="14"/>
      <c r="F185" s="14"/>
      <c r="G185" s="14"/>
      <c r="H185" s="14"/>
      <c r="I185" s="14"/>
      <c r="J185" s="14"/>
      <c r="AA185" s="127"/>
    </row>
    <row r="186" spans="2:27" s="3" customFormat="1">
      <c r="C186" s="14"/>
      <c r="D186" s="14"/>
      <c r="E186" s="14"/>
      <c r="F186" s="14"/>
      <c r="G186" s="14"/>
      <c r="H186" s="14"/>
      <c r="I186" s="14"/>
      <c r="J186" s="14"/>
      <c r="P186" s="137"/>
      <c r="Q186" s="14"/>
      <c r="R186" s="14"/>
      <c r="T186" s="14"/>
      <c r="AA186" s="127"/>
    </row>
    <row r="187" spans="2:27" s="3" customFormat="1">
      <c r="C187" s="14"/>
      <c r="D187" s="14"/>
      <c r="E187" s="14"/>
      <c r="F187" s="14"/>
      <c r="G187" s="14"/>
      <c r="H187" s="14"/>
      <c r="I187" s="14"/>
      <c r="J187" s="14"/>
      <c r="AA187" s="127"/>
    </row>
    <row r="188" spans="2:27" s="3" customFormat="1">
      <c r="C188" s="14"/>
      <c r="D188" s="14"/>
      <c r="E188" s="14"/>
      <c r="F188" s="14"/>
      <c r="G188" s="14"/>
      <c r="H188" s="14"/>
      <c r="I188" s="14"/>
      <c r="J188" s="14"/>
      <c r="P188" s="137"/>
      <c r="Q188" s="14"/>
      <c r="R188" s="14"/>
      <c r="T188" s="14"/>
      <c r="AA188" s="127"/>
    </row>
    <row r="189" spans="2:27" s="3" customFormat="1">
      <c r="C189" s="14"/>
      <c r="D189" s="14"/>
      <c r="E189" s="14"/>
      <c r="F189" s="14"/>
      <c r="G189" s="14"/>
      <c r="H189" s="14"/>
      <c r="I189" s="14"/>
      <c r="J189" s="14"/>
      <c r="AA189" s="127"/>
    </row>
    <row r="190" spans="2:27" s="3" customFormat="1">
      <c r="C190" s="14"/>
      <c r="D190" s="14"/>
      <c r="E190" s="14"/>
      <c r="F190" s="14"/>
      <c r="G190" s="14"/>
      <c r="H190" s="14"/>
      <c r="I190" s="14"/>
      <c r="J190" s="14"/>
      <c r="P190" s="137"/>
      <c r="Q190" s="14"/>
      <c r="R190" s="14"/>
      <c r="T190" s="14"/>
      <c r="AA190" s="127"/>
    </row>
    <row r="191" spans="2:27" s="3" customFormat="1">
      <c r="C191" s="14"/>
      <c r="D191" s="14"/>
      <c r="E191" s="14"/>
      <c r="F191" s="14"/>
      <c r="G191" s="14"/>
      <c r="H191" s="14"/>
      <c r="I191" s="14"/>
      <c r="J191" s="14"/>
      <c r="AA191" s="127"/>
    </row>
    <row r="192" spans="2:27" s="3" customFormat="1">
      <c r="C192" s="14"/>
      <c r="D192" s="14"/>
      <c r="E192" s="14"/>
      <c r="F192" s="14"/>
      <c r="G192" s="14"/>
      <c r="H192" s="14"/>
      <c r="I192" s="14"/>
      <c r="J192" s="14"/>
      <c r="P192" s="137"/>
      <c r="Q192" s="14"/>
      <c r="R192" s="14"/>
      <c r="T192" s="14"/>
      <c r="AA192" s="127"/>
    </row>
    <row r="193" spans="3:27" s="3" customFormat="1">
      <c r="C193" s="14"/>
      <c r="D193" s="14"/>
      <c r="E193" s="14"/>
      <c r="F193" s="14"/>
      <c r="G193" s="14"/>
      <c r="H193" s="14"/>
      <c r="I193" s="14"/>
      <c r="J193" s="14"/>
      <c r="AA193" s="127"/>
    </row>
    <row r="194" spans="3:27" s="3" customFormat="1">
      <c r="C194" s="14"/>
      <c r="D194" s="14"/>
      <c r="E194" s="14"/>
      <c r="F194" s="14"/>
      <c r="G194" s="14"/>
      <c r="H194" s="14"/>
      <c r="I194" s="14"/>
      <c r="J194" s="14"/>
      <c r="P194" s="137"/>
      <c r="Q194" s="14"/>
      <c r="R194" s="14"/>
      <c r="T194" s="14"/>
      <c r="AA194" s="127"/>
    </row>
    <row r="195" spans="3:27" s="3" customFormat="1">
      <c r="C195" s="14"/>
      <c r="D195" s="14"/>
      <c r="E195" s="14"/>
      <c r="F195" s="14"/>
      <c r="G195" s="14"/>
      <c r="H195" s="14"/>
      <c r="I195" s="14"/>
      <c r="J195" s="14"/>
      <c r="AA195" s="62"/>
    </row>
    <row r="196" spans="3:27" s="3" customFormat="1">
      <c r="C196" s="14"/>
      <c r="D196" s="14"/>
      <c r="E196" s="14"/>
      <c r="F196" s="14"/>
      <c r="G196" s="14"/>
      <c r="H196" s="14"/>
      <c r="I196" s="14"/>
      <c r="J196" s="14"/>
      <c r="P196" s="137"/>
      <c r="Q196" s="14"/>
      <c r="R196" s="14"/>
      <c r="T196" s="14"/>
      <c r="AA196" s="62"/>
    </row>
    <row r="197" spans="3:27" s="3" customFormat="1">
      <c r="C197" s="14"/>
      <c r="D197" s="14"/>
      <c r="E197" s="14"/>
      <c r="F197" s="14"/>
      <c r="G197" s="14"/>
      <c r="H197" s="14"/>
      <c r="I197" s="14"/>
      <c r="J197" s="14"/>
      <c r="AA197" s="62"/>
    </row>
    <row r="198" spans="3:27" s="3" customFormat="1">
      <c r="C198" s="14"/>
      <c r="D198" s="14"/>
      <c r="E198" s="14"/>
      <c r="F198" s="14"/>
      <c r="G198" s="14"/>
      <c r="H198" s="14"/>
      <c r="I198" s="14"/>
      <c r="J198" s="14"/>
      <c r="AA198" s="62"/>
    </row>
    <row r="199" spans="3:27" s="3" customFormat="1">
      <c r="C199" s="14"/>
      <c r="D199" s="14"/>
      <c r="E199" s="14"/>
      <c r="F199" s="14"/>
      <c r="G199" s="14"/>
      <c r="H199" s="14"/>
      <c r="I199" s="14"/>
      <c r="J199" s="14"/>
      <c r="AA199" s="62"/>
    </row>
    <row r="200" spans="3:27" s="3" customFormat="1">
      <c r="C200" s="14"/>
      <c r="D200" s="14"/>
      <c r="E200" s="14"/>
      <c r="F200" s="14"/>
      <c r="G200" s="14"/>
      <c r="H200" s="14"/>
      <c r="I200" s="14"/>
      <c r="AA200" s="62"/>
    </row>
    <row r="201" spans="3:27" s="3" customFormat="1">
      <c r="C201" s="14"/>
      <c r="D201" s="14"/>
      <c r="E201" s="14"/>
      <c r="F201" s="14"/>
      <c r="G201" s="14"/>
      <c r="H201" s="14"/>
      <c r="I201" s="14"/>
      <c r="J201" s="14"/>
      <c r="AA201" s="62"/>
    </row>
    <row r="202" spans="3:27" s="3" customFormat="1">
      <c r="C202" s="14"/>
      <c r="D202" s="14"/>
      <c r="E202" s="14"/>
      <c r="F202" s="14"/>
      <c r="G202" s="14"/>
      <c r="H202" s="14"/>
      <c r="I202" s="14"/>
      <c r="J202" s="14"/>
      <c r="AA202" s="62"/>
    </row>
    <row r="203" spans="3:27" s="3" customFormat="1">
      <c r="C203" s="14"/>
      <c r="D203" s="14"/>
      <c r="E203" s="14"/>
      <c r="F203" s="14"/>
      <c r="G203" s="14"/>
      <c r="H203" s="14"/>
      <c r="I203" s="14"/>
      <c r="J203" s="14"/>
      <c r="P203" s="137"/>
      <c r="W203" s="14"/>
      <c r="AA203" s="62"/>
    </row>
    <row r="204" spans="3:27" s="3" customFormat="1">
      <c r="C204" s="14"/>
      <c r="D204" s="14"/>
      <c r="E204" s="14"/>
      <c r="F204" s="14"/>
      <c r="G204" s="14"/>
      <c r="H204" s="14"/>
      <c r="I204" s="14"/>
      <c r="J204" s="14"/>
      <c r="AA204" s="62"/>
    </row>
    <row r="205" spans="3:27" s="3" customFormat="1">
      <c r="C205" s="14"/>
      <c r="D205" s="14"/>
      <c r="E205" s="14"/>
      <c r="F205" s="14"/>
      <c r="G205" s="14"/>
      <c r="H205" s="14"/>
      <c r="I205" s="14"/>
      <c r="J205" s="14"/>
      <c r="P205" s="137"/>
      <c r="W205" s="14"/>
      <c r="AA205" s="62"/>
    </row>
    <row r="206" spans="3:27" s="3" customFormat="1">
      <c r="C206" s="14"/>
      <c r="D206" s="14"/>
      <c r="E206" s="14"/>
      <c r="F206" s="14"/>
      <c r="G206" s="14"/>
      <c r="H206" s="14"/>
      <c r="I206" s="14"/>
      <c r="J206" s="14"/>
      <c r="AA206" s="62"/>
    </row>
    <row r="207" spans="3:27" s="3" customFormat="1">
      <c r="C207" s="14"/>
      <c r="D207" s="14"/>
      <c r="E207" s="14"/>
      <c r="F207" s="14"/>
      <c r="G207" s="14"/>
      <c r="H207" s="14"/>
      <c r="I207" s="14"/>
      <c r="J207" s="14"/>
      <c r="P207" s="137"/>
      <c r="W207" s="14"/>
      <c r="AA207" s="62"/>
    </row>
    <row r="208" spans="3:27" s="3" customFormat="1">
      <c r="C208" s="14"/>
      <c r="D208" s="14"/>
      <c r="E208" s="14"/>
      <c r="F208" s="14"/>
      <c r="G208" s="14"/>
      <c r="H208" s="14"/>
      <c r="I208" s="14"/>
      <c r="J208" s="14"/>
      <c r="AA208" s="62"/>
    </row>
    <row r="209" spans="2:27" s="3" customFormat="1">
      <c r="C209" s="14"/>
      <c r="D209" s="14"/>
      <c r="E209" s="14"/>
      <c r="F209" s="14"/>
      <c r="G209" s="14"/>
      <c r="H209" s="14"/>
      <c r="I209" s="14"/>
      <c r="J209" s="14"/>
      <c r="P209" s="137"/>
      <c r="W209" s="14"/>
      <c r="AA209" s="62"/>
    </row>
    <row r="210" spans="2:27" s="3" customFormat="1">
      <c r="C210" s="14"/>
      <c r="D210" s="14"/>
      <c r="E210" s="14"/>
      <c r="F210" s="14"/>
      <c r="G210" s="14"/>
      <c r="H210" s="14"/>
      <c r="I210" s="14"/>
      <c r="J210" s="14"/>
      <c r="AA210" s="62"/>
    </row>
    <row r="211" spans="2:27" s="3" customFormat="1">
      <c r="C211" s="14"/>
      <c r="D211" s="14"/>
      <c r="E211" s="14"/>
      <c r="F211" s="14"/>
      <c r="G211" s="14"/>
      <c r="H211" s="14"/>
      <c r="I211" s="14"/>
      <c r="J211" s="14"/>
      <c r="P211" s="137"/>
      <c r="W211" s="14"/>
      <c r="AA211" s="62"/>
    </row>
    <row r="212" spans="2:27" s="3" customFormat="1">
      <c r="C212" s="14"/>
      <c r="D212" s="14"/>
      <c r="E212" s="14"/>
      <c r="F212" s="14"/>
      <c r="G212" s="14"/>
      <c r="H212" s="14"/>
      <c r="I212" s="14"/>
      <c r="J212" s="14"/>
      <c r="AA212" s="62"/>
    </row>
    <row r="213" spans="2:27" s="3" customFormat="1">
      <c r="C213" s="14"/>
      <c r="D213" s="14"/>
      <c r="E213" s="14"/>
      <c r="F213" s="14"/>
      <c r="G213" s="14"/>
      <c r="H213" s="14"/>
      <c r="I213" s="14"/>
      <c r="J213" s="14"/>
      <c r="P213" s="137"/>
      <c r="W213" s="14"/>
      <c r="AA213" s="62"/>
    </row>
    <row r="214" spans="2:27" s="3" customFormat="1">
      <c r="C214" s="14"/>
      <c r="D214" s="14"/>
      <c r="E214" s="14"/>
      <c r="F214" s="14"/>
      <c r="G214" s="14"/>
      <c r="H214" s="14"/>
      <c r="I214" s="14"/>
      <c r="J214" s="14"/>
      <c r="AA214" s="62"/>
    </row>
    <row r="215" spans="2:27" s="3" customFormat="1">
      <c r="C215" s="14"/>
      <c r="D215" s="14"/>
      <c r="E215" s="14"/>
      <c r="F215" s="14"/>
      <c r="G215" s="14"/>
      <c r="H215" s="14"/>
      <c r="I215" s="14"/>
      <c r="J215" s="14"/>
      <c r="P215" s="137"/>
      <c r="W215" s="14"/>
      <c r="AA215" s="62"/>
    </row>
    <row r="216" spans="2:27" s="3" customFormat="1">
      <c r="C216" s="14"/>
      <c r="D216" s="14"/>
      <c r="E216" s="14"/>
      <c r="F216" s="14"/>
      <c r="G216" s="14"/>
      <c r="H216" s="14"/>
      <c r="I216" s="14"/>
      <c r="J216" s="14"/>
      <c r="AA216" s="62"/>
    </row>
    <row r="217" spans="2:27" s="3" customFormat="1">
      <c r="C217" s="14"/>
      <c r="D217" s="14"/>
      <c r="E217" s="14"/>
      <c r="F217" s="14"/>
      <c r="G217" s="14"/>
      <c r="H217" s="14"/>
      <c r="I217" s="14"/>
      <c r="J217" s="14"/>
      <c r="P217" s="137"/>
      <c r="W217" s="14"/>
      <c r="AA217" s="62"/>
    </row>
    <row r="218" spans="2:27" s="3" customFormat="1">
      <c r="C218" s="14"/>
      <c r="D218" s="14"/>
      <c r="E218" s="14"/>
      <c r="F218" s="14"/>
      <c r="G218" s="14"/>
      <c r="H218" s="14"/>
      <c r="I218" s="14"/>
      <c r="J218" s="14"/>
      <c r="AA218" s="62"/>
    </row>
    <row r="219" spans="2:27" s="3" customFormat="1">
      <c r="C219" s="14"/>
      <c r="D219" s="14"/>
      <c r="E219" s="14"/>
      <c r="F219" s="14"/>
      <c r="G219" s="14"/>
      <c r="H219" s="14"/>
      <c r="I219" s="14"/>
      <c r="J219" s="14"/>
      <c r="P219" s="137"/>
      <c r="W219" s="14"/>
      <c r="AA219" s="62"/>
    </row>
    <row r="220" spans="2:27" s="3" customFormat="1">
      <c r="C220" s="14"/>
      <c r="D220" s="14"/>
      <c r="E220" s="14"/>
      <c r="F220" s="14"/>
      <c r="G220" s="14"/>
      <c r="H220" s="14"/>
      <c r="I220" s="14"/>
      <c r="J220" s="14"/>
      <c r="AA220" s="62"/>
    </row>
    <row r="221" spans="2:27" s="3" customFormat="1">
      <c r="B221" s="3" t="s">
        <v>2058</v>
      </c>
      <c r="C221" s="14"/>
      <c r="D221" s="14"/>
      <c r="E221" s="14"/>
      <c r="F221" s="14"/>
      <c r="G221" s="14"/>
      <c r="H221" s="14"/>
      <c r="I221" s="14"/>
      <c r="J221" s="14"/>
      <c r="P221" s="137"/>
      <c r="W221" s="14"/>
      <c r="AA221" s="62"/>
    </row>
    <row r="222" spans="2:27" s="3" customFormat="1">
      <c r="B222" s="3" t="s">
        <v>47</v>
      </c>
      <c r="C222" s="14"/>
      <c r="D222" s="14"/>
      <c r="E222" s="14"/>
      <c r="F222" s="14"/>
      <c r="G222" s="14"/>
      <c r="H222" s="14"/>
      <c r="I222" s="14"/>
      <c r="J222" s="14"/>
      <c r="AA222" s="62"/>
    </row>
    <row r="223" spans="2:27" s="3" customFormat="1">
      <c r="B223" s="3" t="s">
        <v>48</v>
      </c>
      <c r="C223" s="14" t="s">
        <v>1933</v>
      </c>
      <c r="D223" s="14" t="s">
        <v>226</v>
      </c>
      <c r="E223" s="14" t="s">
        <v>49</v>
      </c>
      <c r="F223" s="14" t="s">
        <v>50</v>
      </c>
      <c r="G223" s="14" t="s">
        <v>51</v>
      </c>
      <c r="H223" s="14" t="s">
        <v>52</v>
      </c>
      <c r="I223" s="14" t="s">
        <v>53</v>
      </c>
      <c r="J223" s="14" t="s">
        <v>54</v>
      </c>
      <c r="P223" s="137"/>
      <c r="W223" s="14"/>
      <c r="AA223" s="62"/>
    </row>
    <row r="224" spans="2:27" s="3" customFormat="1">
      <c r="B224" s="3" t="s">
        <v>112</v>
      </c>
      <c r="C224" s="14">
        <v>393</v>
      </c>
      <c r="D224" s="14">
        <v>357</v>
      </c>
      <c r="E224" s="14">
        <v>347</v>
      </c>
      <c r="F224" s="14">
        <v>427</v>
      </c>
      <c r="G224" s="14">
        <v>362</v>
      </c>
      <c r="H224" s="14">
        <v>309</v>
      </c>
      <c r="I224" s="14">
        <v>289</v>
      </c>
      <c r="J224" s="14">
        <v>371</v>
      </c>
      <c r="AA224" s="62"/>
    </row>
    <row r="225" spans="2:27" s="3" customFormat="1">
      <c r="B225" s="3" t="s">
        <v>113</v>
      </c>
      <c r="C225" s="14">
        <v>0</v>
      </c>
      <c r="D225" s="14">
        <v>0</v>
      </c>
      <c r="E225" s="14">
        <v>0</v>
      </c>
      <c r="F225" s="14">
        <v>0</v>
      </c>
      <c r="G225" s="14">
        <v>0</v>
      </c>
      <c r="H225" s="14">
        <v>0</v>
      </c>
      <c r="I225" s="14">
        <v>0</v>
      </c>
      <c r="J225" s="14">
        <v>0</v>
      </c>
      <c r="P225" s="137"/>
      <c r="W225" s="14"/>
      <c r="AA225" s="62"/>
    </row>
    <row r="226" spans="2:27" s="3" customFormat="1">
      <c r="B226" s="3" t="s">
        <v>114</v>
      </c>
      <c r="C226" s="14">
        <v>39</v>
      </c>
      <c r="D226" s="14">
        <v>38</v>
      </c>
      <c r="E226" s="14">
        <v>35</v>
      </c>
      <c r="F226" s="14">
        <v>29</v>
      </c>
      <c r="G226" s="14">
        <v>34</v>
      </c>
      <c r="H226" s="14">
        <v>33</v>
      </c>
      <c r="I226" s="14">
        <v>33</v>
      </c>
      <c r="J226" s="14">
        <v>32</v>
      </c>
      <c r="AA226" s="62"/>
    </row>
    <row r="227" spans="2:27" s="3" customFormat="1">
      <c r="B227" s="3" t="s">
        <v>115</v>
      </c>
      <c r="C227" s="14">
        <v>0</v>
      </c>
      <c r="D227" s="14">
        <v>0</v>
      </c>
      <c r="E227" s="14">
        <v>0</v>
      </c>
      <c r="F227" s="14">
        <v>0</v>
      </c>
      <c r="G227" s="14">
        <v>0</v>
      </c>
      <c r="H227" s="14">
        <v>0</v>
      </c>
      <c r="I227" s="14">
        <v>0</v>
      </c>
      <c r="J227" s="14">
        <v>0</v>
      </c>
      <c r="P227" s="137"/>
      <c r="W227" s="14"/>
      <c r="AA227" s="62"/>
    </row>
    <row r="228" spans="2:27" s="3" customFormat="1">
      <c r="B228" s="3" t="s">
        <v>116</v>
      </c>
      <c r="C228" s="14">
        <v>0</v>
      </c>
      <c r="D228" s="14">
        <v>0</v>
      </c>
      <c r="E228" s="14">
        <v>0</v>
      </c>
      <c r="F228" s="14">
        <v>0</v>
      </c>
      <c r="G228" s="14">
        <v>0</v>
      </c>
      <c r="H228" s="14">
        <v>0</v>
      </c>
      <c r="I228" s="14">
        <v>0</v>
      </c>
      <c r="J228" s="14">
        <v>0</v>
      </c>
      <c r="AA228" s="62"/>
    </row>
    <row r="229" spans="2:27" s="3" customFormat="1">
      <c r="B229" s="3" t="s">
        <v>117</v>
      </c>
      <c r="C229" s="14">
        <v>0</v>
      </c>
      <c r="D229" s="14">
        <v>0</v>
      </c>
      <c r="E229" s="14">
        <v>0</v>
      </c>
      <c r="F229" s="14">
        <v>0</v>
      </c>
      <c r="G229" s="14">
        <v>0</v>
      </c>
      <c r="H229" s="14">
        <v>0</v>
      </c>
      <c r="I229" s="14">
        <v>0</v>
      </c>
      <c r="J229" s="14">
        <v>0</v>
      </c>
      <c r="P229" s="137"/>
      <c r="W229" s="14"/>
      <c r="AA229" s="62"/>
    </row>
    <row r="230" spans="2:27" s="3" customFormat="1">
      <c r="B230" s="3" t="s">
        <v>118</v>
      </c>
      <c r="C230" s="14">
        <v>0</v>
      </c>
      <c r="D230" s="14">
        <v>0</v>
      </c>
      <c r="E230" s="14">
        <v>0</v>
      </c>
      <c r="F230" s="14">
        <v>0</v>
      </c>
      <c r="G230" s="14">
        <v>0</v>
      </c>
      <c r="H230" s="14">
        <v>0</v>
      </c>
      <c r="I230" s="14">
        <v>0</v>
      </c>
      <c r="J230" s="14">
        <v>0</v>
      </c>
      <c r="AA230" s="62"/>
    </row>
    <row r="231" spans="2:27" s="3" customFormat="1">
      <c r="B231" s="3" t="s">
        <v>119</v>
      </c>
      <c r="C231" s="14" t="s">
        <v>98</v>
      </c>
      <c r="D231" s="14" t="s">
        <v>98</v>
      </c>
      <c r="E231" s="14" t="s">
        <v>98</v>
      </c>
      <c r="F231" s="14" t="s">
        <v>98</v>
      </c>
      <c r="G231" s="14" t="s">
        <v>98</v>
      </c>
      <c r="H231" s="14" t="s">
        <v>98</v>
      </c>
      <c r="I231" s="14" t="s">
        <v>98</v>
      </c>
      <c r="J231" s="14" t="s">
        <v>98</v>
      </c>
      <c r="P231" s="137"/>
      <c r="W231" s="14"/>
      <c r="AA231" s="62"/>
    </row>
    <row r="232" spans="2:27" s="3" customFormat="1">
      <c r="B232" s="3" t="s">
        <v>120</v>
      </c>
      <c r="C232" s="14">
        <v>0</v>
      </c>
      <c r="D232" s="14">
        <v>14</v>
      </c>
      <c r="E232" s="14">
        <v>0</v>
      </c>
      <c r="F232" s="14">
        <v>0</v>
      </c>
      <c r="G232" s="14">
        <v>3</v>
      </c>
      <c r="H232" s="14">
        <v>0</v>
      </c>
      <c r="I232" s="14">
        <v>0</v>
      </c>
      <c r="J232" s="14">
        <v>0</v>
      </c>
      <c r="AA232" s="62"/>
    </row>
    <row r="233" spans="2:27" s="3" customFormat="1">
      <c r="B233" s="3" t="s">
        <v>121</v>
      </c>
      <c r="C233" s="14">
        <v>0</v>
      </c>
      <c r="D233" s="14">
        <v>0</v>
      </c>
      <c r="E233" s="14">
        <v>0</v>
      </c>
      <c r="F233" s="14">
        <v>0</v>
      </c>
      <c r="G233" s="14">
        <v>0</v>
      </c>
      <c r="H233" s="14">
        <v>0</v>
      </c>
      <c r="I233" s="14">
        <v>0</v>
      </c>
      <c r="J233" s="14">
        <v>0</v>
      </c>
      <c r="P233" s="137"/>
      <c r="W233" s="14"/>
      <c r="AA233" s="62"/>
    </row>
    <row r="234" spans="2:27" s="3" customFormat="1">
      <c r="B234" s="3" t="s">
        <v>122</v>
      </c>
      <c r="C234" s="14">
        <v>-1</v>
      </c>
      <c r="D234" s="14">
        <v>0</v>
      </c>
      <c r="E234" s="14">
        <v>-4</v>
      </c>
      <c r="F234" s="14">
        <v>-9</v>
      </c>
      <c r="G234" s="14">
        <v>-1</v>
      </c>
      <c r="H234" s="14">
        <v>-1</v>
      </c>
      <c r="I234" s="14">
        <v>-3</v>
      </c>
      <c r="J234" s="14">
        <v>-3</v>
      </c>
      <c r="AA234" s="62"/>
    </row>
    <row r="235" spans="2:27">
      <c r="B235" s="3" t="s">
        <v>123</v>
      </c>
      <c r="C235" s="14">
        <v>-18</v>
      </c>
      <c r="D235" s="14">
        <v>3</v>
      </c>
      <c r="E235" s="14">
        <v>-3</v>
      </c>
      <c r="F235" s="14">
        <v>-9</v>
      </c>
      <c r="G235" s="14">
        <v>1</v>
      </c>
      <c r="H235" s="14">
        <v>3</v>
      </c>
      <c r="I235" s="14">
        <v>-7</v>
      </c>
      <c r="J235" s="14">
        <v>15</v>
      </c>
      <c r="P235" s="67"/>
      <c r="W235" s="46"/>
    </row>
    <row r="236" spans="2:27">
      <c r="B236" s="3" t="s">
        <v>124</v>
      </c>
      <c r="C236" s="14">
        <v>-40</v>
      </c>
      <c r="D236" s="14">
        <v>-40</v>
      </c>
      <c r="E236" s="14">
        <v>-17</v>
      </c>
      <c r="F236" s="14">
        <v>-23</v>
      </c>
      <c r="G236" s="14">
        <v>-21</v>
      </c>
      <c r="H236" s="14">
        <v>17</v>
      </c>
      <c r="I236" s="14">
        <v>-6</v>
      </c>
      <c r="J236" s="14">
        <v>2</v>
      </c>
    </row>
    <row r="237" spans="2:27">
      <c r="B237" s="3" t="s">
        <v>125</v>
      </c>
      <c r="C237" s="14">
        <v>-31</v>
      </c>
      <c r="D237" s="14">
        <v>41</v>
      </c>
      <c r="E237" s="14">
        <v>16</v>
      </c>
      <c r="F237" s="14">
        <v>11</v>
      </c>
      <c r="G237" s="14">
        <v>16</v>
      </c>
      <c r="H237" s="14">
        <v>6</v>
      </c>
      <c r="I237" s="14">
        <v>7</v>
      </c>
      <c r="J237" s="14">
        <v>-7</v>
      </c>
      <c r="P237" s="67"/>
      <c r="W237" s="46"/>
    </row>
    <row r="238" spans="2:27">
      <c r="B238" s="3" t="s">
        <v>126</v>
      </c>
      <c r="C238" s="14">
        <v>-225</v>
      </c>
      <c r="D238" s="14">
        <v>79</v>
      </c>
      <c r="E238" s="14">
        <v>-48</v>
      </c>
      <c r="F238" s="14">
        <v>318</v>
      </c>
      <c r="G238" s="14">
        <v>-207</v>
      </c>
      <c r="H238" s="14">
        <v>152</v>
      </c>
      <c r="I238" s="14">
        <v>-59</v>
      </c>
      <c r="J238" s="14">
        <v>281</v>
      </c>
    </row>
    <row r="239" spans="2:27">
      <c r="B239" s="3" t="s">
        <v>19</v>
      </c>
      <c r="C239" s="14">
        <v>-533</v>
      </c>
      <c r="D239" s="14">
        <v>593</v>
      </c>
      <c r="E239" s="14">
        <v>285</v>
      </c>
      <c r="F239" s="14">
        <v>631</v>
      </c>
      <c r="G239" s="14">
        <v>836</v>
      </c>
      <c r="H239" s="14">
        <v>79</v>
      </c>
      <c r="I239" s="14">
        <v>154</v>
      </c>
      <c r="J239" s="14">
        <v>690</v>
      </c>
      <c r="P239" s="67"/>
      <c r="W239" s="46"/>
    </row>
    <row r="240" spans="2:27">
      <c r="B240" s="3" t="s">
        <v>127</v>
      </c>
      <c r="C240" s="14">
        <v>0</v>
      </c>
      <c r="D240" s="14">
        <v>0</v>
      </c>
      <c r="E240" s="14">
        <v>0</v>
      </c>
      <c r="F240" s="14">
        <v>220</v>
      </c>
      <c r="G240" s="14">
        <v>0</v>
      </c>
      <c r="H240" s="14">
        <v>0</v>
      </c>
      <c r="I240" s="14">
        <v>0</v>
      </c>
      <c r="J240" s="14">
        <v>-15</v>
      </c>
    </row>
    <row r="241" spans="2:23">
      <c r="B241" s="3" t="s">
        <v>128</v>
      </c>
      <c r="C241" s="14">
        <v>0</v>
      </c>
      <c r="D241" s="14">
        <v>0</v>
      </c>
      <c r="E241" s="14">
        <v>0</v>
      </c>
      <c r="F241" s="14">
        <v>0</v>
      </c>
      <c r="G241" s="14">
        <v>0</v>
      </c>
      <c r="H241" s="14">
        <v>0</v>
      </c>
      <c r="I241" s="14">
        <v>0</v>
      </c>
      <c r="J241" s="14">
        <v>0</v>
      </c>
      <c r="P241" s="67"/>
      <c r="W241" s="46"/>
    </row>
    <row r="242" spans="2:23">
      <c r="B242" s="3" t="s">
        <v>21</v>
      </c>
      <c r="C242" s="14">
        <v>0</v>
      </c>
      <c r="D242" s="14">
        <v>0</v>
      </c>
      <c r="E242" s="14">
        <v>0</v>
      </c>
      <c r="F242" s="14">
        <v>6</v>
      </c>
      <c r="G242" s="14">
        <v>-6</v>
      </c>
      <c r="H242" s="14">
        <v>0</v>
      </c>
      <c r="I242" s="14">
        <v>0</v>
      </c>
      <c r="J242" s="14">
        <v>0</v>
      </c>
    </row>
    <row r="243" spans="2:23">
      <c r="B243" s="3" t="s">
        <v>129</v>
      </c>
      <c r="C243" s="14">
        <v>0</v>
      </c>
      <c r="D243" s="14">
        <v>0</v>
      </c>
      <c r="E243" s="14">
        <v>0</v>
      </c>
      <c r="F243" s="14">
        <v>0</v>
      </c>
      <c r="G243" s="14">
        <v>0</v>
      </c>
      <c r="H243" s="14">
        <v>0</v>
      </c>
      <c r="I243" s="14">
        <v>0</v>
      </c>
      <c r="J243" s="14">
        <v>0</v>
      </c>
      <c r="P243" s="67"/>
      <c r="W243" s="46"/>
    </row>
    <row r="244" spans="2:23">
      <c r="B244" s="3" t="s">
        <v>20</v>
      </c>
      <c r="C244" s="14">
        <v>-113</v>
      </c>
      <c r="D244" s="14">
        <v>-2274</v>
      </c>
      <c r="E244" s="14">
        <v>-109</v>
      </c>
      <c r="F244" s="14">
        <v>-64</v>
      </c>
      <c r="G244" s="14">
        <v>-38</v>
      </c>
      <c r="H244" s="14">
        <v>-38</v>
      </c>
      <c r="I244" s="14">
        <v>-47</v>
      </c>
      <c r="J244" s="14">
        <v>245</v>
      </c>
    </row>
    <row r="245" spans="2:23">
      <c r="B245" s="3" t="s">
        <v>130</v>
      </c>
      <c r="C245" s="14">
        <v>0</v>
      </c>
      <c r="D245" s="14">
        <v>0</v>
      </c>
      <c r="E245" s="14">
        <v>0</v>
      </c>
      <c r="F245" s="14">
        <v>-182</v>
      </c>
      <c r="G245" s="14">
        <v>-27</v>
      </c>
      <c r="H245" s="14">
        <v>-210</v>
      </c>
      <c r="I245" s="14">
        <v>-107</v>
      </c>
      <c r="J245" s="14">
        <v>-521</v>
      </c>
      <c r="P245" s="67"/>
      <c r="W245" s="46"/>
    </row>
    <row r="246" spans="2:23">
      <c r="B246" s="3" t="s">
        <v>131</v>
      </c>
      <c r="C246" s="14">
        <v>-128</v>
      </c>
      <c r="D246" s="14">
        <v>-2274</v>
      </c>
      <c r="E246" s="14">
        <v>-109</v>
      </c>
      <c r="F246" s="14">
        <v>-25</v>
      </c>
      <c r="G246" s="14">
        <v>-71</v>
      </c>
      <c r="H246" s="14">
        <v>-248</v>
      </c>
      <c r="I246" s="14">
        <v>-153</v>
      </c>
      <c r="J246" s="14">
        <v>-292</v>
      </c>
    </row>
    <row r="247" spans="2:23">
      <c r="B247" s="3" t="s">
        <v>132</v>
      </c>
      <c r="C247" s="14">
        <v>0</v>
      </c>
      <c r="D247" s="14">
        <v>0</v>
      </c>
      <c r="E247" s="14">
        <v>0</v>
      </c>
      <c r="F247" s="14">
        <v>0</v>
      </c>
      <c r="G247" s="14">
        <v>0</v>
      </c>
      <c r="H247" s="14">
        <v>0</v>
      </c>
      <c r="I247" s="14">
        <v>0</v>
      </c>
      <c r="J247" s="14">
        <v>0</v>
      </c>
      <c r="P247" s="67"/>
      <c r="W247" s="46"/>
    </row>
    <row r="248" spans="2:23">
      <c r="B248" s="3" t="s">
        <v>133</v>
      </c>
      <c r="C248" s="14">
        <v>-690</v>
      </c>
      <c r="D248" s="14">
        <v>-400</v>
      </c>
      <c r="E248" s="14">
        <v>0</v>
      </c>
      <c r="F248" s="14">
        <v>0</v>
      </c>
      <c r="G248" s="14">
        <v>-651</v>
      </c>
      <c r="H248" s="14">
        <v>-247</v>
      </c>
      <c r="I248" s="14">
        <v>0</v>
      </c>
      <c r="J248" s="14">
        <v>0</v>
      </c>
    </row>
    <row r="249" spans="2:23">
      <c r="B249" s="3" t="s">
        <v>134</v>
      </c>
      <c r="C249" s="14">
        <v>0</v>
      </c>
      <c r="D249" s="14">
        <v>0</v>
      </c>
      <c r="E249" s="14">
        <v>0</v>
      </c>
      <c r="F249" s="14">
        <v>0</v>
      </c>
      <c r="G249" s="14">
        <v>0</v>
      </c>
      <c r="H249" s="14">
        <v>0</v>
      </c>
      <c r="I249" s="14">
        <v>0</v>
      </c>
      <c r="J249" s="14">
        <v>0</v>
      </c>
      <c r="P249" s="67"/>
      <c r="W249" s="46"/>
    </row>
    <row r="250" spans="2:23">
      <c r="B250" s="3" t="s">
        <v>135</v>
      </c>
      <c r="C250" s="14">
        <v>0</v>
      </c>
      <c r="D250" s="14">
        <v>0</v>
      </c>
      <c r="E250" s="14">
        <v>0</v>
      </c>
      <c r="F250" s="14">
        <v>0</v>
      </c>
      <c r="G250" s="14">
        <v>0</v>
      </c>
      <c r="H250" s="14">
        <v>0</v>
      </c>
      <c r="I250" s="14">
        <v>0</v>
      </c>
      <c r="J250" s="14">
        <v>0</v>
      </c>
    </row>
    <row r="251" spans="2:23">
      <c r="B251" s="3" t="s">
        <v>136</v>
      </c>
      <c r="C251" s="14">
        <v>-200</v>
      </c>
      <c r="D251" s="14">
        <v>1800</v>
      </c>
      <c r="E251" s="14">
        <v>1</v>
      </c>
      <c r="F251" s="14">
        <v>-15</v>
      </c>
      <c r="G251" s="14">
        <v>1</v>
      </c>
      <c r="H251" s="14">
        <v>-3</v>
      </c>
      <c r="I251" s="14">
        <v>2</v>
      </c>
      <c r="J251" s="14">
        <v>0</v>
      </c>
      <c r="P251" s="67"/>
      <c r="W251" s="46"/>
    </row>
    <row r="252" spans="2:23">
      <c r="B252" s="3" t="s">
        <v>137</v>
      </c>
      <c r="C252" s="14">
        <v>995</v>
      </c>
      <c r="D252" s="14">
        <v>0</v>
      </c>
      <c r="E252" s="14">
        <v>0</v>
      </c>
      <c r="F252" s="14">
        <v>0</v>
      </c>
      <c r="G252" s="14">
        <v>0</v>
      </c>
      <c r="H252" s="14">
        <v>0</v>
      </c>
      <c r="I252" s="14">
        <v>0</v>
      </c>
      <c r="J252" s="14">
        <v>0</v>
      </c>
    </row>
    <row r="253" spans="2:23">
      <c r="B253" s="3" t="s">
        <v>138</v>
      </c>
      <c r="C253" s="14">
        <v>0</v>
      </c>
      <c r="D253" s="14">
        <v>0</v>
      </c>
      <c r="E253" s="14">
        <v>0</v>
      </c>
      <c r="F253" s="14">
        <v>0</v>
      </c>
      <c r="G253" s="14">
        <v>0</v>
      </c>
      <c r="H253" s="14">
        <v>0</v>
      </c>
      <c r="I253" s="14">
        <v>0</v>
      </c>
      <c r="J253" s="14">
        <v>0</v>
      </c>
      <c r="P253" s="67"/>
      <c r="W253" s="46"/>
    </row>
    <row r="254" spans="2:23">
      <c r="B254" s="3" t="s">
        <v>139</v>
      </c>
      <c r="C254" s="14">
        <v>0</v>
      </c>
      <c r="D254" s="14">
        <v>0</v>
      </c>
      <c r="E254" s="14">
        <v>0</v>
      </c>
      <c r="F254" s="14">
        <v>0</v>
      </c>
      <c r="G254" s="14">
        <v>0</v>
      </c>
      <c r="H254" s="14">
        <v>0</v>
      </c>
      <c r="I254" s="14">
        <v>0</v>
      </c>
      <c r="J254" s="14">
        <v>0</v>
      </c>
    </row>
    <row r="255" spans="2:23">
      <c r="B255" s="3" t="s">
        <v>140</v>
      </c>
      <c r="C255" s="14">
        <v>-3</v>
      </c>
      <c r="D255" s="14">
        <v>0</v>
      </c>
      <c r="E255" s="14">
        <v>-1</v>
      </c>
      <c r="F255" s="14">
        <v>15</v>
      </c>
      <c r="G255" s="14">
        <v>-1</v>
      </c>
      <c r="H255" s="14">
        <v>3</v>
      </c>
      <c r="I255" s="14">
        <v>-2</v>
      </c>
      <c r="J255" s="14">
        <v>0</v>
      </c>
      <c r="P255" s="67"/>
      <c r="W255" s="46"/>
    </row>
    <row r="256" spans="2:23">
      <c r="B256" s="3" t="s">
        <v>141</v>
      </c>
      <c r="C256" s="14">
        <v>101</v>
      </c>
      <c r="D256" s="14">
        <v>1400</v>
      </c>
      <c r="E256" s="14">
        <v>0</v>
      </c>
      <c r="F256" s="14">
        <v>0</v>
      </c>
      <c r="G256" s="14">
        <v>-651</v>
      </c>
      <c r="H256" s="14">
        <v>-247</v>
      </c>
      <c r="I256" s="14">
        <v>0</v>
      </c>
      <c r="J256" s="14">
        <v>0</v>
      </c>
    </row>
    <row r="257" spans="2:23">
      <c r="B257" s="3" t="s">
        <v>142</v>
      </c>
      <c r="C257" s="14">
        <v>-1</v>
      </c>
      <c r="D257" s="14">
        <v>0</v>
      </c>
      <c r="E257" s="14">
        <v>0</v>
      </c>
      <c r="F257" s="14">
        <v>2</v>
      </c>
      <c r="G257" s="14">
        <v>-9</v>
      </c>
      <c r="H257" s="14">
        <v>4</v>
      </c>
      <c r="I257" s="14">
        <v>4</v>
      </c>
      <c r="J257" s="14">
        <v>-5</v>
      </c>
      <c r="P257" s="67"/>
      <c r="W257" s="46"/>
    </row>
    <row r="258" spans="2:23">
      <c r="B258" s="3" t="s">
        <v>143</v>
      </c>
      <c r="C258" s="14">
        <v>-560</v>
      </c>
      <c r="D258" s="14">
        <v>-280</v>
      </c>
      <c r="E258" s="14">
        <v>177</v>
      </c>
      <c r="F258" s="14">
        <v>608</v>
      </c>
      <c r="G258" s="14">
        <v>105</v>
      </c>
      <c r="H258" s="14">
        <v>-412</v>
      </c>
      <c r="I258" s="14">
        <v>5</v>
      </c>
      <c r="J258" s="14">
        <v>393</v>
      </c>
    </row>
    <row r="259" spans="2:23">
      <c r="B259" s="3" t="s">
        <v>144</v>
      </c>
      <c r="C259" s="14">
        <v>1271</v>
      </c>
      <c r="D259" s="14">
        <v>1550</v>
      </c>
      <c r="E259" s="14">
        <v>1374</v>
      </c>
      <c r="F259" s="14">
        <v>766</v>
      </c>
      <c r="G259" s="14">
        <v>661</v>
      </c>
      <c r="H259" s="14">
        <v>1073</v>
      </c>
      <c r="I259" s="14">
        <v>1069</v>
      </c>
      <c r="J259" s="14">
        <v>675</v>
      </c>
      <c r="P259" s="67"/>
      <c r="W259" s="46"/>
    </row>
    <row r="260" spans="2:23">
      <c r="B260" s="3" t="s">
        <v>145</v>
      </c>
      <c r="C260" s="14">
        <v>711</v>
      </c>
      <c r="D260" s="14">
        <v>1271</v>
      </c>
      <c r="E260" s="14">
        <v>1550</v>
      </c>
      <c r="F260" s="14">
        <v>1374</v>
      </c>
      <c r="G260" s="14">
        <v>766</v>
      </c>
      <c r="H260" s="14">
        <v>661</v>
      </c>
      <c r="I260" s="14">
        <v>1073</v>
      </c>
      <c r="J260" s="14">
        <v>1069</v>
      </c>
    </row>
    <row r="261" spans="2:23">
      <c r="B261" s="3" t="s">
        <v>146</v>
      </c>
      <c r="C261" s="14">
        <v>8</v>
      </c>
      <c r="D261" s="14">
        <v>3</v>
      </c>
      <c r="E261" s="14">
        <v>0</v>
      </c>
      <c r="F261" s="14">
        <v>0</v>
      </c>
      <c r="G261" s="14">
        <v>0</v>
      </c>
      <c r="H261" s="14">
        <v>0</v>
      </c>
      <c r="I261" s="14">
        <v>0</v>
      </c>
      <c r="J261" s="14">
        <v>0</v>
      </c>
      <c r="P261" s="67"/>
      <c r="W261" s="46"/>
    </row>
    <row r="262" spans="2:23">
      <c r="B262" s="3" t="s">
        <v>147</v>
      </c>
      <c r="C262" s="14" t="s">
        <v>98</v>
      </c>
      <c r="D262" s="14" t="s">
        <v>98</v>
      </c>
      <c r="E262" s="14" t="s">
        <v>98</v>
      </c>
      <c r="F262" s="14" t="s">
        <v>98</v>
      </c>
      <c r="G262" s="14" t="s">
        <v>98</v>
      </c>
      <c r="H262" s="14" t="s">
        <v>98</v>
      </c>
      <c r="I262" s="14" t="s">
        <v>98</v>
      </c>
      <c r="J262" s="14" t="s">
        <v>98</v>
      </c>
    </row>
    <row r="263" spans="2:23">
      <c r="B263" s="3" t="s">
        <v>148</v>
      </c>
      <c r="P263" s="67"/>
      <c r="W263" s="46"/>
    </row>
    <row r="264" spans="2:23">
      <c r="B264" s="3" t="s">
        <v>149</v>
      </c>
      <c r="C264" s="14"/>
      <c r="D264" s="14"/>
      <c r="E264" s="14"/>
      <c r="F264" s="14"/>
      <c r="G264" s="14"/>
      <c r="H264" s="14"/>
      <c r="I264" s="14"/>
      <c r="J264" s="14"/>
    </row>
    <row r="265" spans="2:23">
      <c r="B265" s="3" t="s">
        <v>110</v>
      </c>
      <c r="C265" s="14"/>
      <c r="D265" s="14"/>
      <c r="E265" s="14"/>
      <c r="F265" s="14"/>
      <c r="G265" s="14"/>
      <c r="H265" s="14"/>
      <c r="I265" s="14"/>
      <c r="J265" s="14"/>
      <c r="P265" s="67"/>
      <c r="W265" s="46"/>
    </row>
    <row r="266" spans="2:23">
      <c r="B266" s="3" t="s">
        <v>111</v>
      </c>
      <c r="C266" s="14"/>
      <c r="D266" s="14"/>
      <c r="E266" s="14"/>
      <c r="F266" s="14"/>
      <c r="G266" s="14"/>
      <c r="H266" s="14"/>
      <c r="I266" s="14"/>
      <c r="J266" s="14"/>
    </row>
    <row r="267" spans="2:23">
      <c r="P267" s="67"/>
      <c r="W267" s="46"/>
    </row>
    <row r="269" spans="2:23">
      <c r="P269" s="67"/>
      <c r="W269" s="46"/>
    </row>
    <row r="271" spans="2:23">
      <c r="C271" s="14"/>
      <c r="D271" s="14"/>
      <c r="E271" s="14"/>
      <c r="F271" s="14"/>
      <c r="G271" s="14"/>
      <c r="H271" s="14"/>
      <c r="I271" s="14"/>
      <c r="P271" s="67"/>
      <c r="W271" s="46"/>
    </row>
    <row r="272" spans="2:23">
      <c r="E272" s="14"/>
    </row>
    <row r="273" spans="3:23">
      <c r="E273" s="14"/>
      <c r="I273" s="14"/>
      <c r="P273" s="67"/>
      <c r="W273" s="46"/>
    </row>
    <row r="274" spans="3:23">
      <c r="E274" s="14"/>
      <c r="F274" s="14"/>
      <c r="H274" s="14"/>
      <c r="I274" s="14"/>
    </row>
    <row r="275" spans="3:23">
      <c r="C275" s="14"/>
      <c r="D275" s="14"/>
      <c r="E275" s="14"/>
      <c r="F275" s="14"/>
      <c r="G275" s="14"/>
      <c r="H275" s="14"/>
      <c r="I275" s="14"/>
      <c r="J275" s="14"/>
      <c r="P275" s="67"/>
      <c r="W275" s="46"/>
    </row>
    <row r="277" spans="3:23">
      <c r="P277" s="67"/>
      <c r="W277" s="46"/>
    </row>
    <row r="279" spans="3:23">
      <c r="P279" s="67"/>
      <c r="W279" s="46"/>
    </row>
    <row r="280" spans="3:23">
      <c r="C280" s="14"/>
      <c r="D280" s="14"/>
      <c r="E280" s="14"/>
      <c r="F280" s="14"/>
      <c r="G280" s="14"/>
      <c r="H280" s="14"/>
      <c r="I280" s="14"/>
    </row>
    <row r="281" spans="3:23">
      <c r="P281" s="67"/>
      <c r="W281" s="46"/>
    </row>
    <row r="282" spans="3:23">
      <c r="C282" s="14"/>
      <c r="D282" s="14"/>
      <c r="E282" s="14"/>
      <c r="F282" s="14"/>
      <c r="G282" s="14"/>
    </row>
    <row r="283" spans="3:23">
      <c r="P283" s="67"/>
      <c r="W283" s="46"/>
    </row>
    <row r="284" spans="3:23">
      <c r="E284" s="14"/>
      <c r="I284" s="14"/>
    </row>
    <row r="285" spans="3:23">
      <c r="P285" s="67"/>
      <c r="W285" s="46"/>
    </row>
    <row r="286" spans="3:23">
      <c r="C286" s="14"/>
      <c r="E286" s="14"/>
      <c r="H286" s="14"/>
      <c r="I286" s="14"/>
      <c r="J286" s="14"/>
    </row>
    <row r="287" spans="3:23">
      <c r="G287" s="14"/>
      <c r="P287" s="67"/>
      <c r="W287" s="46"/>
    </row>
    <row r="289" spans="3:23">
      <c r="P289" s="67"/>
      <c r="W289" s="46"/>
    </row>
    <row r="291" spans="3:23">
      <c r="P291" s="67"/>
      <c r="W291" s="46"/>
    </row>
    <row r="292" spans="3:23">
      <c r="C292" s="14"/>
      <c r="G292" s="14"/>
      <c r="H292" s="14"/>
      <c r="I292" s="14"/>
      <c r="J292" s="14"/>
    </row>
    <row r="293" spans="3:23">
      <c r="E293" s="14"/>
      <c r="I293" s="14"/>
      <c r="J293" s="14"/>
      <c r="P293" s="67"/>
      <c r="W293" s="46"/>
    </row>
    <row r="294" spans="3:23">
      <c r="C294" s="14"/>
      <c r="D294" s="14"/>
      <c r="F294" s="14"/>
      <c r="I294" s="14"/>
      <c r="J294" s="14"/>
    </row>
    <row r="295" spans="3:23">
      <c r="C295" s="14"/>
      <c r="D295" s="14"/>
      <c r="E295" s="14"/>
      <c r="F295" s="14"/>
      <c r="G295" s="14"/>
      <c r="H295" s="14"/>
      <c r="I295" s="14"/>
      <c r="J295" s="14"/>
      <c r="P295" s="67"/>
      <c r="W295" s="46"/>
    </row>
    <row r="296" spans="3:23">
      <c r="C296" s="14"/>
      <c r="D296" s="14"/>
      <c r="E296" s="14"/>
      <c r="F296" s="14"/>
      <c r="G296" s="14"/>
      <c r="H296" s="14"/>
      <c r="I296" s="14"/>
      <c r="J296" s="14"/>
    </row>
    <row r="297" spans="3:23">
      <c r="P297" s="67"/>
      <c r="W297" s="46"/>
    </row>
    <row r="299" spans="3:23">
      <c r="P299" s="67"/>
      <c r="W299" s="46"/>
    </row>
    <row r="301" spans="3:23">
      <c r="P301" s="67"/>
      <c r="W301" s="46"/>
    </row>
    <row r="303" spans="3:23">
      <c r="C303" s="14"/>
      <c r="D303" s="14"/>
      <c r="E303" s="14"/>
      <c r="F303" s="14"/>
      <c r="G303" s="14"/>
      <c r="H303" s="14"/>
      <c r="I303" s="14"/>
      <c r="J303" s="14"/>
      <c r="P303" s="67"/>
      <c r="W303" s="46"/>
    </row>
    <row r="305" spans="3:23">
      <c r="C305" s="14"/>
      <c r="D305" s="14"/>
      <c r="E305" s="14"/>
      <c r="F305" s="14"/>
      <c r="G305" s="14"/>
      <c r="H305" s="14"/>
      <c r="I305" s="14"/>
      <c r="J305" s="14"/>
      <c r="P305" s="67"/>
      <c r="W305" s="46"/>
    </row>
    <row r="306" spans="3:23">
      <c r="C306" s="14"/>
      <c r="I306" s="14"/>
      <c r="J306" s="14"/>
    </row>
    <row r="307" spans="3:23">
      <c r="C307" s="14"/>
      <c r="D307" s="14"/>
      <c r="E307" s="14"/>
      <c r="F307" s="14"/>
      <c r="G307" s="14"/>
      <c r="H307" s="14"/>
      <c r="I307" s="14"/>
      <c r="J307" s="14"/>
      <c r="P307" s="67"/>
      <c r="W307" s="46"/>
    </row>
    <row r="308" spans="3:23">
      <c r="I308" s="14"/>
    </row>
    <row r="309" spans="3:23">
      <c r="E309" s="14"/>
      <c r="F309" s="14"/>
      <c r="I309" s="14"/>
      <c r="J309" s="14"/>
      <c r="P309" s="67"/>
      <c r="W309" s="46"/>
    </row>
    <row r="311" spans="3:23">
      <c r="C311" s="14"/>
      <c r="E311" s="14"/>
      <c r="F311" s="14"/>
      <c r="G311" s="14"/>
      <c r="H311" s="14"/>
      <c r="I311" s="14"/>
      <c r="J311" s="14"/>
      <c r="P311" s="67"/>
      <c r="W311" s="46"/>
    </row>
    <row r="312" spans="3:23">
      <c r="C312" s="14"/>
      <c r="E312" s="14"/>
      <c r="G312" s="14"/>
      <c r="H312" s="14"/>
      <c r="I312" s="14"/>
      <c r="J312" s="14"/>
    </row>
    <row r="313" spans="3:23">
      <c r="E313" s="14"/>
      <c r="F313" s="14"/>
      <c r="I313" s="14"/>
      <c r="J313" s="14"/>
      <c r="P313" s="67"/>
      <c r="W313" s="46"/>
    </row>
    <row r="314" spans="3:23">
      <c r="C314" s="14"/>
      <c r="D314" s="14"/>
      <c r="E314" s="14"/>
      <c r="F314" s="14"/>
      <c r="G314" s="14"/>
      <c r="H314" s="14"/>
      <c r="I314" s="14"/>
      <c r="J314" s="14"/>
    </row>
    <row r="315" spans="3:23">
      <c r="C315" s="14"/>
      <c r="D315" s="14"/>
      <c r="E315" s="14"/>
      <c r="F315" s="14"/>
      <c r="G315" s="14"/>
      <c r="H315" s="14"/>
      <c r="I315" s="14"/>
      <c r="J315" s="14"/>
      <c r="P315" s="67"/>
      <c r="W315" s="46"/>
    </row>
    <row r="316" spans="3:23">
      <c r="C316" s="14"/>
      <c r="D316" s="14"/>
      <c r="E316" s="14"/>
      <c r="F316" s="14"/>
      <c r="G316" s="14"/>
      <c r="H316" s="14"/>
      <c r="I316" s="14"/>
      <c r="J316" s="14"/>
    </row>
    <row r="317" spans="3:23">
      <c r="C317" s="14"/>
      <c r="D317" s="14"/>
      <c r="E317" s="14"/>
      <c r="F317" s="14"/>
      <c r="G317" s="14"/>
      <c r="H317" s="14"/>
      <c r="I317" s="14"/>
      <c r="J317" s="14"/>
      <c r="P317" s="67"/>
      <c r="W317" s="46"/>
    </row>
    <row r="318" spans="3:23">
      <c r="C318" s="14"/>
      <c r="D318" s="14"/>
      <c r="E318" s="14"/>
      <c r="F318" s="14"/>
      <c r="G318" s="14"/>
      <c r="H318" s="14"/>
      <c r="I318" s="14"/>
      <c r="J318" s="14"/>
    </row>
    <row r="319" spans="3:23">
      <c r="C319" s="14"/>
      <c r="D319" s="14"/>
      <c r="E319" s="14"/>
      <c r="F319" s="14"/>
      <c r="G319" s="14"/>
      <c r="H319" s="14"/>
      <c r="I319" s="14"/>
      <c r="J319" s="14"/>
    </row>
    <row r="320" spans="3:23">
      <c r="C320" s="14"/>
      <c r="E320" s="14"/>
      <c r="F320" s="14"/>
      <c r="G320" s="14"/>
      <c r="H320" s="14"/>
      <c r="I320" s="14"/>
      <c r="J320" s="14"/>
    </row>
    <row r="321" spans="3:10">
      <c r="C321" s="14"/>
      <c r="E321" s="14"/>
      <c r="F321" s="14"/>
      <c r="G321" s="14"/>
      <c r="H321" s="14"/>
      <c r="I321" s="14"/>
      <c r="J321" s="14"/>
    </row>
    <row r="322" spans="3:10">
      <c r="C322" s="14"/>
      <c r="D322" s="14"/>
      <c r="E322" s="14"/>
      <c r="F322" s="14"/>
      <c r="G322" s="14"/>
      <c r="H322" s="14"/>
      <c r="I322" s="14"/>
      <c r="J322" s="14"/>
    </row>
    <row r="323" spans="3:10">
      <c r="C323" s="14"/>
      <c r="D323" s="14"/>
      <c r="E323" s="14"/>
      <c r="F323" s="14"/>
      <c r="G323" s="14"/>
      <c r="H323" s="14"/>
      <c r="I323" s="14"/>
      <c r="J323" s="14"/>
    </row>
    <row r="324" spans="3:10">
      <c r="C324" s="14"/>
      <c r="D324" s="14"/>
      <c r="E324" s="14"/>
      <c r="F324" s="14"/>
      <c r="G324" s="14"/>
      <c r="H324" s="14"/>
      <c r="I324" s="14"/>
      <c r="J324" s="14"/>
    </row>
    <row r="325" spans="3:10">
      <c r="C325" s="14"/>
      <c r="D325" s="14"/>
      <c r="E325" s="14"/>
      <c r="F325" s="14"/>
      <c r="G325" s="14"/>
      <c r="H325" s="14"/>
      <c r="I325" s="14"/>
      <c r="J325" s="14"/>
    </row>
    <row r="326" spans="3:10">
      <c r="C326" s="14"/>
      <c r="D326" s="14"/>
      <c r="E326" s="14"/>
      <c r="F326" s="14"/>
      <c r="G326" s="14"/>
      <c r="H326" s="14"/>
      <c r="I326" s="14"/>
      <c r="J326" s="14"/>
    </row>
    <row r="327" spans="3:10">
      <c r="C327" s="14"/>
      <c r="D327" s="14"/>
      <c r="E327" s="14"/>
      <c r="F327" s="14"/>
      <c r="G327" s="14"/>
      <c r="I327" s="14"/>
      <c r="J327" s="14"/>
    </row>
    <row r="329" spans="3:10">
      <c r="C329" s="14"/>
      <c r="D329" s="14"/>
      <c r="E329" s="14"/>
      <c r="F329" s="14"/>
      <c r="G329" s="14"/>
      <c r="H329" s="14"/>
      <c r="I329" s="14"/>
      <c r="J329" s="14"/>
    </row>
    <row r="330" spans="3:10">
      <c r="C330" s="14"/>
      <c r="D330" s="14"/>
      <c r="E330" s="14"/>
      <c r="F330" s="14"/>
      <c r="G330" s="14"/>
      <c r="H330" s="14"/>
      <c r="I330" s="14"/>
      <c r="J330" s="14"/>
    </row>
    <row r="331" spans="3:10">
      <c r="C331" s="14"/>
      <c r="D331" s="14"/>
      <c r="E331" s="14"/>
      <c r="F331" s="14"/>
      <c r="G331" s="14"/>
      <c r="H331" s="14"/>
      <c r="I331" s="14"/>
      <c r="J331" s="14"/>
    </row>
    <row r="332" spans="3:10">
      <c r="C332" s="14"/>
      <c r="D332" s="14"/>
      <c r="E332" s="14"/>
      <c r="F332" s="14"/>
      <c r="G332" s="14"/>
      <c r="H332" s="14"/>
      <c r="I332" s="14"/>
      <c r="J332" s="14"/>
    </row>
    <row r="333" spans="3:10">
      <c r="D333" s="14"/>
      <c r="E333" s="14"/>
      <c r="J333" s="14"/>
    </row>
    <row r="334" spans="3:10">
      <c r="C334" s="14"/>
      <c r="D334" s="14"/>
      <c r="E334" s="14"/>
      <c r="F334" s="14"/>
      <c r="G334" s="14"/>
      <c r="H334" s="14"/>
      <c r="I334" s="14"/>
      <c r="J334" s="14"/>
    </row>
    <row r="335" spans="3:10">
      <c r="C335" s="14"/>
      <c r="D335" s="14"/>
      <c r="E335" s="14"/>
      <c r="F335" s="14"/>
      <c r="G335" s="14"/>
      <c r="H335" s="14"/>
      <c r="I335" s="14"/>
      <c r="J335" s="14"/>
    </row>
    <row r="336" spans="3:10">
      <c r="C336" s="14"/>
      <c r="D336" s="14"/>
      <c r="E336" s="14"/>
      <c r="F336" s="14"/>
      <c r="G336" s="14"/>
      <c r="H336" s="14"/>
      <c r="I336" s="14"/>
      <c r="J336" s="14"/>
    </row>
    <row r="337" spans="3:10">
      <c r="C337" s="14"/>
      <c r="D337" s="14"/>
      <c r="E337" s="14"/>
      <c r="F337" s="14"/>
      <c r="G337" s="14"/>
      <c r="H337" s="14"/>
      <c r="I337" s="14"/>
      <c r="J337" s="14"/>
    </row>
    <row r="338" spans="3:10">
      <c r="C338" s="14"/>
      <c r="D338" s="14"/>
      <c r="E338" s="14"/>
      <c r="F338" s="14"/>
      <c r="G338" s="14"/>
      <c r="H338" s="14"/>
      <c r="I338" s="14"/>
      <c r="J338" s="14"/>
    </row>
    <row r="339" spans="3:10">
      <c r="C339" s="14"/>
      <c r="D339" s="14"/>
      <c r="E339" s="14"/>
      <c r="F339" s="14"/>
      <c r="G339" s="14"/>
      <c r="H339" s="14"/>
      <c r="I339" s="14"/>
      <c r="J339" s="14"/>
    </row>
    <row r="340" spans="3:10">
      <c r="C340" s="14"/>
      <c r="D340" s="14"/>
      <c r="E340" s="14"/>
      <c r="F340" s="14"/>
      <c r="G340" s="14"/>
      <c r="H340" s="14"/>
      <c r="I340" s="14"/>
      <c r="J340" s="14"/>
    </row>
  </sheetData>
  <mergeCells count="44">
    <mergeCell ref="O55:Y55"/>
    <mergeCell ref="Y49:Y50"/>
    <mergeCell ref="O51:O54"/>
    <mergeCell ref="P51:P54"/>
    <mergeCell ref="Q51:Q54"/>
    <mergeCell ref="R51:R54"/>
    <mergeCell ref="S51:S54"/>
    <mergeCell ref="T51:T54"/>
    <mergeCell ref="U51:U54"/>
    <mergeCell ref="V51:V54"/>
    <mergeCell ref="W51:W54"/>
    <mergeCell ref="X51:X54"/>
    <mergeCell ref="T49:T50"/>
    <mergeCell ref="U49:U50"/>
    <mergeCell ref="V49:V50"/>
    <mergeCell ref="W49:W50"/>
    <mergeCell ref="X49:X50"/>
    <mergeCell ref="F34:I34"/>
    <mergeCell ref="F20:I20"/>
    <mergeCell ref="F22:I22"/>
    <mergeCell ref="F28:I28"/>
    <mergeCell ref="F30:I30"/>
    <mergeCell ref="F32:I32"/>
    <mergeCell ref="O49:O50"/>
    <mergeCell ref="P49:P50"/>
    <mergeCell ref="Q49:Q50"/>
    <mergeCell ref="R49:R50"/>
    <mergeCell ref="S49:S50"/>
    <mergeCell ref="F2:I2"/>
    <mergeCell ref="F14:I14"/>
    <mergeCell ref="F26:I26"/>
    <mergeCell ref="N32:N33"/>
    <mergeCell ref="W31:X31"/>
    <mergeCell ref="W32:X32"/>
    <mergeCell ref="A25:J25"/>
    <mergeCell ref="W2:X2"/>
    <mergeCell ref="W22:W23"/>
    <mergeCell ref="X22:X23"/>
    <mergeCell ref="F4:I4"/>
    <mergeCell ref="F6:I6"/>
    <mergeCell ref="F8:I8"/>
    <mergeCell ref="F10:I10"/>
    <mergeCell ref="F16:I16"/>
    <mergeCell ref="F18:I18"/>
  </mergeCells>
  <phoneticPr fontId="2" type="noConversion"/>
  <hyperlinks>
    <hyperlink ref="N51" r:id="rId1" display="https://tw.stock.yahoo.com/q/bc?s=1707"/>
    <hyperlink ref="N52" r:id="rId2" display="https://tw.stock.yahoo.com/pf/pfsel?stocklist=1707;"/>
    <hyperlink ref="N54" r:id="rId3" display="https://tw.stock.yahoo.com/pf/pfsel?stocklist=1707;"/>
    <hyperlink ref="Y51" r:id="rId4" display="https://tw.stock.yahoo.com/q/ts?s=1707"/>
    <hyperlink ref="Y54" r:id="rId5" display="https://tw.rd.yahoo.com/referurl/stock/other/SIG=125v47s73/**https:/tw.screener.finance.yahoo.net/screener/check.html?symid=1707"/>
    <hyperlink ref="O55" r:id="rId6" display="javascript: CheckP(document.orderform, 'Z', '/fcgi-bin/orderpage.fcg');"/>
  </hyperlinks>
  <pageMargins left="0.7" right="0.7" top="0.75" bottom="0.75" header="0.3" footer="0.3"/>
  <pageSetup paperSize="9" orientation="portrait" r:id="rId7"/>
  <drawing r:id="rId8"/>
  <legacyDrawing r:id="rId9"/>
  <controls>
    <control shapeId="1070" r:id="rId10" name="CommandButton32"/>
    <control shapeId="1060" r:id="rId11" name="CommandButton25"/>
    <control shapeId="1059" r:id="rId12" name="CommandButton24"/>
    <control shapeId="1058" r:id="rId13" name="CommandButton23"/>
    <control shapeId="1057" r:id="rId14" name="CommandButton22"/>
    <control shapeId="1056" r:id="rId15" name="CommandButton10"/>
    <control shapeId="1040" r:id="rId16" name="CommandButton3"/>
    <control shapeId="1025" r:id="rId17" name="ComboBox1"/>
    <control shapeId="1026" r:id="rId18" name="CommandButton1"/>
    <control shapeId="1027" r:id="rId19" name="CommandButton2"/>
    <control shapeId="1028" r:id="rId20" name="CommandButton4"/>
    <control shapeId="1029" r:id="rId21" name="CommandButton5"/>
    <control shapeId="1030" r:id="rId22" name="CommandButton6"/>
    <control shapeId="1031" r:id="rId23" name="CommandButton7"/>
    <control shapeId="1032" r:id="rId24" name="CommandButton8"/>
    <control shapeId="1033" r:id="rId25" name="CommandButton9"/>
    <control shapeId="1034" r:id="rId26" name="CommandButton0"/>
    <control shapeId="1042" r:id="rId27" name="CommandButton11"/>
    <control shapeId="1044" r:id="rId28" name="CommandButton12"/>
    <control shapeId="1045" r:id="rId29" name="CommandButton13"/>
    <control shapeId="1047" r:id="rId30" name="CommandButton14"/>
    <control shapeId="1049" r:id="rId31" name="CommandButton15"/>
    <control shapeId="1050" r:id="rId32" name="CommandButton16"/>
    <control shapeId="1051" r:id="rId33" name="CommandButton17"/>
    <control shapeId="1053" r:id="rId34" name="CommandButton19"/>
    <control shapeId="1054" r:id="rId35" name="CommandButton20"/>
    <control shapeId="1055" r:id="rId36" name="CommandButton21"/>
    <control shapeId="1061" r:id="rId37" name="CommandButton26"/>
    <control shapeId="1063" r:id="rId38" name="CommandButton27"/>
    <control shapeId="1065" r:id="rId39" name="CommandButton28"/>
    <control shapeId="1066" r:id="rId40" name="CommandButton29"/>
    <control shapeId="1068" r:id="rId41" name="CommandButton30"/>
  </controls>
</worksheet>
</file>

<file path=xl/worksheets/sheet4.xml><?xml version="1.0" encoding="utf-8"?>
<worksheet xmlns="http://schemas.openxmlformats.org/spreadsheetml/2006/main" xmlns:r="http://schemas.openxmlformats.org/officeDocument/2006/relationships">
  <sheetPr codeName="工作表8"/>
  <dimension ref="A1"/>
  <sheetViews>
    <sheetView topLeftCell="A4" workbookViewId="0">
      <selection activeCell="F27" sqref="F27"/>
    </sheetView>
  </sheetViews>
  <sheetFormatPr defaultRowHeight="16.5"/>
  <sheetData/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D評比系統"/>
  <dimension ref="A1:W737"/>
  <sheetViews>
    <sheetView tabSelected="1" zoomScaleNormal="100" workbookViewId="0">
      <pane xSplit="13" ySplit="3" topLeftCell="N598" activePane="bottomRight" state="frozen"/>
      <selection pane="topRight" activeCell="N1" sqref="N1"/>
      <selection pane="bottomLeft" activeCell="A4" sqref="A4"/>
      <selection pane="bottomRight" activeCell="A605" sqref="A605:XFD605"/>
    </sheetView>
  </sheetViews>
  <sheetFormatPr defaultRowHeight="19.5"/>
  <cols>
    <col min="1" max="1" width="9.625" style="20" customWidth="1"/>
    <col min="2" max="2" width="11.25" style="23" customWidth="1"/>
    <col min="3" max="3" width="6.25" style="18" bestFit="1" customWidth="1"/>
    <col min="4" max="4" width="6.875" style="18" bestFit="1" customWidth="1"/>
    <col min="5" max="5" width="9.375" style="18" bestFit="1" customWidth="1"/>
    <col min="6" max="7" width="6.875" style="18" bestFit="1" customWidth="1"/>
    <col min="8" max="12" width="6.875" style="20" bestFit="1" customWidth="1"/>
    <col min="13" max="13" width="6.25" style="58" bestFit="1" customWidth="1"/>
    <col min="14" max="14" width="8.5" style="20" customWidth="1"/>
    <col min="15" max="15" width="11.375" style="19" bestFit="1" customWidth="1"/>
    <col min="16" max="16" width="13.375" style="19" customWidth="1"/>
    <col min="17" max="17" width="12.625" style="19" bestFit="1" customWidth="1"/>
    <col min="18" max="18" width="10.75" style="19" customWidth="1"/>
    <col min="19" max="19" width="8.5" style="199" customWidth="1"/>
    <col min="20" max="20" width="34.375" bestFit="1" customWidth="1"/>
  </cols>
  <sheetData>
    <row r="1" spans="1:23" ht="26.25" thickBot="1">
      <c r="A1" s="365">
        <f ca="1">NOW()</f>
        <v>42424.030831944445</v>
      </c>
      <c r="B1" s="366"/>
      <c r="C1" s="377" t="s">
        <v>1956</v>
      </c>
      <c r="D1" s="378"/>
      <c r="E1" s="378"/>
      <c r="F1" s="378"/>
      <c r="G1" s="379"/>
      <c r="H1" s="253"/>
      <c r="I1" s="251"/>
      <c r="J1" s="251"/>
      <c r="K1" s="251"/>
      <c r="L1" s="251"/>
      <c r="M1" s="254"/>
      <c r="N1" s="256"/>
      <c r="O1" s="252"/>
      <c r="P1" s="24"/>
      <c r="Q1" s="61"/>
      <c r="R1" s="61"/>
      <c r="S1" s="197"/>
      <c r="T1" s="32"/>
    </row>
    <row r="2" spans="1:23" s="59" customFormat="1" ht="28.5" customHeight="1">
      <c r="A2" s="367" t="s">
        <v>38</v>
      </c>
      <c r="B2" s="368"/>
      <c r="C2" s="369" t="s">
        <v>250</v>
      </c>
      <c r="D2" s="370"/>
      <c r="E2" s="370"/>
      <c r="F2" s="370"/>
      <c r="G2" s="371"/>
      <c r="H2" s="374" t="s">
        <v>253</v>
      </c>
      <c r="I2" s="375"/>
      <c r="J2" s="375"/>
      <c r="K2" s="375"/>
      <c r="L2" s="375"/>
      <c r="M2" s="376"/>
      <c r="N2" s="257" t="s">
        <v>1901</v>
      </c>
      <c r="O2" s="372" t="s">
        <v>1924</v>
      </c>
      <c r="P2" s="372"/>
      <c r="Q2" s="372"/>
      <c r="R2" s="372"/>
      <c r="S2" s="373"/>
      <c r="T2" s="32"/>
      <c r="U2"/>
      <c r="V2"/>
      <c r="W2"/>
    </row>
    <row r="3" spans="1:23" ht="20.25" thickBot="1">
      <c r="A3" s="21" t="s">
        <v>39</v>
      </c>
      <c r="B3" s="22" t="s">
        <v>40</v>
      </c>
      <c r="C3" s="15" t="s">
        <v>41</v>
      </c>
      <c r="D3" s="16" t="s">
        <v>42</v>
      </c>
      <c r="E3" s="16" t="s">
        <v>43</v>
      </c>
      <c r="F3" s="16" t="s">
        <v>44</v>
      </c>
      <c r="G3" s="255" t="s">
        <v>45</v>
      </c>
      <c r="H3" s="17" t="s">
        <v>37</v>
      </c>
      <c r="I3" s="165" t="s">
        <v>248</v>
      </c>
      <c r="J3" s="166" t="s">
        <v>249</v>
      </c>
      <c r="K3" s="166" t="s">
        <v>251</v>
      </c>
      <c r="L3" s="166" t="s">
        <v>254</v>
      </c>
      <c r="M3" s="167" t="s">
        <v>1900</v>
      </c>
      <c r="N3" s="258" t="s">
        <v>541</v>
      </c>
      <c r="O3" s="69" t="s">
        <v>255</v>
      </c>
      <c r="P3" s="60" t="s">
        <v>256</v>
      </c>
      <c r="Q3" s="60" t="s">
        <v>252</v>
      </c>
      <c r="R3" s="60" t="s">
        <v>1923</v>
      </c>
      <c r="S3" s="198" t="s">
        <v>537</v>
      </c>
      <c r="T3" s="32"/>
    </row>
    <row r="4" spans="1:23" s="317" customFormat="1">
      <c r="A4" s="309" t="str">
        <f>HYPERLINK("http://www.wantgoo.com/stock/chart.aspx?stockno=3474","3474")</f>
        <v>3474</v>
      </c>
      <c r="B4" s="310"/>
      <c r="C4" s="311">
        <f>VLOOKUP(3474,季財報!A:H,3)</f>
        <v>0</v>
      </c>
      <c r="D4" s="311">
        <f>VLOOKUP(3474,季財報!A:H,4)</f>
        <v>1</v>
      </c>
      <c r="E4" s="311">
        <f>VLOOKUP(3474,季財報!A:H,5)</f>
        <v>1</v>
      </c>
      <c r="F4" s="311">
        <f>VLOOKUP(3474,季財報!A:H,6)</f>
        <v>1</v>
      </c>
      <c r="G4" s="311">
        <f>VLOOKUP(3474,季財報!A:H,7)</f>
        <v>0</v>
      </c>
      <c r="H4" s="312"/>
      <c r="I4" s="312"/>
      <c r="J4" s="312"/>
      <c r="K4" s="312"/>
      <c r="L4" s="312"/>
      <c r="M4" s="313"/>
      <c r="N4" s="312">
        <f t="shared" ref="N4:N67" si="0">SUM(C4:M4)</f>
        <v>3</v>
      </c>
      <c r="O4" s="314"/>
      <c r="P4" s="314"/>
      <c r="Q4" s="314"/>
      <c r="R4" s="314"/>
      <c r="S4" s="315"/>
      <c r="T4" s="316"/>
    </row>
    <row r="5" spans="1:23" s="317" customFormat="1">
      <c r="A5" s="309" t="str">
        <f>HYPERLINK("http://www.wantgoo.com/stock/chart.aspx?stockno=2408","2408")</f>
        <v>2408</v>
      </c>
      <c r="B5" s="310"/>
      <c r="C5" s="311">
        <f>VLOOKUP(2408,季財報!A:H,3)</f>
        <v>0</v>
      </c>
      <c r="D5" s="311">
        <f>VLOOKUP(2408,季財報!A:H,4)</f>
        <v>1</v>
      </c>
      <c r="E5" s="311">
        <f>VLOOKUP(2408,季財報!A:H,5)</f>
        <v>0</v>
      </c>
      <c r="F5" s="311">
        <f>VLOOKUP(2408,季財報!A:H,6)</f>
        <v>1</v>
      </c>
      <c r="G5" s="311">
        <f>VLOOKUP(2408,季財報!A:H,7)</f>
        <v>0</v>
      </c>
      <c r="H5" s="312"/>
      <c r="I5" s="312"/>
      <c r="J5" s="312"/>
      <c r="K5" s="312"/>
      <c r="L5" s="312"/>
      <c r="M5" s="313"/>
      <c r="N5" s="312">
        <f t="shared" si="0"/>
        <v>2</v>
      </c>
      <c r="O5" s="314"/>
      <c r="P5" s="314"/>
      <c r="Q5" s="314"/>
      <c r="R5" s="314"/>
      <c r="S5" s="315"/>
      <c r="T5" s="316"/>
    </row>
    <row r="6" spans="1:23" s="317" customFormat="1">
      <c r="A6" s="309" t="str">
        <f>HYPERLINK("http://www.wantgoo.com/stock/chart.aspx?stockno=1704","1704")</f>
        <v>1704</v>
      </c>
      <c r="B6" s="310"/>
      <c r="C6" s="311">
        <f>VLOOKUP(1704,季財報!A:H,3)</f>
        <v>1</v>
      </c>
      <c r="D6" s="311">
        <f>VLOOKUP(1704,季財報!A:H,4)</f>
        <v>1</v>
      </c>
      <c r="E6" s="311">
        <f>VLOOKUP(1704,季財報!A:H,5)</f>
        <v>2</v>
      </c>
      <c r="F6" s="311">
        <f>VLOOKUP(1704,季財報!A:H,6)</f>
        <v>0</v>
      </c>
      <c r="G6" s="311">
        <f>VLOOKUP(1704,季財報!A:H,7)</f>
        <v>0</v>
      </c>
      <c r="H6" s="312"/>
      <c r="I6" s="312"/>
      <c r="J6" s="312"/>
      <c r="K6" s="312"/>
      <c r="L6" s="312"/>
      <c r="M6" s="313"/>
      <c r="N6" s="312">
        <f t="shared" si="0"/>
        <v>4</v>
      </c>
      <c r="O6" s="314"/>
      <c r="P6" s="314"/>
      <c r="Q6" s="314"/>
      <c r="R6" s="314"/>
      <c r="S6" s="315"/>
      <c r="T6" s="316"/>
    </row>
    <row r="7" spans="1:23" s="317" customFormat="1">
      <c r="A7" s="309" t="str">
        <f>HYPERLINK("http://www.wantgoo.com/stock/chart.aspx?stockno=6114","6114")</f>
        <v>6114</v>
      </c>
      <c r="B7" s="310"/>
      <c r="C7" s="311">
        <f>VLOOKUP(6114,季財報!A:H,3)</f>
        <v>0</v>
      </c>
      <c r="D7" s="311">
        <f>VLOOKUP(6114,季財報!A:H,4)</f>
        <v>1</v>
      </c>
      <c r="E7" s="311">
        <f>VLOOKUP(6114,季財報!A:H,5)</f>
        <v>0</v>
      </c>
      <c r="F7" s="311">
        <f>VLOOKUP(6114,季財報!A:H,6)</f>
        <v>1</v>
      </c>
      <c r="G7" s="311">
        <f>VLOOKUP(6114,季財報!A:H,7)</f>
        <v>0</v>
      </c>
      <c r="H7" s="312"/>
      <c r="I7" s="312"/>
      <c r="J7" s="312"/>
      <c r="K7" s="312"/>
      <c r="L7" s="312"/>
      <c r="M7" s="313"/>
      <c r="N7" s="312">
        <f t="shared" si="0"/>
        <v>2</v>
      </c>
      <c r="O7" s="314"/>
      <c r="P7" s="314"/>
      <c r="Q7" s="314"/>
      <c r="R7" s="314"/>
      <c r="S7" s="315"/>
      <c r="T7" s="316"/>
    </row>
    <row r="8" spans="1:23" s="317" customFormat="1">
      <c r="A8" s="309" t="str">
        <f>HYPERLINK("http://www.wantgoo.com/stock/chart.aspx?stockno=6105","6105")</f>
        <v>6105</v>
      </c>
      <c r="B8" s="310"/>
      <c r="C8" s="311">
        <f>VLOOKUP(6105,季財報!A:H,3)</f>
        <v>0</v>
      </c>
      <c r="D8" s="311">
        <f>VLOOKUP(6105,季財報!A:H,4)</f>
        <v>1</v>
      </c>
      <c r="E8" s="311">
        <f>VLOOKUP(6105,季財報!A:H,5)</f>
        <v>0</v>
      </c>
      <c r="F8" s="311">
        <f>VLOOKUP(6105,季財報!A:H,6)</f>
        <v>1</v>
      </c>
      <c r="G8" s="311">
        <f>VLOOKUP(6105,季財報!A:H,7)</f>
        <v>0</v>
      </c>
      <c r="H8" s="312"/>
      <c r="I8" s="312"/>
      <c r="J8" s="312"/>
      <c r="K8" s="312"/>
      <c r="L8" s="312"/>
      <c r="M8" s="313"/>
      <c r="N8" s="312">
        <f t="shared" si="0"/>
        <v>2</v>
      </c>
      <c r="O8" s="314"/>
      <c r="P8" s="314"/>
      <c r="Q8" s="314"/>
      <c r="R8" s="314"/>
      <c r="S8" s="315"/>
      <c r="T8" s="316"/>
    </row>
    <row r="9" spans="1:23" s="317" customFormat="1">
      <c r="A9" s="309" t="str">
        <f>HYPERLINK("http://www.wantgoo.com/stock/chart.aspx?stockno=9943","9943")</f>
        <v>9943</v>
      </c>
      <c r="B9" s="310"/>
      <c r="C9" s="311">
        <f>VLOOKUP(9943,季財報!A:H,3)</f>
        <v>0</v>
      </c>
      <c r="D9" s="311">
        <f>VLOOKUP(9943,季財報!A:H,4)</f>
        <v>1</v>
      </c>
      <c r="E9" s="311">
        <f>VLOOKUP(9943,季財報!A:H,5)</f>
        <v>0</v>
      </c>
      <c r="F9" s="311">
        <f>VLOOKUP(9943,季財報!A:H,6)</f>
        <v>1</v>
      </c>
      <c r="G9" s="311">
        <f>VLOOKUP(9943,季財報!A:H,7)</f>
        <v>0</v>
      </c>
      <c r="H9" s="312"/>
      <c r="I9" s="312"/>
      <c r="J9" s="312"/>
      <c r="K9" s="312"/>
      <c r="L9" s="312"/>
      <c r="M9" s="313"/>
      <c r="N9" s="312">
        <f t="shared" si="0"/>
        <v>2</v>
      </c>
      <c r="O9" s="314"/>
      <c r="P9" s="314"/>
      <c r="Q9" s="314"/>
      <c r="R9" s="314"/>
      <c r="S9" s="315"/>
      <c r="T9" s="316"/>
    </row>
    <row r="10" spans="1:23" s="317" customFormat="1">
      <c r="A10" s="309" t="str">
        <f>HYPERLINK("http://www.wantgoo.com/stock/chart.aspx?stockno=6210","6210")</f>
        <v>6210</v>
      </c>
      <c r="B10" s="310"/>
      <c r="C10" s="311">
        <f>VLOOKUP(6210,季財報!A:H,3)</f>
        <v>0</v>
      </c>
      <c r="D10" s="311">
        <f>VLOOKUP(6210,季財報!A:H,4)</f>
        <v>1</v>
      </c>
      <c r="E10" s="311">
        <f>VLOOKUP(6210,季財報!A:H,5)</f>
        <v>0</v>
      </c>
      <c r="F10" s="311">
        <f>VLOOKUP(6210,季財報!A:H,6)</f>
        <v>1</v>
      </c>
      <c r="G10" s="311">
        <f>VLOOKUP(6210,季財報!A:H,7)</f>
        <v>0</v>
      </c>
      <c r="H10" s="312"/>
      <c r="I10" s="312"/>
      <c r="J10" s="312"/>
      <c r="K10" s="312"/>
      <c r="L10" s="312"/>
      <c r="M10" s="313"/>
      <c r="N10" s="312">
        <f t="shared" si="0"/>
        <v>2</v>
      </c>
      <c r="O10" s="314"/>
      <c r="P10" s="314"/>
      <c r="Q10" s="314"/>
      <c r="R10" s="314"/>
      <c r="S10" s="315"/>
      <c r="T10" s="316"/>
    </row>
    <row r="11" spans="1:23" s="317" customFormat="1">
      <c r="A11" s="309" t="str">
        <f>HYPERLINK("http://www.wantgoo.com/stock/chart.aspx?stockno=3490","3490")</f>
        <v>3490</v>
      </c>
      <c r="B11" s="310"/>
      <c r="C11" s="311">
        <f>VLOOKUP(3490,季財報!A:H,3)</f>
        <v>0</v>
      </c>
      <c r="D11" s="311">
        <f>VLOOKUP(3490,季財報!A:H,4)</f>
        <v>0</v>
      </c>
      <c r="E11" s="311">
        <f>VLOOKUP(3490,季財報!A:H,5)</f>
        <v>0</v>
      </c>
      <c r="F11" s="311">
        <f>VLOOKUP(3490,季財報!A:H,6)</f>
        <v>1</v>
      </c>
      <c r="G11" s="311">
        <f>VLOOKUP(3490,季財報!A:H,7)</f>
        <v>0</v>
      </c>
      <c r="H11" s="312"/>
      <c r="I11" s="312"/>
      <c r="J11" s="312"/>
      <c r="K11" s="312"/>
      <c r="L11" s="312"/>
      <c r="M11" s="313"/>
      <c r="N11" s="312">
        <f t="shared" si="0"/>
        <v>1</v>
      </c>
      <c r="O11" s="314"/>
      <c r="P11" s="314"/>
      <c r="Q11" s="314"/>
      <c r="R11" s="314"/>
      <c r="S11" s="315"/>
      <c r="T11" s="316"/>
    </row>
    <row r="12" spans="1:23" s="317" customFormat="1">
      <c r="A12" s="309" t="str">
        <f>HYPERLINK("http://www.wantgoo.com/stock/chart.aspx?stockno=1464","1464")</f>
        <v>1464</v>
      </c>
      <c r="B12" s="310"/>
      <c r="C12" s="311">
        <f>VLOOKUP(1464,季財報!A:H,3)</f>
        <v>0</v>
      </c>
      <c r="D12" s="311">
        <f>VLOOKUP(1464,季財報!A:H,4)</f>
        <v>1</v>
      </c>
      <c r="E12" s="311">
        <f>VLOOKUP(1464,季財報!A:H,5)</f>
        <v>0</v>
      </c>
      <c r="F12" s="311">
        <f>VLOOKUP(1464,季財報!A:H,6)</f>
        <v>0</v>
      </c>
      <c r="G12" s="311">
        <f>VLOOKUP(1464,季財報!A:H,7)</f>
        <v>0</v>
      </c>
      <c r="H12" s="312"/>
      <c r="I12" s="312"/>
      <c r="J12" s="312"/>
      <c r="K12" s="312"/>
      <c r="L12" s="312"/>
      <c r="M12" s="313"/>
      <c r="N12" s="312">
        <f t="shared" si="0"/>
        <v>1</v>
      </c>
      <c r="O12" s="314"/>
      <c r="P12" s="314"/>
      <c r="Q12" s="314"/>
      <c r="R12" s="314"/>
      <c r="S12" s="315"/>
      <c r="T12" s="316"/>
    </row>
    <row r="13" spans="1:23" s="317" customFormat="1">
      <c r="A13" s="309" t="str">
        <f>HYPERLINK("http://www.wantgoo.com/stock/chart.aspx?stockno=1340","1340")</f>
        <v>1340</v>
      </c>
      <c r="B13" s="310"/>
      <c r="C13" s="311">
        <f>VLOOKUP(1340,季財報!A:H,3)</f>
        <v>0</v>
      </c>
      <c r="D13" s="311">
        <f>VLOOKUP(1340,季財報!A:H,4)</f>
        <v>1</v>
      </c>
      <c r="E13" s="311">
        <f>VLOOKUP(1340,季財報!A:H,5)</f>
        <v>0</v>
      </c>
      <c r="F13" s="311">
        <f>VLOOKUP(1340,季財報!A:H,6)</f>
        <v>1</v>
      </c>
      <c r="G13" s="311">
        <f>VLOOKUP(1340,季財報!A:H,7)</f>
        <v>0</v>
      </c>
      <c r="H13" s="312"/>
      <c r="I13" s="312"/>
      <c r="J13" s="312"/>
      <c r="K13" s="312"/>
      <c r="L13" s="312"/>
      <c r="M13" s="313"/>
      <c r="N13" s="312">
        <f t="shared" si="0"/>
        <v>2</v>
      </c>
      <c r="O13" s="314"/>
      <c r="P13" s="314"/>
      <c r="Q13" s="314"/>
      <c r="R13" s="314"/>
      <c r="S13" s="315"/>
      <c r="T13" s="316"/>
    </row>
    <row r="14" spans="1:23" s="317" customFormat="1">
      <c r="A14" s="309" t="str">
        <f>HYPERLINK("http://www.wantgoo.com/stock/chart.aspx?stockno=5523","5523")</f>
        <v>5523</v>
      </c>
      <c r="B14" s="310"/>
      <c r="C14" s="311">
        <f>VLOOKUP(5523,季財報!A:H,3)</f>
        <v>0</v>
      </c>
      <c r="D14" s="311">
        <f>VLOOKUP(5523,季財報!A:H,4)</f>
        <v>0</v>
      </c>
      <c r="E14" s="311">
        <f>VLOOKUP(5523,季財報!A:H,5)</f>
        <v>0</v>
      </c>
      <c r="F14" s="311">
        <f>VLOOKUP(5523,季財報!A:H,6)</f>
        <v>0</v>
      </c>
      <c r="G14" s="311">
        <f>VLOOKUP(5523,季財報!A:H,7)</f>
        <v>0</v>
      </c>
      <c r="H14" s="312"/>
      <c r="I14" s="312"/>
      <c r="J14" s="312"/>
      <c r="K14" s="312"/>
      <c r="L14" s="312"/>
      <c r="M14" s="313"/>
      <c r="N14" s="312">
        <f t="shared" si="0"/>
        <v>0</v>
      </c>
      <c r="O14" s="314"/>
      <c r="P14" s="314"/>
      <c r="Q14" s="314"/>
      <c r="R14" s="314"/>
      <c r="S14" s="315"/>
      <c r="T14" s="316"/>
    </row>
    <row r="15" spans="1:23" s="317" customFormat="1">
      <c r="A15" s="309" t="str">
        <f>HYPERLINK("http://www.wantgoo.com/stock/chart.aspx?stockno=3564","3564")</f>
        <v>3564</v>
      </c>
      <c r="B15" s="310"/>
      <c r="C15" s="311">
        <f>VLOOKUP(3564,季財報!A:H,3)</f>
        <v>0</v>
      </c>
      <c r="D15" s="311">
        <f>VLOOKUP(3564,季財報!A:H,4)</f>
        <v>1</v>
      </c>
      <c r="E15" s="311">
        <f>VLOOKUP(3564,季財報!A:H,5)</f>
        <v>0</v>
      </c>
      <c r="F15" s="311">
        <f>VLOOKUP(3564,季財報!A:H,6)</f>
        <v>1</v>
      </c>
      <c r="G15" s="311">
        <f>VLOOKUP(3564,季財報!A:H,7)</f>
        <v>1</v>
      </c>
      <c r="H15" s="312"/>
      <c r="I15" s="312"/>
      <c r="J15" s="312"/>
      <c r="K15" s="312"/>
      <c r="L15" s="312"/>
      <c r="M15" s="313"/>
      <c r="N15" s="312">
        <f t="shared" si="0"/>
        <v>3</v>
      </c>
      <c r="O15" s="314"/>
      <c r="P15" s="314"/>
      <c r="Q15" s="314"/>
      <c r="R15" s="314"/>
      <c r="S15" s="315"/>
      <c r="T15" s="316"/>
    </row>
    <row r="16" spans="1:23" s="317" customFormat="1">
      <c r="A16" s="309" t="str">
        <f>HYPERLINK("http://www.wantgoo.com/stock/chart.aspx?stockno=4416","4416")</f>
        <v>4416</v>
      </c>
      <c r="B16" s="310"/>
      <c r="C16" s="311">
        <f>VLOOKUP(4416,季財報!A:H,3)</f>
        <v>0</v>
      </c>
      <c r="D16" s="311">
        <f>VLOOKUP(4416,季財報!A:H,4)</f>
        <v>0</v>
      </c>
      <c r="E16" s="311">
        <f>VLOOKUP(4416,季財報!A:H,5)</f>
        <v>0</v>
      </c>
      <c r="F16" s="311">
        <f>VLOOKUP(4416,季財報!A:H,6)</f>
        <v>0</v>
      </c>
      <c r="G16" s="311">
        <f>VLOOKUP(4416,季財報!A:H,7)</f>
        <v>0</v>
      </c>
      <c r="H16" s="312"/>
      <c r="I16" s="312"/>
      <c r="J16" s="312"/>
      <c r="K16" s="312"/>
      <c r="L16" s="312"/>
      <c r="M16" s="313"/>
      <c r="N16" s="312">
        <f t="shared" si="0"/>
        <v>0</v>
      </c>
      <c r="O16" s="314"/>
      <c r="P16" s="314"/>
      <c r="Q16" s="314"/>
      <c r="R16" s="314"/>
      <c r="S16" s="315"/>
      <c r="T16" s="316"/>
    </row>
    <row r="17" spans="1:20" s="317" customFormat="1">
      <c r="A17" s="309" t="str">
        <f>HYPERLINK("http://www.wantgoo.com/stock/chart.aspx?stockno=6269","6269")</f>
        <v>6269</v>
      </c>
      <c r="B17" s="310"/>
      <c r="C17" s="311">
        <f>VLOOKUP(6269,季財報!A:H,3)</f>
        <v>0</v>
      </c>
      <c r="D17" s="311">
        <f>VLOOKUP(6269,季財報!A:H,4)</f>
        <v>1</v>
      </c>
      <c r="E17" s="311">
        <f>VLOOKUP(6269,季財報!A:H,5)</f>
        <v>0</v>
      </c>
      <c r="F17" s="311">
        <f>VLOOKUP(6269,季財報!A:H,6)</f>
        <v>1</v>
      </c>
      <c r="G17" s="311">
        <f>VLOOKUP(6269,季財報!A:H,7)</f>
        <v>0</v>
      </c>
      <c r="H17" s="312"/>
      <c r="I17" s="312"/>
      <c r="J17" s="312"/>
      <c r="K17" s="312"/>
      <c r="L17" s="312"/>
      <c r="M17" s="313"/>
      <c r="N17" s="312">
        <f t="shared" si="0"/>
        <v>2</v>
      </c>
      <c r="O17" s="314"/>
      <c r="P17" s="314"/>
      <c r="Q17" s="314"/>
      <c r="R17" s="314"/>
      <c r="S17" s="315"/>
      <c r="T17" s="316"/>
    </row>
    <row r="18" spans="1:20" s="317" customFormat="1">
      <c r="A18" s="309" t="str">
        <f>HYPERLINK("http://www.wantgoo.com/stock/chart.aspx?stockno=8429","8429")</f>
        <v>8429</v>
      </c>
      <c r="B18" s="310"/>
      <c r="C18" s="311">
        <f>VLOOKUP(8429,季財報!A:H,3)</f>
        <v>0</v>
      </c>
      <c r="D18" s="311">
        <f>VLOOKUP(8429,季財報!A:H,4)</f>
        <v>0</v>
      </c>
      <c r="E18" s="311">
        <f>VLOOKUP(8429,季財報!A:H,5)</f>
        <v>0</v>
      </c>
      <c r="F18" s="311">
        <f>VLOOKUP(8429,季財報!A:H,6)</f>
        <v>1</v>
      </c>
      <c r="G18" s="311">
        <f>VLOOKUP(8429,季財報!A:H,7)</f>
        <v>0</v>
      </c>
      <c r="H18" s="312"/>
      <c r="I18" s="312"/>
      <c r="J18" s="312"/>
      <c r="K18" s="312"/>
      <c r="L18" s="312"/>
      <c r="M18" s="313"/>
      <c r="N18" s="312">
        <f t="shared" si="0"/>
        <v>1</v>
      </c>
      <c r="O18" s="314"/>
      <c r="P18" s="314"/>
      <c r="Q18" s="314"/>
      <c r="R18" s="314"/>
      <c r="S18" s="315"/>
      <c r="T18" s="316"/>
    </row>
    <row r="19" spans="1:20" s="317" customFormat="1">
      <c r="A19" s="309" t="str">
        <f>HYPERLINK("http://www.wantgoo.com/stock/chart.aspx?stockno=2383","2383")</f>
        <v>2383</v>
      </c>
      <c r="B19" s="310"/>
      <c r="C19" s="311">
        <f>VLOOKUP(2383,季財報!A:H,3)</f>
        <v>1</v>
      </c>
      <c r="D19" s="311">
        <f>VLOOKUP(2383,季財報!A:H,4)</f>
        <v>1</v>
      </c>
      <c r="E19" s="311">
        <f>VLOOKUP(2383,季財報!A:H,5)</f>
        <v>2</v>
      </c>
      <c r="F19" s="311">
        <f>VLOOKUP(2383,季財報!A:H,6)</f>
        <v>1</v>
      </c>
      <c r="G19" s="311">
        <f>VLOOKUP(2383,季財報!A:H,7)</f>
        <v>0</v>
      </c>
      <c r="H19" s="312"/>
      <c r="I19" s="312"/>
      <c r="J19" s="312"/>
      <c r="K19" s="312"/>
      <c r="L19" s="312"/>
      <c r="M19" s="313"/>
      <c r="N19" s="312">
        <f t="shared" si="0"/>
        <v>5</v>
      </c>
      <c r="O19" s="314"/>
      <c r="P19" s="314"/>
      <c r="Q19" s="314"/>
      <c r="R19" s="314"/>
      <c r="S19" s="315"/>
      <c r="T19" s="316"/>
    </row>
    <row r="20" spans="1:20" s="317" customFormat="1">
      <c r="A20" s="309" t="str">
        <f>HYPERLINK("http://www.wantgoo.com/stock/chart.aspx?stockno=5525","5525")</f>
        <v>5525</v>
      </c>
      <c r="B20" s="310"/>
      <c r="C20" s="311">
        <f>VLOOKUP(5525,季財報!A:H,3)</f>
        <v>0</v>
      </c>
      <c r="D20" s="311">
        <f>VLOOKUP(5525,季財報!A:H,4)</f>
        <v>1</v>
      </c>
      <c r="E20" s="311">
        <f>VLOOKUP(5525,季財報!A:H,5)</f>
        <v>0</v>
      </c>
      <c r="F20" s="311">
        <f>VLOOKUP(5525,季財報!A:H,6)</f>
        <v>0</v>
      </c>
      <c r="G20" s="311">
        <f>VLOOKUP(5525,季財報!A:H,7)</f>
        <v>0</v>
      </c>
      <c r="H20" s="312"/>
      <c r="I20" s="312"/>
      <c r="J20" s="312"/>
      <c r="K20" s="312"/>
      <c r="L20" s="312"/>
      <c r="M20" s="313"/>
      <c r="N20" s="312">
        <f t="shared" si="0"/>
        <v>1</v>
      </c>
      <c r="O20" s="314"/>
      <c r="P20" s="314"/>
      <c r="Q20" s="314"/>
      <c r="R20" s="314"/>
      <c r="S20" s="315"/>
      <c r="T20" s="316"/>
    </row>
    <row r="21" spans="1:20" s="317" customFormat="1">
      <c r="A21" s="309" t="str">
        <f>HYPERLINK("http://www.wantgoo.com/stock/chart.aspx?stockno=4999","4999")</f>
        <v>4999</v>
      </c>
      <c r="B21" s="310"/>
      <c r="C21" s="311">
        <f>VLOOKUP(4999,季財報!A:H,3)</f>
        <v>0</v>
      </c>
      <c r="D21" s="311">
        <f>VLOOKUP(4999,季財報!A:H,4)</f>
        <v>1</v>
      </c>
      <c r="E21" s="311">
        <f>VLOOKUP(4999,季財報!A:H,5)</f>
        <v>2</v>
      </c>
      <c r="F21" s="311">
        <f>VLOOKUP(4999,季財報!A:H,6)</f>
        <v>1</v>
      </c>
      <c r="G21" s="311">
        <f>VLOOKUP(4999,季財報!A:H,7)</f>
        <v>0</v>
      </c>
      <c r="H21" s="312"/>
      <c r="I21" s="312"/>
      <c r="J21" s="312"/>
      <c r="K21" s="312"/>
      <c r="L21" s="312"/>
      <c r="M21" s="313"/>
      <c r="N21" s="312">
        <f t="shared" si="0"/>
        <v>4</v>
      </c>
      <c r="O21" s="314"/>
      <c r="P21" s="314"/>
      <c r="Q21" s="314"/>
      <c r="R21" s="314"/>
      <c r="S21" s="315"/>
      <c r="T21" s="316"/>
    </row>
    <row r="22" spans="1:20" s="317" customFormat="1">
      <c r="A22" s="309" t="str">
        <f>HYPERLINK("http://www.wantgoo.com/stock/chart.aspx?stockno=2548","2548")</f>
        <v>2548</v>
      </c>
      <c r="B22" s="310"/>
      <c r="C22" s="311">
        <f>VLOOKUP(2548,季財報!A:H,3)</f>
        <v>0</v>
      </c>
      <c r="D22" s="311">
        <f>VLOOKUP(2548,季財報!A:H,4)</f>
        <v>1</v>
      </c>
      <c r="E22" s="311">
        <f>VLOOKUP(2548,季財報!A:H,5)</f>
        <v>0</v>
      </c>
      <c r="F22" s="311">
        <f>VLOOKUP(2548,季財報!A:H,6)</f>
        <v>0</v>
      </c>
      <c r="G22" s="311">
        <f>VLOOKUP(2548,季財報!A:H,7)</f>
        <v>0</v>
      </c>
      <c r="H22" s="312"/>
      <c r="I22" s="312"/>
      <c r="J22" s="312"/>
      <c r="K22" s="312"/>
      <c r="L22" s="312"/>
      <c r="M22" s="313"/>
      <c r="N22" s="312">
        <f t="shared" si="0"/>
        <v>1</v>
      </c>
      <c r="O22" s="314"/>
      <c r="P22" s="314"/>
      <c r="Q22" s="314"/>
      <c r="R22" s="314"/>
      <c r="S22" s="315"/>
      <c r="T22" s="316"/>
    </row>
    <row r="23" spans="1:20" s="317" customFormat="1">
      <c r="A23" s="309" t="str">
        <f>HYPERLINK("http://www.wantgoo.com/stock/chart.aspx?stockno=5315","5315")</f>
        <v>5315</v>
      </c>
      <c r="B23" s="310"/>
      <c r="C23" s="311">
        <f>VLOOKUP(5315,季財報!A:H,3)</f>
        <v>1</v>
      </c>
      <c r="D23" s="311">
        <f>VLOOKUP(5315,季財報!A:H,4)</f>
        <v>1</v>
      </c>
      <c r="E23" s="311">
        <f>VLOOKUP(5315,季財報!A:H,5)</f>
        <v>0</v>
      </c>
      <c r="F23" s="311">
        <f>VLOOKUP(5315,季財報!A:H,6)</f>
        <v>1</v>
      </c>
      <c r="G23" s="311">
        <f>VLOOKUP(5315,季財報!A:H,7)</f>
        <v>0</v>
      </c>
      <c r="H23" s="312"/>
      <c r="I23" s="312"/>
      <c r="J23" s="312"/>
      <c r="K23" s="312"/>
      <c r="L23" s="312"/>
      <c r="M23" s="313"/>
      <c r="N23" s="312">
        <f t="shared" si="0"/>
        <v>3</v>
      </c>
      <c r="O23" s="314"/>
      <c r="P23" s="314"/>
      <c r="Q23" s="314"/>
      <c r="R23" s="314"/>
      <c r="S23" s="315"/>
      <c r="T23" s="316"/>
    </row>
    <row r="24" spans="1:20" s="317" customFormat="1">
      <c r="A24" s="309" t="str">
        <f>HYPERLINK("http://www.wantgoo.com/stock/chart.aspx?stockno=3056","3056")</f>
        <v>3056</v>
      </c>
      <c r="B24" s="310"/>
      <c r="C24" s="311">
        <f>VLOOKUP(3056,季財報!A:H,3)</f>
        <v>0</v>
      </c>
      <c r="D24" s="311">
        <f>VLOOKUP(3056,季財報!A:H,4)</f>
        <v>0</v>
      </c>
      <c r="E24" s="311">
        <f>VLOOKUP(3056,季財報!A:H,5)</f>
        <v>0</v>
      </c>
      <c r="F24" s="311">
        <f>VLOOKUP(3056,季財報!A:H,6)</f>
        <v>0</v>
      </c>
      <c r="G24" s="311">
        <f>VLOOKUP(3056,季財報!A:H,7)</f>
        <v>0</v>
      </c>
      <c r="H24" s="312"/>
      <c r="I24" s="312"/>
      <c r="J24" s="312"/>
      <c r="K24" s="312"/>
      <c r="L24" s="312"/>
      <c r="M24" s="313"/>
      <c r="N24" s="312">
        <f t="shared" si="0"/>
        <v>0</v>
      </c>
      <c r="O24" s="314"/>
      <c r="P24" s="314"/>
      <c r="Q24" s="314"/>
      <c r="R24" s="314"/>
      <c r="S24" s="315"/>
      <c r="T24" s="316"/>
    </row>
    <row r="25" spans="1:20" s="317" customFormat="1">
      <c r="A25" s="309" t="str">
        <f>HYPERLINK("http://www.wantgoo.com/stock/chart.aspx?stockno=3455","3455")</f>
        <v>3455</v>
      </c>
      <c r="B25" s="310"/>
      <c r="C25" s="311">
        <f>VLOOKUP(3455,季財報!A:H,3)</f>
        <v>0</v>
      </c>
      <c r="D25" s="311">
        <f>VLOOKUP(3455,季財報!A:H,4)</f>
        <v>1</v>
      </c>
      <c r="E25" s="311">
        <f>VLOOKUP(3455,季財報!A:H,5)</f>
        <v>0</v>
      </c>
      <c r="F25" s="311">
        <f>VLOOKUP(3455,季財報!A:H,6)</f>
        <v>1</v>
      </c>
      <c r="G25" s="311">
        <f>VLOOKUP(3455,季財報!A:H,7)</f>
        <v>0</v>
      </c>
      <c r="H25" s="312"/>
      <c r="I25" s="312"/>
      <c r="J25" s="312"/>
      <c r="K25" s="312"/>
      <c r="L25" s="312"/>
      <c r="M25" s="313"/>
      <c r="N25" s="312">
        <f t="shared" si="0"/>
        <v>2</v>
      </c>
      <c r="O25" s="314"/>
      <c r="P25" s="314"/>
      <c r="Q25" s="314"/>
      <c r="R25" s="314"/>
      <c r="S25" s="315"/>
      <c r="T25" s="316"/>
    </row>
    <row r="26" spans="1:20" s="317" customFormat="1">
      <c r="A26" s="309" t="str">
        <f>HYPERLINK("http://www.wantgoo.com/stock/chart.aspx?stockno=5289","5289")</f>
        <v>5289</v>
      </c>
      <c r="B26" s="310"/>
      <c r="C26" s="311">
        <f>VLOOKUP(5289,季財報!A:H,3)</f>
        <v>0</v>
      </c>
      <c r="D26" s="311">
        <f>VLOOKUP(5289,季財報!A:H,4)</f>
        <v>1</v>
      </c>
      <c r="E26" s="311">
        <f>VLOOKUP(5289,季財報!A:H,5)</f>
        <v>2</v>
      </c>
      <c r="F26" s="311">
        <f>VLOOKUP(5289,季財報!A:H,6)</f>
        <v>1</v>
      </c>
      <c r="G26" s="311">
        <f>VLOOKUP(5289,季財報!A:H,7)</f>
        <v>0</v>
      </c>
      <c r="H26" s="312"/>
      <c r="I26" s="312"/>
      <c r="J26" s="312"/>
      <c r="K26" s="312"/>
      <c r="L26" s="312"/>
      <c r="M26" s="313"/>
      <c r="N26" s="312">
        <f t="shared" si="0"/>
        <v>4</v>
      </c>
      <c r="O26" s="314"/>
      <c r="P26" s="314"/>
      <c r="Q26" s="314"/>
      <c r="R26" s="314"/>
      <c r="S26" s="315"/>
      <c r="T26" s="316"/>
    </row>
    <row r="27" spans="1:20" s="317" customFormat="1">
      <c r="A27" s="309" t="str">
        <f>HYPERLINK("http://www.wantgoo.com/stock/chart.aspx?stockno=8928","8928")</f>
        <v>8928</v>
      </c>
      <c r="B27" s="310"/>
      <c r="C27" s="311">
        <f>VLOOKUP(8928,季財報!A:H,3)</f>
        <v>0</v>
      </c>
      <c r="D27" s="311">
        <f>VLOOKUP(8928,季財報!A:H,4)</f>
        <v>1</v>
      </c>
      <c r="E27" s="311">
        <f>VLOOKUP(8928,季財報!A:H,5)</f>
        <v>2</v>
      </c>
      <c r="F27" s="311">
        <f>VLOOKUP(8928,季財報!A:H,6)</f>
        <v>0</v>
      </c>
      <c r="G27" s="311">
        <f>VLOOKUP(8928,季財報!A:H,7)</f>
        <v>0</v>
      </c>
      <c r="H27" s="312"/>
      <c r="I27" s="312"/>
      <c r="J27" s="312"/>
      <c r="K27" s="312"/>
      <c r="L27" s="312"/>
      <c r="M27" s="313"/>
      <c r="N27" s="312">
        <f t="shared" si="0"/>
        <v>3</v>
      </c>
      <c r="O27" s="314"/>
      <c r="P27" s="314"/>
      <c r="Q27" s="314"/>
      <c r="R27" s="314"/>
      <c r="S27" s="315"/>
      <c r="T27" s="316"/>
    </row>
    <row r="28" spans="1:20" s="317" customFormat="1">
      <c r="A28" s="309" t="str">
        <f>HYPERLINK("http://www.wantgoo.com/stock/chart.aspx?stockno=5474","5474")</f>
        <v>5474</v>
      </c>
      <c r="B28" s="310"/>
      <c r="C28" s="311">
        <f>VLOOKUP(5474,季財報!A:H,3)</f>
        <v>1</v>
      </c>
      <c r="D28" s="311">
        <f>VLOOKUP(5474,季財報!A:H,4)</f>
        <v>1</v>
      </c>
      <c r="E28" s="311">
        <f>VLOOKUP(5474,季財報!A:H,5)</f>
        <v>1</v>
      </c>
      <c r="F28" s="311">
        <f>VLOOKUP(5474,季財報!A:H,6)</f>
        <v>1</v>
      </c>
      <c r="G28" s="311">
        <f>VLOOKUP(5474,季財報!A:H,7)</f>
        <v>0</v>
      </c>
      <c r="H28" s="312"/>
      <c r="I28" s="312"/>
      <c r="J28" s="312"/>
      <c r="K28" s="312"/>
      <c r="L28" s="312"/>
      <c r="M28" s="313"/>
      <c r="N28" s="312">
        <f t="shared" si="0"/>
        <v>4</v>
      </c>
      <c r="O28" s="314"/>
      <c r="P28" s="314"/>
      <c r="Q28" s="314"/>
      <c r="R28" s="314"/>
      <c r="S28" s="315"/>
      <c r="T28" s="316"/>
    </row>
    <row r="29" spans="1:20" s="317" customFormat="1">
      <c r="A29" s="309" t="str">
        <f>HYPERLINK("http://www.wantgoo.com/stock/chart.aspx?stockno=6422","6422")</f>
        <v>6422</v>
      </c>
      <c r="B29" s="310"/>
      <c r="C29" s="311">
        <f>VLOOKUP(6422,季財報!A:H,3)</f>
        <v>0</v>
      </c>
      <c r="D29" s="311">
        <f>VLOOKUP(6422,季財報!A:H,4)</f>
        <v>1</v>
      </c>
      <c r="E29" s="311">
        <f>VLOOKUP(6422,季財報!A:H,5)</f>
        <v>0</v>
      </c>
      <c r="F29" s="311">
        <f>VLOOKUP(6422,季財報!A:H,6)</f>
        <v>0</v>
      </c>
      <c r="G29" s="311">
        <f>VLOOKUP(6422,季財報!A:H,7)</f>
        <v>0</v>
      </c>
      <c r="H29" s="312"/>
      <c r="I29" s="312"/>
      <c r="J29" s="312"/>
      <c r="K29" s="312"/>
      <c r="L29" s="312"/>
      <c r="M29" s="313"/>
      <c r="N29" s="312">
        <f t="shared" si="0"/>
        <v>1</v>
      </c>
      <c r="O29" s="314"/>
      <c r="P29" s="314"/>
      <c r="Q29" s="314"/>
      <c r="R29" s="314"/>
      <c r="S29" s="315"/>
      <c r="T29" s="316"/>
    </row>
    <row r="30" spans="1:20" s="317" customFormat="1">
      <c r="A30" s="309" t="str">
        <f>HYPERLINK("http://www.wantgoo.com/stock/chart.aspx?stockno=2474","2474")</f>
        <v>2474</v>
      </c>
      <c r="B30" s="310"/>
      <c r="C30" s="311">
        <f>VLOOKUP(2474,季財報!A:H,3)</f>
        <v>1</v>
      </c>
      <c r="D30" s="311">
        <f>VLOOKUP(2474,季財報!A:H,4)</f>
        <v>1</v>
      </c>
      <c r="E30" s="311">
        <f>VLOOKUP(2474,季財報!A:H,5)</f>
        <v>0</v>
      </c>
      <c r="F30" s="311">
        <f>VLOOKUP(2474,季財報!A:H,6)</f>
        <v>1</v>
      </c>
      <c r="G30" s="311">
        <f>VLOOKUP(2474,季財報!A:H,7)</f>
        <v>0</v>
      </c>
      <c r="H30" s="312"/>
      <c r="I30" s="312"/>
      <c r="J30" s="312"/>
      <c r="K30" s="312"/>
      <c r="L30" s="312"/>
      <c r="M30" s="313"/>
      <c r="N30" s="312">
        <f t="shared" si="0"/>
        <v>3</v>
      </c>
      <c r="O30" s="314"/>
      <c r="P30" s="314"/>
      <c r="Q30" s="314"/>
      <c r="R30" s="314"/>
      <c r="S30" s="315"/>
      <c r="T30" s="316"/>
    </row>
    <row r="31" spans="1:20" s="317" customFormat="1">
      <c r="A31" s="309" t="str">
        <f>HYPERLINK("http://www.wantgoo.com/stock/chart.aspx?stockno=2929","2929")</f>
        <v>2929</v>
      </c>
      <c r="B31" s="310"/>
      <c r="C31" s="311">
        <f>VLOOKUP(2929,季財報!A:H,3)</f>
        <v>0</v>
      </c>
      <c r="D31" s="311">
        <f>VLOOKUP(2929,季財報!A:H,4)</f>
        <v>0</v>
      </c>
      <c r="E31" s="311">
        <f>VLOOKUP(2929,季財報!A:H,5)</f>
        <v>0</v>
      </c>
      <c r="F31" s="311">
        <f>VLOOKUP(2929,季財報!A:H,6)</f>
        <v>1</v>
      </c>
      <c r="G31" s="311">
        <f>VLOOKUP(2929,季財報!A:H,7)</f>
        <v>0</v>
      </c>
      <c r="H31" s="312"/>
      <c r="I31" s="312"/>
      <c r="J31" s="312"/>
      <c r="K31" s="312"/>
      <c r="L31" s="312"/>
      <c r="M31" s="313"/>
      <c r="N31" s="312">
        <f t="shared" si="0"/>
        <v>1</v>
      </c>
      <c r="O31" s="314"/>
      <c r="P31" s="314"/>
      <c r="Q31" s="314"/>
      <c r="R31" s="314"/>
      <c r="S31" s="315"/>
      <c r="T31" s="316"/>
    </row>
    <row r="32" spans="1:20" s="317" customFormat="1">
      <c r="A32" s="309" t="str">
        <f>HYPERLINK("http://www.wantgoo.com/stock/chart.aspx?stockno=1558","1558")</f>
        <v>1558</v>
      </c>
      <c r="B32" s="310"/>
      <c r="C32" s="311">
        <f>VLOOKUP(1558,季財報!A:H,3)</f>
        <v>1</v>
      </c>
      <c r="D32" s="311">
        <f>VLOOKUP(1558,季財報!A:H,4)</f>
        <v>1</v>
      </c>
      <c r="E32" s="311">
        <f>VLOOKUP(1558,季財報!A:H,5)</f>
        <v>1</v>
      </c>
      <c r="F32" s="311">
        <f>VLOOKUP(1558,季財報!A:H,6)</f>
        <v>1</v>
      </c>
      <c r="G32" s="311">
        <f>VLOOKUP(1558,季財報!A:H,7)</f>
        <v>0</v>
      </c>
      <c r="H32" s="312"/>
      <c r="I32" s="312"/>
      <c r="J32" s="312"/>
      <c r="K32" s="312"/>
      <c r="L32" s="312"/>
      <c r="M32" s="313"/>
      <c r="N32" s="312">
        <f t="shared" si="0"/>
        <v>4</v>
      </c>
      <c r="O32" s="314"/>
      <c r="P32" s="314"/>
      <c r="Q32" s="314"/>
      <c r="R32" s="314"/>
      <c r="S32" s="315"/>
      <c r="T32" s="316"/>
    </row>
    <row r="33" spans="1:20" s="317" customFormat="1">
      <c r="A33" s="309" t="str">
        <f>HYPERLINK("http://www.wantgoo.com/stock/chart.aspx?stockno=2354","2354")</f>
        <v>2354</v>
      </c>
      <c r="B33" s="310"/>
      <c r="C33" s="311">
        <f>VLOOKUP(2354,季財報!A:H,3)</f>
        <v>0</v>
      </c>
      <c r="D33" s="311">
        <f>VLOOKUP(2354,季財報!A:H,4)</f>
        <v>0</v>
      </c>
      <c r="E33" s="311">
        <f>VLOOKUP(2354,季財報!A:H,5)</f>
        <v>0</v>
      </c>
      <c r="F33" s="311">
        <f>VLOOKUP(2354,季財報!A:H,6)</f>
        <v>0</v>
      </c>
      <c r="G33" s="311">
        <f>VLOOKUP(2354,季財報!A:H,7)</f>
        <v>0</v>
      </c>
      <c r="H33" s="312"/>
      <c r="I33" s="312"/>
      <c r="J33" s="312"/>
      <c r="K33" s="312"/>
      <c r="L33" s="312"/>
      <c r="M33" s="313"/>
      <c r="N33" s="312">
        <f t="shared" si="0"/>
        <v>0</v>
      </c>
      <c r="O33" s="314"/>
      <c r="P33" s="314"/>
      <c r="Q33" s="314"/>
      <c r="R33" s="314"/>
      <c r="S33" s="315"/>
      <c r="T33" s="316"/>
    </row>
    <row r="34" spans="1:20" s="317" customFormat="1">
      <c r="A34" s="309" t="str">
        <f>HYPERLINK("http://www.wantgoo.com/stock/chart.aspx?stockno=4987","4987")</f>
        <v>4987</v>
      </c>
      <c r="B34" s="310"/>
      <c r="C34" s="311">
        <f>VLOOKUP(4987,季財報!A:H,3)</f>
        <v>1</v>
      </c>
      <c r="D34" s="311">
        <f>VLOOKUP(4987,季財報!A:H,4)</f>
        <v>1</v>
      </c>
      <c r="E34" s="311">
        <f>VLOOKUP(4987,季財報!A:H,5)</f>
        <v>0</v>
      </c>
      <c r="F34" s="311">
        <f>VLOOKUP(4987,季財報!A:H,6)</f>
        <v>0</v>
      </c>
      <c r="G34" s="311">
        <f>VLOOKUP(4987,季財報!A:H,7)</f>
        <v>0</v>
      </c>
      <c r="H34" s="312"/>
      <c r="I34" s="312"/>
      <c r="J34" s="312"/>
      <c r="K34" s="312"/>
      <c r="L34" s="312"/>
      <c r="M34" s="313"/>
      <c r="N34" s="312">
        <f t="shared" si="0"/>
        <v>2</v>
      </c>
      <c r="O34" s="314"/>
      <c r="P34" s="314"/>
      <c r="Q34" s="314"/>
      <c r="R34" s="314"/>
      <c r="S34" s="315"/>
      <c r="T34" s="316"/>
    </row>
    <row r="35" spans="1:20" s="317" customFormat="1">
      <c r="A35" s="309" t="str">
        <f>HYPERLINK("http://www.wantgoo.com/stock/chart.aspx?stockno=2109","2109")</f>
        <v>2109</v>
      </c>
      <c r="B35" s="310"/>
      <c r="C35" s="311">
        <f>VLOOKUP(2109,季財報!A:H,3)</f>
        <v>0</v>
      </c>
      <c r="D35" s="311">
        <f>VLOOKUP(2109,季財報!A:H,4)</f>
        <v>0</v>
      </c>
      <c r="E35" s="311">
        <f>VLOOKUP(2109,季財報!A:H,5)</f>
        <v>0</v>
      </c>
      <c r="F35" s="311">
        <f>VLOOKUP(2109,季財報!A:H,6)</f>
        <v>1</v>
      </c>
      <c r="G35" s="311">
        <f>VLOOKUP(2109,季財報!A:H,7)</f>
        <v>0</v>
      </c>
      <c r="H35" s="312"/>
      <c r="I35" s="312"/>
      <c r="J35" s="312"/>
      <c r="K35" s="312"/>
      <c r="L35" s="312"/>
      <c r="M35" s="313"/>
      <c r="N35" s="312">
        <f t="shared" si="0"/>
        <v>1</v>
      </c>
      <c r="O35" s="314"/>
      <c r="P35" s="314"/>
      <c r="Q35" s="314"/>
      <c r="R35" s="314"/>
      <c r="S35" s="315"/>
      <c r="T35" s="316"/>
    </row>
    <row r="36" spans="1:20" s="317" customFormat="1">
      <c r="A36" s="309" t="str">
        <f>HYPERLINK("http://www.wantgoo.com/stock/chart.aspx?stockno=3559","3559")</f>
        <v>3559</v>
      </c>
      <c r="B36" s="310"/>
      <c r="C36" s="311">
        <f>VLOOKUP(3559,季財報!A:H,3)</f>
        <v>0</v>
      </c>
      <c r="D36" s="311">
        <f>VLOOKUP(3559,季財報!A:H,4)</f>
        <v>1</v>
      </c>
      <c r="E36" s="311">
        <f>VLOOKUP(3559,季財報!A:H,5)</f>
        <v>1</v>
      </c>
      <c r="F36" s="311">
        <f>VLOOKUP(3559,季財報!A:H,6)</f>
        <v>1</v>
      </c>
      <c r="G36" s="311">
        <f>VLOOKUP(3559,季財報!A:H,7)</f>
        <v>0</v>
      </c>
      <c r="H36" s="312"/>
      <c r="I36" s="312"/>
      <c r="J36" s="312"/>
      <c r="K36" s="312"/>
      <c r="L36" s="312"/>
      <c r="M36" s="313"/>
      <c r="N36" s="312">
        <f t="shared" si="0"/>
        <v>3</v>
      </c>
      <c r="O36" s="314"/>
      <c r="P36" s="314"/>
      <c r="Q36" s="314"/>
      <c r="R36" s="314"/>
      <c r="S36" s="315"/>
      <c r="T36" s="316"/>
    </row>
    <row r="37" spans="1:20" s="317" customFormat="1">
      <c r="A37" s="309" t="str">
        <f>HYPERLINK("http://www.wantgoo.com/stock/chart.aspx?stockno=6263","6263")</f>
        <v>6263</v>
      </c>
      <c r="B37" s="310"/>
      <c r="C37" s="311">
        <f>VLOOKUP(6263,季財報!A:H,3)</f>
        <v>0</v>
      </c>
      <c r="D37" s="311">
        <f>VLOOKUP(6263,季財報!A:H,4)</f>
        <v>1</v>
      </c>
      <c r="E37" s="311">
        <f>VLOOKUP(6263,季財報!A:H,5)</f>
        <v>0</v>
      </c>
      <c r="F37" s="311">
        <f>VLOOKUP(6263,季財報!A:H,6)</f>
        <v>1</v>
      </c>
      <c r="G37" s="311">
        <f>VLOOKUP(6263,季財報!A:H,7)</f>
        <v>0</v>
      </c>
      <c r="H37" s="312"/>
      <c r="I37" s="312"/>
      <c r="J37" s="312"/>
      <c r="K37" s="312"/>
      <c r="L37" s="312"/>
      <c r="M37" s="313"/>
      <c r="N37" s="312">
        <f t="shared" si="0"/>
        <v>2</v>
      </c>
      <c r="O37" s="314"/>
      <c r="P37" s="314"/>
      <c r="Q37" s="314"/>
      <c r="R37" s="314"/>
      <c r="S37" s="315"/>
      <c r="T37" s="316"/>
    </row>
    <row r="38" spans="1:20" s="317" customFormat="1">
      <c r="A38" s="309" t="str">
        <f>HYPERLINK("http://www.wantgoo.com/stock/chart.aspx?stockno=6167","6167")</f>
        <v>6167</v>
      </c>
      <c r="B38" s="310"/>
      <c r="C38" s="311">
        <f>VLOOKUP(6167,季財報!A:H,3)</f>
        <v>0</v>
      </c>
      <c r="D38" s="311">
        <f>VLOOKUP(6167,季財報!A:H,4)</f>
        <v>1</v>
      </c>
      <c r="E38" s="311">
        <f>VLOOKUP(6167,季財報!A:H,5)</f>
        <v>0</v>
      </c>
      <c r="F38" s="311">
        <f>VLOOKUP(6167,季財報!A:H,6)</f>
        <v>0</v>
      </c>
      <c r="G38" s="311">
        <f>VLOOKUP(6167,季財報!A:H,7)</f>
        <v>0</v>
      </c>
      <c r="H38" s="312"/>
      <c r="I38" s="312"/>
      <c r="J38" s="312"/>
      <c r="K38" s="312"/>
      <c r="L38" s="312"/>
      <c r="M38" s="313"/>
      <c r="N38" s="312">
        <f t="shared" si="0"/>
        <v>1</v>
      </c>
      <c r="O38" s="314"/>
      <c r="P38" s="314"/>
      <c r="Q38" s="314"/>
      <c r="R38" s="314"/>
      <c r="S38" s="315"/>
      <c r="T38" s="316"/>
    </row>
    <row r="39" spans="1:20" s="317" customFormat="1">
      <c r="A39" s="309" t="str">
        <f>HYPERLINK("http://www.wantgoo.com/stock/chart.aspx?stockno=2536","2536")</f>
        <v>2536</v>
      </c>
      <c r="B39" s="310"/>
      <c r="C39" s="311">
        <f>VLOOKUP(2536,季財報!A:H,3)</f>
        <v>0</v>
      </c>
      <c r="D39" s="311">
        <f>VLOOKUP(2536,季財報!A:H,4)</f>
        <v>1</v>
      </c>
      <c r="E39" s="311">
        <f>VLOOKUP(2536,季財報!A:H,5)</f>
        <v>2</v>
      </c>
      <c r="F39" s="311">
        <f>VLOOKUP(2536,季財報!A:H,6)</f>
        <v>0</v>
      </c>
      <c r="G39" s="311">
        <f>VLOOKUP(2536,季財報!A:H,7)</f>
        <v>0</v>
      </c>
      <c r="H39" s="312"/>
      <c r="I39" s="312"/>
      <c r="J39" s="312"/>
      <c r="K39" s="312"/>
      <c r="L39" s="312"/>
      <c r="M39" s="313"/>
      <c r="N39" s="312">
        <f t="shared" si="0"/>
        <v>3</v>
      </c>
      <c r="O39" s="314"/>
      <c r="P39" s="314"/>
      <c r="Q39" s="314"/>
      <c r="R39" s="314"/>
      <c r="S39" s="315"/>
      <c r="T39" s="316"/>
    </row>
    <row r="40" spans="1:20" s="317" customFormat="1">
      <c r="A40" s="309" t="str">
        <f>HYPERLINK("http://www.wantgoo.com/stock/chart.aspx?stockno=5349","5349")</f>
        <v>5349</v>
      </c>
      <c r="B40" s="310"/>
      <c r="C40" s="311">
        <f>VLOOKUP(5349,季財報!A:H,3)</f>
        <v>0</v>
      </c>
      <c r="D40" s="311">
        <f>VLOOKUP(5349,季財報!A:H,4)</f>
        <v>0</v>
      </c>
      <c r="E40" s="311">
        <f>VLOOKUP(5349,季財報!A:H,5)</f>
        <v>0</v>
      </c>
      <c r="F40" s="311">
        <f>VLOOKUP(5349,季財報!A:H,6)</f>
        <v>1</v>
      </c>
      <c r="G40" s="311">
        <f>VLOOKUP(5349,季財報!A:H,7)</f>
        <v>0</v>
      </c>
      <c r="H40" s="312"/>
      <c r="I40" s="312"/>
      <c r="J40" s="312"/>
      <c r="K40" s="312"/>
      <c r="L40" s="312"/>
      <c r="M40" s="313"/>
      <c r="N40" s="312">
        <f t="shared" si="0"/>
        <v>1</v>
      </c>
      <c r="O40" s="314"/>
      <c r="P40" s="314"/>
      <c r="Q40" s="314"/>
      <c r="R40" s="314"/>
      <c r="S40" s="315"/>
      <c r="T40" s="316"/>
    </row>
    <row r="41" spans="1:20" s="317" customFormat="1">
      <c r="A41" s="309" t="str">
        <f>HYPERLINK("http://www.wantgoo.com/stock/chart.aspx?stockno=5508","5508")</f>
        <v>5508</v>
      </c>
      <c r="B41" s="310"/>
      <c r="C41" s="311">
        <f>VLOOKUP(5508,季財報!A:H,3)</f>
        <v>0</v>
      </c>
      <c r="D41" s="311">
        <f>VLOOKUP(5508,季財報!A:H,4)</f>
        <v>0</v>
      </c>
      <c r="E41" s="311">
        <f>VLOOKUP(5508,季財報!A:H,5)</f>
        <v>1</v>
      </c>
      <c r="F41" s="311">
        <f>VLOOKUP(5508,季財報!A:H,6)</f>
        <v>0</v>
      </c>
      <c r="G41" s="311">
        <f>VLOOKUP(5508,季財報!A:H,7)</f>
        <v>0</v>
      </c>
      <c r="H41" s="312"/>
      <c r="I41" s="312"/>
      <c r="J41" s="312"/>
      <c r="K41" s="312"/>
      <c r="L41" s="312"/>
      <c r="M41" s="313"/>
      <c r="N41" s="312">
        <f t="shared" si="0"/>
        <v>1</v>
      </c>
      <c r="O41" s="314"/>
      <c r="P41" s="314"/>
      <c r="Q41" s="314"/>
      <c r="R41" s="314"/>
      <c r="S41" s="315"/>
      <c r="T41" s="316"/>
    </row>
    <row r="42" spans="1:20" s="317" customFormat="1">
      <c r="A42" s="309" t="str">
        <f>HYPERLINK("http://www.wantgoo.com/stock/chart.aspx?stockno=8131","8131")</f>
        <v>8131</v>
      </c>
      <c r="B42" s="310"/>
      <c r="C42" s="311">
        <f>VLOOKUP(8131,季財報!A:H,3)</f>
        <v>0</v>
      </c>
      <c r="D42" s="311">
        <f>VLOOKUP(8131,季財報!A:H,4)</f>
        <v>1</v>
      </c>
      <c r="E42" s="311">
        <f>VLOOKUP(8131,季財報!A:H,5)</f>
        <v>0</v>
      </c>
      <c r="F42" s="311">
        <f>VLOOKUP(8131,季財報!A:H,6)</f>
        <v>1</v>
      </c>
      <c r="G42" s="311">
        <f>VLOOKUP(8131,季財報!A:H,7)</f>
        <v>0</v>
      </c>
      <c r="H42" s="312"/>
      <c r="I42" s="312"/>
      <c r="J42" s="312"/>
      <c r="K42" s="312"/>
      <c r="L42" s="312"/>
      <c r="M42" s="313"/>
      <c r="N42" s="312">
        <f t="shared" si="0"/>
        <v>2</v>
      </c>
      <c r="O42" s="314"/>
      <c r="P42" s="314"/>
      <c r="Q42" s="314"/>
      <c r="R42" s="314"/>
      <c r="S42" s="315"/>
      <c r="T42" s="316"/>
    </row>
    <row r="43" spans="1:20" s="317" customFormat="1">
      <c r="A43" s="309" t="str">
        <f>HYPERLINK("http://www.wantgoo.com/stock/chart.aspx?stockno=5266","5266")</f>
        <v>5266</v>
      </c>
      <c r="B43" s="310"/>
      <c r="C43" s="311">
        <f>VLOOKUP(5266,季財報!A:H,3)</f>
        <v>0</v>
      </c>
      <c r="D43" s="311">
        <f>VLOOKUP(5266,季財報!A:H,4)</f>
        <v>1</v>
      </c>
      <c r="E43" s="311">
        <f>VLOOKUP(5266,季財報!A:H,5)</f>
        <v>1</v>
      </c>
      <c r="F43" s="311">
        <f>VLOOKUP(5266,季財報!A:H,6)</f>
        <v>1</v>
      </c>
      <c r="G43" s="311">
        <f>VLOOKUP(5266,季財報!A:H,7)</f>
        <v>0</v>
      </c>
      <c r="H43" s="312"/>
      <c r="I43" s="312"/>
      <c r="J43" s="312"/>
      <c r="K43" s="312"/>
      <c r="L43" s="312"/>
      <c r="M43" s="313"/>
      <c r="N43" s="312">
        <f t="shared" si="0"/>
        <v>3</v>
      </c>
      <c r="O43" s="314"/>
      <c r="P43" s="314"/>
      <c r="Q43" s="314"/>
      <c r="R43" s="314"/>
      <c r="S43" s="315"/>
      <c r="T43" s="316"/>
    </row>
    <row r="44" spans="1:20" s="317" customFormat="1">
      <c r="A44" s="309" t="str">
        <f>HYPERLINK("http://www.wantgoo.com/stock/chart.aspx?stockno=5015","5015")</f>
        <v>5015</v>
      </c>
      <c r="B44" s="310"/>
      <c r="C44" s="311">
        <f>VLOOKUP(5015,季財報!A:H,3)</f>
        <v>0</v>
      </c>
      <c r="D44" s="311">
        <f>VLOOKUP(5015,季財報!A:H,4)</f>
        <v>1</v>
      </c>
      <c r="E44" s="311">
        <f>VLOOKUP(5015,季財報!A:H,5)</f>
        <v>2</v>
      </c>
      <c r="F44" s="311">
        <f>VLOOKUP(5015,季財報!A:H,6)</f>
        <v>0</v>
      </c>
      <c r="G44" s="311">
        <f>VLOOKUP(5015,季財報!A:H,7)</f>
        <v>0</v>
      </c>
      <c r="H44" s="312"/>
      <c r="I44" s="312"/>
      <c r="J44" s="312"/>
      <c r="K44" s="312"/>
      <c r="L44" s="312"/>
      <c r="M44" s="313"/>
      <c r="N44" s="312">
        <f t="shared" si="0"/>
        <v>3</v>
      </c>
      <c r="O44" s="314"/>
      <c r="P44" s="314"/>
      <c r="Q44" s="314"/>
      <c r="R44" s="314"/>
      <c r="S44" s="315"/>
      <c r="T44" s="316"/>
    </row>
    <row r="45" spans="1:20" s="317" customFormat="1">
      <c r="A45" s="309" t="str">
        <f>HYPERLINK("http://www.wantgoo.com/stock/chart.aspx?stockno=3167","3167")</f>
        <v>3167</v>
      </c>
      <c r="B45" s="310"/>
      <c r="C45" s="311">
        <f>VLOOKUP(3167,季財報!A:H,3)</f>
        <v>1</v>
      </c>
      <c r="D45" s="311">
        <f>VLOOKUP(3167,季財報!A:H,4)</f>
        <v>1</v>
      </c>
      <c r="E45" s="311">
        <f>VLOOKUP(3167,季財報!A:H,5)</f>
        <v>0</v>
      </c>
      <c r="F45" s="311">
        <f>VLOOKUP(3167,季財報!A:H,6)</f>
        <v>1</v>
      </c>
      <c r="G45" s="311">
        <f>VLOOKUP(3167,季財報!A:H,7)</f>
        <v>0</v>
      </c>
      <c r="H45" s="312"/>
      <c r="I45" s="312"/>
      <c r="J45" s="312"/>
      <c r="K45" s="312"/>
      <c r="L45" s="312"/>
      <c r="M45" s="313"/>
      <c r="N45" s="312">
        <f t="shared" si="0"/>
        <v>3</v>
      </c>
      <c r="O45" s="314"/>
      <c r="P45" s="314"/>
      <c r="Q45" s="314"/>
      <c r="R45" s="314"/>
      <c r="S45" s="315"/>
      <c r="T45" s="316"/>
    </row>
    <row r="46" spans="1:20" s="317" customFormat="1">
      <c r="A46" s="309" t="str">
        <f>HYPERLINK("http://www.wantgoo.com/stock/chart.aspx?stockno=4960","4960")</f>
        <v>4960</v>
      </c>
      <c r="B46" s="310"/>
      <c r="C46" s="311">
        <f>VLOOKUP(4960,季財報!A:H,3)</f>
        <v>0</v>
      </c>
      <c r="D46" s="311">
        <f>VLOOKUP(4960,季財報!A:H,4)</f>
        <v>1</v>
      </c>
      <c r="E46" s="311">
        <f>VLOOKUP(4960,季財報!A:H,5)</f>
        <v>0</v>
      </c>
      <c r="F46" s="311">
        <f>VLOOKUP(4960,季財報!A:H,6)</f>
        <v>1</v>
      </c>
      <c r="G46" s="311">
        <f>VLOOKUP(4960,季財報!A:H,7)</f>
        <v>0</v>
      </c>
      <c r="H46" s="312"/>
      <c r="I46" s="312"/>
      <c r="J46" s="312"/>
      <c r="K46" s="312"/>
      <c r="L46" s="312"/>
      <c r="M46" s="313"/>
      <c r="N46" s="312">
        <f t="shared" si="0"/>
        <v>2</v>
      </c>
      <c r="O46" s="314"/>
      <c r="P46" s="314"/>
      <c r="Q46" s="314"/>
      <c r="R46" s="314"/>
      <c r="S46" s="315"/>
      <c r="T46" s="316"/>
    </row>
    <row r="47" spans="1:20" s="317" customFormat="1">
      <c r="A47" s="309" t="str">
        <f>HYPERLINK("http://www.wantgoo.com/stock/chart.aspx?stockno=1539","1539")</f>
        <v>1539</v>
      </c>
      <c r="B47" s="310"/>
      <c r="C47" s="311">
        <f>VLOOKUP(1539,季財報!A:H,3)</f>
        <v>1</v>
      </c>
      <c r="D47" s="311">
        <f>VLOOKUP(1539,季財報!A:H,4)</f>
        <v>1</v>
      </c>
      <c r="E47" s="311">
        <f>VLOOKUP(1539,季財報!A:H,5)</f>
        <v>1</v>
      </c>
      <c r="F47" s="311">
        <f>VLOOKUP(1539,季財報!A:H,6)</f>
        <v>1</v>
      </c>
      <c r="G47" s="311">
        <f>VLOOKUP(1539,季財報!A:H,7)</f>
        <v>0</v>
      </c>
      <c r="H47" s="312"/>
      <c r="I47" s="312"/>
      <c r="J47" s="312"/>
      <c r="K47" s="312"/>
      <c r="L47" s="312"/>
      <c r="M47" s="313"/>
      <c r="N47" s="312">
        <f t="shared" si="0"/>
        <v>4</v>
      </c>
      <c r="O47" s="314"/>
      <c r="P47" s="314"/>
      <c r="Q47" s="314"/>
      <c r="R47" s="314"/>
      <c r="S47" s="315"/>
      <c r="T47" s="316"/>
    </row>
    <row r="48" spans="1:20" s="317" customFormat="1">
      <c r="A48" s="309" t="str">
        <f>HYPERLINK("http://www.wantgoo.com/stock/chart.aspx?stockno=2493","2493")</f>
        <v>2493</v>
      </c>
      <c r="B48" s="310"/>
      <c r="C48" s="311">
        <f>VLOOKUP(2493,季財報!A:H,3)</f>
        <v>1</v>
      </c>
      <c r="D48" s="311">
        <f>VLOOKUP(2493,季財報!A:H,4)</f>
        <v>1</v>
      </c>
      <c r="E48" s="311">
        <f>VLOOKUP(2493,季財報!A:H,5)</f>
        <v>0</v>
      </c>
      <c r="F48" s="311">
        <f>VLOOKUP(2493,季財報!A:H,6)</f>
        <v>1</v>
      </c>
      <c r="G48" s="311">
        <f>VLOOKUP(2493,季財報!A:H,7)</f>
        <v>0</v>
      </c>
      <c r="H48" s="312"/>
      <c r="I48" s="312"/>
      <c r="J48" s="312"/>
      <c r="K48" s="312"/>
      <c r="L48" s="312"/>
      <c r="M48" s="313"/>
      <c r="N48" s="312">
        <f t="shared" si="0"/>
        <v>3</v>
      </c>
      <c r="O48" s="314"/>
      <c r="P48" s="314"/>
      <c r="Q48" s="314"/>
      <c r="R48" s="314"/>
      <c r="S48" s="315"/>
      <c r="T48" s="316"/>
    </row>
    <row r="49" spans="1:20" s="317" customFormat="1">
      <c r="A49" s="309" t="str">
        <f>HYPERLINK("http://www.wantgoo.com/stock/chart.aspx?stockno=4958","4958")</f>
        <v>4958</v>
      </c>
      <c r="B49" s="310"/>
      <c r="C49" s="311">
        <f>VLOOKUP(4958,季財報!A:H,3)</f>
        <v>0</v>
      </c>
      <c r="D49" s="311">
        <f>VLOOKUP(4958,季財報!A:H,4)</f>
        <v>1</v>
      </c>
      <c r="E49" s="311">
        <f>VLOOKUP(4958,季財報!A:H,5)</f>
        <v>0</v>
      </c>
      <c r="F49" s="311">
        <f>VLOOKUP(4958,季財報!A:H,6)</f>
        <v>1</v>
      </c>
      <c r="G49" s="311">
        <f>VLOOKUP(4958,季財報!A:H,7)</f>
        <v>0</v>
      </c>
      <c r="H49" s="312"/>
      <c r="I49" s="312"/>
      <c r="J49" s="312"/>
      <c r="K49" s="312"/>
      <c r="L49" s="312"/>
      <c r="M49" s="313"/>
      <c r="N49" s="312">
        <f t="shared" si="0"/>
        <v>2</v>
      </c>
      <c r="O49" s="314"/>
      <c r="P49" s="314"/>
      <c r="Q49" s="314"/>
      <c r="R49" s="314"/>
      <c r="S49" s="315"/>
      <c r="T49" s="316"/>
    </row>
    <row r="50" spans="1:20" s="317" customFormat="1">
      <c r="A50" s="309" t="str">
        <f>HYPERLINK("http://www.wantgoo.com/stock/chart.aspx?stockno=5522","5522")</f>
        <v>5522</v>
      </c>
      <c r="B50" s="310"/>
      <c r="C50" s="311">
        <f>VLOOKUP(5522,季財報!A:H,3)</f>
        <v>0</v>
      </c>
      <c r="D50" s="311">
        <f>VLOOKUP(5522,季財報!A:H,4)</f>
        <v>0</v>
      </c>
      <c r="E50" s="311">
        <f>VLOOKUP(5522,季財報!A:H,5)</f>
        <v>0</v>
      </c>
      <c r="F50" s="311">
        <f>VLOOKUP(5522,季財報!A:H,6)</f>
        <v>1</v>
      </c>
      <c r="G50" s="311">
        <f>VLOOKUP(5522,季財報!A:H,7)</f>
        <v>0</v>
      </c>
      <c r="H50" s="312"/>
      <c r="I50" s="312"/>
      <c r="J50" s="312"/>
      <c r="K50" s="312"/>
      <c r="L50" s="312"/>
      <c r="M50" s="313"/>
      <c r="N50" s="312">
        <f t="shared" si="0"/>
        <v>1</v>
      </c>
      <c r="O50" s="314"/>
      <c r="P50" s="314"/>
      <c r="Q50" s="314"/>
      <c r="R50" s="314"/>
      <c r="S50" s="315"/>
      <c r="T50" s="316"/>
    </row>
    <row r="51" spans="1:20" s="317" customFormat="1">
      <c r="A51" s="309" t="str">
        <f>HYPERLINK("http://www.wantgoo.com/stock/chart.aspx?stockno=8109","8109")</f>
        <v>8109</v>
      </c>
      <c r="B51" s="310"/>
      <c r="C51" s="311">
        <f>VLOOKUP(8109,季財報!A:H,3)</f>
        <v>1</v>
      </c>
      <c r="D51" s="311">
        <f>VLOOKUP(8109,季財報!A:H,4)</f>
        <v>1</v>
      </c>
      <c r="E51" s="311">
        <f>VLOOKUP(8109,季財報!A:H,5)</f>
        <v>2</v>
      </c>
      <c r="F51" s="311">
        <f>VLOOKUP(8109,季財報!A:H,6)</f>
        <v>1</v>
      </c>
      <c r="G51" s="311">
        <f>VLOOKUP(8109,季財報!A:H,7)</f>
        <v>0</v>
      </c>
      <c r="H51" s="312"/>
      <c r="I51" s="312"/>
      <c r="J51" s="312"/>
      <c r="K51" s="312"/>
      <c r="L51" s="312"/>
      <c r="M51" s="313"/>
      <c r="N51" s="312">
        <f t="shared" si="0"/>
        <v>5</v>
      </c>
      <c r="O51" s="314"/>
      <c r="P51" s="314"/>
      <c r="Q51" s="314"/>
      <c r="R51" s="314"/>
      <c r="S51" s="315"/>
      <c r="T51" s="316"/>
    </row>
    <row r="52" spans="1:20" s="317" customFormat="1">
      <c r="A52" s="309" t="str">
        <f>HYPERLINK("http://www.wantgoo.com/stock/chart.aspx?stockno=3672","3672")</f>
        <v>3672</v>
      </c>
      <c r="B52" s="310"/>
      <c r="C52" s="311">
        <f>VLOOKUP(3672,季財報!A:H,3)</f>
        <v>0</v>
      </c>
      <c r="D52" s="311">
        <f>VLOOKUP(3672,季財報!A:H,4)</f>
        <v>1</v>
      </c>
      <c r="E52" s="311">
        <f>VLOOKUP(3672,季財報!A:H,5)</f>
        <v>1</v>
      </c>
      <c r="F52" s="311">
        <f>VLOOKUP(3672,季財報!A:H,6)</f>
        <v>0</v>
      </c>
      <c r="G52" s="311">
        <f>VLOOKUP(3672,季財報!A:H,7)</f>
        <v>1</v>
      </c>
      <c r="H52" s="312"/>
      <c r="I52" s="312"/>
      <c r="J52" s="312"/>
      <c r="K52" s="312"/>
      <c r="L52" s="312"/>
      <c r="M52" s="313"/>
      <c r="N52" s="312">
        <f t="shared" si="0"/>
        <v>3</v>
      </c>
      <c r="O52" s="314"/>
      <c r="P52" s="314"/>
      <c r="Q52" s="314"/>
      <c r="R52" s="314"/>
      <c r="S52" s="315"/>
      <c r="T52" s="316"/>
    </row>
    <row r="53" spans="1:20" s="317" customFormat="1">
      <c r="A53" s="309" t="str">
        <f>HYPERLINK("http://www.wantgoo.com/stock/chart.aspx?stockno=3501","3501")</f>
        <v>3501</v>
      </c>
      <c r="B53" s="310"/>
      <c r="C53" s="311">
        <f>VLOOKUP(3501,季財報!A:H,3)</f>
        <v>1</v>
      </c>
      <c r="D53" s="311">
        <f>VLOOKUP(3501,季財報!A:H,4)</f>
        <v>1</v>
      </c>
      <c r="E53" s="311">
        <f>VLOOKUP(3501,季財報!A:H,5)</f>
        <v>1</v>
      </c>
      <c r="F53" s="311">
        <f>VLOOKUP(3501,季財報!A:H,6)</f>
        <v>1</v>
      </c>
      <c r="G53" s="311">
        <f>VLOOKUP(3501,季財報!A:H,7)</f>
        <v>1</v>
      </c>
      <c r="H53" s="312"/>
      <c r="I53" s="312"/>
      <c r="J53" s="312"/>
      <c r="K53" s="312"/>
      <c r="L53" s="312"/>
      <c r="M53" s="313"/>
      <c r="N53" s="312">
        <f t="shared" si="0"/>
        <v>5</v>
      </c>
      <c r="O53" s="314"/>
      <c r="P53" s="314"/>
      <c r="Q53" s="314"/>
      <c r="R53" s="314"/>
      <c r="S53" s="315"/>
      <c r="T53" s="316"/>
    </row>
    <row r="54" spans="1:20" s="317" customFormat="1">
      <c r="A54" s="309" t="str">
        <f>HYPERLINK("http://www.wantgoo.com/stock/chart.aspx?stockno=1808","1808")</f>
        <v>1808</v>
      </c>
      <c r="B54" s="310"/>
      <c r="C54" s="311">
        <f>VLOOKUP(1808,季財報!A:H,3)</f>
        <v>1</v>
      </c>
      <c r="D54" s="311">
        <f>VLOOKUP(1808,季財報!A:H,4)</f>
        <v>1</v>
      </c>
      <c r="E54" s="311">
        <f>VLOOKUP(1808,季財報!A:H,5)</f>
        <v>2</v>
      </c>
      <c r="F54" s="311">
        <f>VLOOKUP(1808,季財報!A:H,6)</f>
        <v>1</v>
      </c>
      <c r="G54" s="311">
        <f>VLOOKUP(1808,季財報!A:H,7)</f>
        <v>1</v>
      </c>
      <c r="H54" s="312"/>
      <c r="I54" s="312"/>
      <c r="J54" s="312"/>
      <c r="K54" s="312"/>
      <c r="L54" s="312"/>
      <c r="M54" s="313"/>
      <c r="N54" s="312">
        <f t="shared" si="0"/>
        <v>6</v>
      </c>
      <c r="O54" s="314"/>
      <c r="P54" s="314"/>
      <c r="Q54" s="314"/>
      <c r="R54" s="314"/>
      <c r="S54" s="315"/>
      <c r="T54" s="316"/>
    </row>
    <row r="55" spans="1:20" s="317" customFormat="1">
      <c r="A55" s="309" t="str">
        <f>HYPERLINK("http://www.wantgoo.com/stock/chart.aspx?stockno=2206","2206")</f>
        <v>2206</v>
      </c>
      <c r="B55" s="310"/>
      <c r="C55" s="311">
        <f>VLOOKUP(2206,季財報!A:H,3)</f>
        <v>1</v>
      </c>
      <c r="D55" s="311">
        <f>VLOOKUP(2206,季財報!A:H,4)</f>
        <v>1</v>
      </c>
      <c r="E55" s="311">
        <f>VLOOKUP(2206,季財報!A:H,5)</f>
        <v>0</v>
      </c>
      <c r="F55" s="311">
        <f>VLOOKUP(2206,季財報!A:H,6)</f>
        <v>0</v>
      </c>
      <c r="G55" s="311">
        <f>VLOOKUP(2206,季財報!A:H,7)</f>
        <v>0</v>
      </c>
      <c r="H55" s="312"/>
      <c r="I55" s="312"/>
      <c r="J55" s="312"/>
      <c r="K55" s="312"/>
      <c r="L55" s="312"/>
      <c r="M55" s="313"/>
      <c r="N55" s="312">
        <f t="shared" si="0"/>
        <v>2</v>
      </c>
      <c r="O55" s="314"/>
      <c r="P55" s="314"/>
      <c r="Q55" s="314"/>
      <c r="R55" s="314"/>
      <c r="S55" s="315"/>
      <c r="T55" s="316"/>
    </row>
    <row r="56" spans="1:20" s="317" customFormat="1">
      <c r="A56" s="309" t="str">
        <f>HYPERLINK("http://www.wantgoo.com/stock/chart.aspx?stockno=4305","4305")</f>
        <v>4305</v>
      </c>
      <c r="B56" s="310"/>
      <c r="C56" s="311">
        <f>VLOOKUP(4305,季財報!A:H,3)</f>
        <v>1</v>
      </c>
      <c r="D56" s="311">
        <f>VLOOKUP(4305,季財報!A:H,4)</f>
        <v>1</v>
      </c>
      <c r="E56" s="311">
        <f>VLOOKUP(4305,季財報!A:H,5)</f>
        <v>1</v>
      </c>
      <c r="F56" s="311">
        <f>VLOOKUP(4305,季財報!A:H,6)</f>
        <v>1</v>
      </c>
      <c r="G56" s="311">
        <f>VLOOKUP(4305,季財報!A:H,7)</f>
        <v>0</v>
      </c>
      <c r="H56" s="312"/>
      <c r="I56" s="312"/>
      <c r="J56" s="312"/>
      <c r="K56" s="312"/>
      <c r="L56" s="312"/>
      <c r="M56" s="313"/>
      <c r="N56" s="312">
        <f t="shared" si="0"/>
        <v>4</v>
      </c>
      <c r="O56" s="314"/>
      <c r="P56" s="314"/>
      <c r="Q56" s="314"/>
      <c r="R56" s="314"/>
      <c r="S56" s="315"/>
      <c r="T56" s="316"/>
    </row>
    <row r="57" spans="1:20" s="317" customFormat="1">
      <c r="A57" s="309" t="str">
        <f>HYPERLINK("http://www.wantgoo.com/stock/chart.aspx?stockno=1540","1540")</f>
        <v>1540</v>
      </c>
      <c r="B57" s="310"/>
      <c r="C57" s="311">
        <f>VLOOKUP(1540,季財報!A:H,3)</f>
        <v>0</v>
      </c>
      <c r="D57" s="311">
        <f>VLOOKUP(1540,季財報!A:H,4)</f>
        <v>1</v>
      </c>
      <c r="E57" s="311">
        <f>VLOOKUP(1540,季財報!A:H,5)</f>
        <v>0</v>
      </c>
      <c r="F57" s="311">
        <f>VLOOKUP(1540,季財報!A:H,6)</f>
        <v>0</v>
      </c>
      <c r="G57" s="311">
        <f>VLOOKUP(1540,季財報!A:H,7)</f>
        <v>0</v>
      </c>
      <c r="H57" s="312"/>
      <c r="I57" s="312"/>
      <c r="J57" s="312"/>
      <c r="K57" s="312"/>
      <c r="L57" s="312"/>
      <c r="M57" s="313"/>
      <c r="N57" s="312">
        <f t="shared" si="0"/>
        <v>1</v>
      </c>
      <c r="O57" s="314"/>
      <c r="P57" s="314"/>
      <c r="Q57" s="314"/>
      <c r="R57" s="314"/>
      <c r="S57" s="315"/>
    </row>
    <row r="58" spans="1:20" s="317" customFormat="1">
      <c r="A58" s="309" t="str">
        <f>HYPERLINK("http://www.wantgoo.com/stock/chart.aspx?stockno=3030","3030")</f>
        <v>3030</v>
      </c>
      <c r="B58" s="310"/>
      <c r="C58" s="311">
        <f>VLOOKUP(3030,季財報!A:H,3)</f>
        <v>0</v>
      </c>
      <c r="D58" s="311">
        <f>VLOOKUP(3030,季財報!A:H,4)</f>
        <v>1</v>
      </c>
      <c r="E58" s="311">
        <f>VLOOKUP(3030,季財報!A:H,5)</f>
        <v>0</v>
      </c>
      <c r="F58" s="311">
        <f>VLOOKUP(3030,季財報!A:H,6)</f>
        <v>0</v>
      </c>
      <c r="G58" s="311">
        <f>VLOOKUP(3030,季財報!A:H,7)</f>
        <v>0</v>
      </c>
      <c r="H58" s="312"/>
      <c r="I58" s="312"/>
      <c r="J58" s="312"/>
      <c r="K58" s="312"/>
      <c r="L58" s="312"/>
      <c r="M58" s="313"/>
      <c r="N58" s="312">
        <f t="shared" si="0"/>
        <v>1</v>
      </c>
      <c r="O58" s="314"/>
      <c r="P58" s="314"/>
      <c r="Q58" s="314"/>
      <c r="R58" s="314"/>
      <c r="S58" s="315"/>
    </row>
    <row r="59" spans="1:20" s="317" customFormat="1">
      <c r="A59" s="309" t="str">
        <f>HYPERLINK("http://www.wantgoo.com/stock/chart.aspx?stockno=6247","6247")</f>
        <v>6247</v>
      </c>
      <c r="B59" s="310"/>
      <c r="C59" s="311">
        <f>VLOOKUP(6247,季財報!A:H,3)</f>
        <v>1</v>
      </c>
      <c r="D59" s="311">
        <f>VLOOKUP(6247,季財報!A:H,4)</f>
        <v>1</v>
      </c>
      <c r="E59" s="311">
        <f>VLOOKUP(6247,季財報!A:H,5)</f>
        <v>1</v>
      </c>
      <c r="F59" s="311">
        <f>VLOOKUP(6247,季財報!A:H,6)</f>
        <v>0</v>
      </c>
      <c r="G59" s="311">
        <f>VLOOKUP(6247,季財報!A:H,7)</f>
        <v>0</v>
      </c>
      <c r="H59" s="312"/>
      <c r="I59" s="312"/>
      <c r="J59" s="312"/>
      <c r="K59" s="312"/>
      <c r="L59" s="312"/>
      <c r="M59" s="313"/>
      <c r="N59" s="312">
        <f t="shared" si="0"/>
        <v>3</v>
      </c>
      <c r="O59" s="314"/>
      <c r="P59" s="314"/>
      <c r="Q59" s="314"/>
      <c r="R59" s="314"/>
      <c r="S59" s="315"/>
    </row>
    <row r="60" spans="1:20" s="317" customFormat="1">
      <c r="A60" s="309" t="str">
        <f>HYPERLINK("http://www.wantgoo.com/stock/chart.aspx?stockno=6292","6292")</f>
        <v>6292</v>
      </c>
      <c r="B60" s="310"/>
      <c r="C60" s="311">
        <f>VLOOKUP(6292,季財報!A:H,3)</f>
        <v>0</v>
      </c>
      <c r="D60" s="311">
        <f>VLOOKUP(6292,季財報!A:H,4)</f>
        <v>0</v>
      </c>
      <c r="E60" s="311">
        <f>VLOOKUP(6292,季財報!A:H,5)</f>
        <v>1</v>
      </c>
      <c r="F60" s="311">
        <f>VLOOKUP(6292,季財報!A:H,6)</f>
        <v>1</v>
      </c>
      <c r="G60" s="311">
        <f>VLOOKUP(6292,季財報!A:H,7)</f>
        <v>0</v>
      </c>
      <c r="H60" s="312"/>
      <c r="I60" s="312"/>
      <c r="J60" s="312"/>
      <c r="K60" s="312"/>
      <c r="L60" s="312"/>
      <c r="M60" s="313"/>
      <c r="N60" s="312">
        <f t="shared" si="0"/>
        <v>2</v>
      </c>
      <c r="O60" s="314"/>
      <c r="P60" s="314"/>
      <c r="Q60" s="314"/>
      <c r="R60" s="314"/>
      <c r="S60" s="315"/>
    </row>
    <row r="61" spans="1:20" s="317" customFormat="1">
      <c r="A61" s="309" t="str">
        <f>HYPERLINK("http://www.wantgoo.com/stock/chart.aspx?stockno=4722","4722")</f>
        <v>4722</v>
      </c>
      <c r="B61" s="310"/>
      <c r="C61" s="311">
        <f>VLOOKUP(4722,季財報!A:H,3)</f>
        <v>1</v>
      </c>
      <c r="D61" s="311">
        <f>VLOOKUP(4722,季財報!A:H,4)</f>
        <v>1</v>
      </c>
      <c r="E61" s="311">
        <f>VLOOKUP(4722,季財報!A:H,5)</f>
        <v>0</v>
      </c>
      <c r="F61" s="311">
        <f>VLOOKUP(4722,季財報!A:H,6)</f>
        <v>1</v>
      </c>
      <c r="G61" s="311">
        <f>VLOOKUP(4722,季財報!A:H,7)</f>
        <v>0</v>
      </c>
      <c r="H61" s="312"/>
      <c r="I61" s="312"/>
      <c r="J61" s="312"/>
      <c r="K61" s="312"/>
      <c r="L61" s="312"/>
      <c r="M61" s="313"/>
      <c r="N61" s="312">
        <f t="shared" si="0"/>
        <v>3</v>
      </c>
      <c r="O61" s="314"/>
      <c r="P61" s="314"/>
      <c r="Q61" s="314"/>
      <c r="R61" s="314"/>
      <c r="S61" s="315"/>
    </row>
    <row r="62" spans="1:20" s="317" customFormat="1">
      <c r="A62" s="309" t="str">
        <f>HYPERLINK("http://www.wantgoo.com/stock/chart.aspx?stockno=1736","1736")</f>
        <v>1736</v>
      </c>
      <c r="B62" s="310"/>
      <c r="C62" s="311">
        <f>VLOOKUP(1736,季財報!A:H,3)</f>
        <v>0</v>
      </c>
      <c r="D62" s="311">
        <f>VLOOKUP(1736,季財報!A:H,4)</f>
        <v>1</v>
      </c>
      <c r="E62" s="311">
        <f>VLOOKUP(1736,季財報!A:H,5)</f>
        <v>0</v>
      </c>
      <c r="F62" s="311">
        <f>VLOOKUP(1736,季財報!A:H,6)</f>
        <v>0</v>
      </c>
      <c r="G62" s="311">
        <f>VLOOKUP(1736,季財報!A:H,7)</f>
        <v>0</v>
      </c>
      <c r="H62" s="312"/>
      <c r="I62" s="312"/>
      <c r="J62" s="312"/>
      <c r="K62" s="312"/>
      <c r="L62" s="312"/>
      <c r="M62" s="313"/>
      <c r="N62" s="312">
        <f t="shared" si="0"/>
        <v>1</v>
      </c>
      <c r="O62" s="314"/>
      <c r="P62" s="314"/>
      <c r="Q62" s="314"/>
      <c r="R62" s="314"/>
      <c r="S62" s="315"/>
    </row>
    <row r="63" spans="1:20" s="317" customFormat="1">
      <c r="A63" s="309" t="str">
        <f>HYPERLINK("http://www.wantgoo.com/stock/chart.aspx?stockno=3607","3607")</f>
        <v>3607</v>
      </c>
      <c r="B63" s="310"/>
      <c r="C63" s="311">
        <f>VLOOKUP(3607,季財報!A:H,3)</f>
        <v>0</v>
      </c>
      <c r="D63" s="311">
        <f>VLOOKUP(3607,季財報!A:H,4)</f>
        <v>1</v>
      </c>
      <c r="E63" s="311">
        <f>VLOOKUP(3607,季財報!A:H,5)</f>
        <v>0</v>
      </c>
      <c r="F63" s="311">
        <f>VLOOKUP(3607,季財報!A:H,6)</f>
        <v>1</v>
      </c>
      <c r="G63" s="311">
        <f>VLOOKUP(3607,季財報!A:H,7)</f>
        <v>0</v>
      </c>
      <c r="H63" s="312"/>
      <c r="I63" s="312"/>
      <c r="J63" s="312"/>
      <c r="K63" s="312"/>
      <c r="L63" s="312"/>
      <c r="M63" s="313"/>
      <c r="N63" s="312">
        <f t="shared" si="0"/>
        <v>2</v>
      </c>
      <c r="O63" s="314"/>
      <c r="P63" s="314"/>
      <c r="Q63" s="314"/>
      <c r="R63" s="314"/>
      <c r="S63" s="315"/>
    </row>
    <row r="64" spans="1:20" s="317" customFormat="1">
      <c r="A64" s="309" t="str">
        <f>HYPERLINK("http://www.wantgoo.com/stock/chart.aspx?stockno=2428","2428")</f>
        <v>2428</v>
      </c>
      <c r="B64" s="310"/>
      <c r="C64" s="311">
        <f>VLOOKUP(2428,季財報!A:H,3)</f>
        <v>1</v>
      </c>
      <c r="D64" s="311">
        <f>VLOOKUP(2428,季財報!A:H,4)</f>
        <v>1</v>
      </c>
      <c r="E64" s="311">
        <f>VLOOKUP(2428,季財報!A:H,5)</f>
        <v>0</v>
      </c>
      <c r="F64" s="311">
        <f>VLOOKUP(2428,季財報!A:H,6)</f>
        <v>1</v>
      </c>
      <c r="G64" s="311">
        <f>VLOOKUP(2428,季財報!A:H,7)</f>
        <v>0</v>
      </c>
      <c r="H64" s="312"/>
      <c r="I64" s="312"/>
      <c r="J64" s="312"/>
      <c r="K64" s="312"/>
      <c r="L64" s="312"/>
      <c r="M64" s="313"/>
      <c r="N64" s="312">
        <f t="shared" si="0"/>
        <v>3</v>
      </c>
      <c r="O64" s="314"/>
      <c r="P64" s="314"/>
      <c r="Q64" s="314"/>
      <c r="R64" s="314"/>
      <c r="S64" s="315"/>
    </row>
    <row r="65" spans="1:19" s="317" customFormat="1">
      <c r="A65" s="309" t="str">
        <f>HYPERLINK("http://www.wantgoo.com/stock/chart.aspx?stockno=3213","3213")</f>
        <v>3213</v>
      </c>
      <c r="B65" s="310"/>
      <c r="C65" s="311">
        <f>VLOOKUP(3213,季財報!A:H,3)</f>
        <v>0</v>
      </c>
      <c r="D65" s="311">
        <f>VLOOKUP(3213,季財報!A:H,4)</f>
        <v>1</v>
      </c>
      <c r="E65" s="311">
        <f>VLOOKUP(3213,季財報!A:H,5)</f>
        <v>0</v>
      </c>
      <c r="F65" s="311">
        <f>VLOOKUP(3213,季財報!A:H,6)</f>
        <v>1</v>
      </c>
      <c r="G65" s="311">
        <f>VLOOKUP(3213,季財報!A:H,7)</f>
        <v>0</v>
      </c>
      <c r="H65" s="312"/>
      <c r="I65" s="312"/>
      <c r="J65" s="312"/>
      <c r="K65" s="312"/>
      <c r="L65" s="312"/>
      <c r="M65" s="313"/>
      <c r="N65" s="312">
        <f t="shared" si="0"/>
        <v>2</v>
      </c>
      <c r="O65" s="314"/>
      <c r="P65" s="314"/>
      <c r="Q65" s="314"/>
      <c r="R65" s="314"/>
      <c r="S65" s="315"/>
    </row>
    <row r="66" spans="1:19" s="317" customFormat="1">
      <c r="A66" s="309" t="str">
        <f>HYPERLINK("http://www.wantgoo.com/stock/chart.aspx?stockno=6205","6205")</f>
        <v>6205</v>
      </c>
      <c r="B66" s="310"/>
      <c r="C66" s="311">
        <f>VLOOKUP(6205,季財報!A:H,3)</f>
        <v>1</v>
      </c>
      <c r="D66" s="311">
        <f>VLOOKUP(6205,季財報!A:H,4)</f>
        <v>1</v>
      </c>
      <c r="E66" s="311">
        <f>VLOOKUP(6205,季財報!A:H,5)</f>
        <v>2</v>
      </c>
      <c r="F66" s="311">
        <f>VLOOKUP(6205,季財報!A:H,6)</f>
        <v>1</v>
      </c>
      <c r="G66" s="311">
        <f>VLOOKUP(6205,季財報!A:H,7)</f>
        <v>0</v>
      </c>
      <c r="H66" s="312"/>
      <c r="I66" s="312"/>
      <c r="J66" s="312"/>
      <c r="K66" s="312"/>
      <c r="L66" s="312"/>
      <c r="M66" s="313"/>
      <c r="N66" s="312">
        <f t="shared" si="0"/>
        <v>5</v>
      </c>
      <c r="O66" s="314"/>
      <c r="P66" s="314"/>
      <c r="Q66" s="314"/>
      <c r="R66" s="314"/>
      <c r="S66" s="315"/>
    </row>
    <row r="67" spans="1:19" s="317" customFormat="1">
      <c r="A67" s="309" t="str">
        <f>HYPERLINK("http://www.wantgoo.com/stock/chart.aspx?stockno=8070","8070")</f>
        <v>8070</v>
      </c>
      <c r="B67" s="310"/>
      <c r="C67" s="311">
        <f>VLOOKUP(8070,季財報!A:H,3)</f>
        <v>0</v>
      </c>
      <c r="D67" s="311">
        <f>VLOOKUP(8070,季財報!A:H,4)</f>
        <v>0</v>
      </c>
      <c r="E67" s="311">
        <f>VLOOKUP(8070,季財報!A:H,5)</f>
        <v>0</v>
      </c>
      <c r="F67" s="311">
        <f>VLOOKUP(8070,季財報!A:H,6)</f>
        <v>1</v>
      </c>
      <c r="G67" s="311">
        <f>VLOOKUP(8070,季財報!A:H,7)</f>
        <v>0</v>
      </c>
      <c r="H67" s="312"/>
      <c r="I67" s="312"/>
      <c r="J67" s="312"/>
      <c r="K67" s="312"/>
      <c r="L67" s="312"/>
      <c r="M67" s="313"/>
      <c r="N67" s="312">
        <f t="shared" si="0"/>
        <v>1</v>
      </c>
      <c r="O67" s="314"/>
      <c r="P67" s="314"/>
      <c r="Q67" s="314"/>
      <c r="R67" s="314"/>
      <c r="S67" s="315"/>
    </row>
    <row r="68" spans="1:19" s="317" customFormat="1">
      <c r="A68" s="309" t="str">
        <f>HYPERLINK("http://www.wantgoo.com/stock/chart.aspx?stockno=8424","8424")</f>
        <v>8424</v>
      </c>
      <c r="B68" s="310"/>
      <c r="C68" s="311">
        <f>VLOOKUP(8424,季財報!A:H,3)</f>
        <v>0</v>
      </c>
      <c r="D68" s="311">
        <f>VLOOKUP(8424,季財報!A:H,4)</f>
        <v>1</v>
      </c>
      <c r="E68" s="311">
        <f>VLOOKUP(8424,季財報!A:H,5)</f>
        <v>0</v>
      </c>
      <c r="F68" s="311">
        <f>VLOOKUP(8424,季財報!A:H,6)</f>
        <v>0</v>
      </c>
      <c r="G68" s="311">
        <f>VLOOKUP(8424,季財報!A:H,7)</f>
        <v>0</v>
      </c>
      <c r="H68" s="312"/>
      <c r="I68" s="312"/>
      <c r="J68" s="312"/>
      <c r="K68" s="312"/>
      <c r="L68" s="312"/>
      <c r="M68" s="313"/>
      <c r="N68" s="312">
        <f t="shared" ref="N68:N131" si="1">SUM(C68:M68)</f>
        <v>1</v>
      </c>
      <c r="O68" s="314"/>
      <c r="P68" s="314"/>
      <c r="Q68" s="314"/>
      <c r="R68" s="314"/>
      <c r="S68" s="315"/>
    </row>
    <row r="69" spans="1:19" s="317" customFormat="1">
      <c r="A69" s="309" t="str">
        <f>HYPERLINK("http://www.wantgoo.com/stock/chart.aspx?stockno=2114","2114")</f>
        <v>2114</v>
      </c>
      <c r="B69" s="310"/>
      <c r="C69" s="311">
        <f>VLOOKUP(2114,季財報!A:H,3)</f>
        <v>1</v>
      </c>
      <c r="D69" s="311">
        <f>VLOOKUP(2114,季財報!A:H,4)</f>
        <v>1</v>
      </c>
      <c r="E69" s="311">
        <f>VLOOKUP(2114,季財報!A:H,5)</f>
        <v>1</v>
      </c>
      <c r="F69" s="311">
        <f>VLOOKUP(2114,季財報!A:H,6)</f>
        <v>1</v>
      </c>
      <c r="G69" s="311">
        <f>VLOOKUP(2114,季財報!A:H,7)</f>
        <v>0</v>
      </c>
      <c r="H69" s="312"/>
      <c r="I69" s="312"/>
      <c r="J69" s="312"/>
      <c r="K69" s="312"/>
      <c r="L69" s="312"/>
      <c r="M69" s="313"/>
      <c r="N69" s="312">
        <f t="shared" si="1"/>
        <v>4</v>
      </c>
      <c r="O69" s="314"/>
      <c r="P69" s="314"/>
      <c r="Q69" s="314"/>
      <c r="R69" s="314"/>
      <c r="S69" s="315"/>
    </row>
    <row r="70" spans="1:19" s="317" customFormat="1">
      <c r="A70" s="309" t="str">
        <f>HYPERLINK("http://www.wantgoo.com/stock/chart.aspx?stockno=1262","1262")</f>
        <v>1262</v>
      </c>
      <c r="B70" s="310"/>
      <c r="C70" s="311">
        <f>VLOOKUP(1262,季財報!A:H,3)</f>
        <v>0</v>
      </c>
      <c r="D70" s="311">
        <f>VLOOKUP(1262,季財報!A:H,4)</f>
        <v>1</v>
      </c>
      <c r="E70" s="311">
        <f>VLOOKUP(1262,季財報!A:H,5)</f>
        <v>1</v>
      </c>
      <c r="F70" s="311">
        <f>VLOOKUP(1262,季財報!A:H,6)</f>
        <v>1</v>
      </c>
      <c r="G70" s="311">
        <f>VLOOKUP(1262,季財報!A:H,7)</f>
        <v>0</v>
      </c>
      <c r="H70" s="312"/>
      <c r="I70" s="312"/>
      <c r="J70" s="312"/>
      <c r="K70" s="312"/>
      <c r="L70" s="312"/>
      <c r="M70" s="313"/>
      <c r="N70" s="312">
        <f t="shared" si="1"/>
        <v>3</v>
      </c>
      <c r="O70" s="314"/>
      <c r="P70" s="314"/>
      <c r="Q70" s="314"/>
      <c r="R70" s="314"/>
      <c r="S70" s="315"/>
    </row>
    <row r="71" spans="1:19" s="317" customFormat="1">
      <c r="A71" s="309" t="str">
        <f>HYPERLINK("http://www.wantgoo.com/stock/chart.aspx?stockno=3299","3299")</f>
        <v>3299</v>
      </c>
      <c r="B71" s="310"/>
      <c r="C71" s="311">
        <f>VLOOKUP(3299,季財報!A:H,3)</f>
        <v>0</v>
      </c>
      <c r="D71" s="311">
        <f>VLOOKUP(3299,季財報!A:H,4)</f>
        <v>1</v>
      </c>
      <c r="E71" s="311">
        <f>VLOOKUP(3299,季財報!A:H,5)</f>
        <v>0</v>
      </c>
      <c r="F71" s="311">
        <f>VLOOKUP(3299,季財報!A:H,6)</f>
        <v>1</v>
      </c>
      <c r="G71" s="311">
        <f>VLOOKUP(3299,季財報!A:H,7)</f>
        <v>0</v>
      </c>
      <c r="H71" s="312"/>
      <c r="I71" s="312"/>
      <c r="J71" s="312"/>
      <c r="K71" s="312"/>
      <c r="L71" s="312"/>
      <c r="M71" s="313"/>
      <c r="N71" s="312">
        <f t="shared" si="1"/>
        <v>2</v>
      </c>
      <c r="O71" s="314"/>
      <c r="P71" s="314"/>
      <c r="Q71" s="314"/>
      <c r="R71" s="314"/>
      <c r="S71" s="315"/>
    </row>
    <row r="72" spans="1:19" s="317" customFormat="1">
      <c r="A72" s="309" t="str">
        <f>HYPERLINK("http://www.wantgoo.com/stock/chart.aspx?stockno=6216","6216")</f>
        <v>6216</v>
      </c>
      <c r="B72" s="310"/>
      <c r="C72" s="311">
        <f>VLOOKUP(6216,季財報!A:H,3)</f>
        <v>0</v>
      </c>
      <c r="D72" s="311">
        <f>VLOOKUP(6216,季財報!A:H,4)</f>
        <v>1</v>
      </c>
      <c r="E72" s="311">
        <f>VLOOKUP(6216,季財報!A:H,5)</f>
        <v>0</v>
      </c>
      <c r="F72" s="311">
        <f>VLOOKUP(6216,季財報!A:H,6)</f>
        <v>1</v>
      </c>
      <c r="G72" s="311">
        <f>VLOOKUP(6216,季財報!A:H,7)</f>
        <v>0</v>
      </c>
      <c r="H72" s="312"/>
      <c r="I72" s="312"/>
      <c r="J72" s="312"/>
      <c r="K72" s="312"/>
      <c r="L72" s="312"/>
      <c r="M72" s="313"/>
      <c r="N72" s="312">
        <f t="shared" si="1"/>
        <v>2</v>
      </c>
      <c r="O72" s="314"/>
      <c r="P72" s="314"/>
      <c r="Q72" s="314"/>
      <c r="R72" s="314"/>
      <c r="S72" s="315"/>
    </row>
    <row r="73" spans="1:19" s="317" customFormat="1">
      <c r="A73" s="309" t="str">
        <f>HYPERLINK("http://www.wantgoo.com/stock/chart.aspx?stockno=2441","2441")</f>
        <v>2441</v>
      </c>
      <c r="B73" s="310"/>
      <c r="C73" s="311">
        <f>VLOOKUP(2441,季財報!A:H,3)</f>
        <v>0</v>
      </c>
      <c r="D73" s="311">
        <f>VLOOKUP(2441,季財報!A:H,4)</f>
        <v>1</v>
      </c>
      <c r="E73" s="311">
        <f>VLOOKUP(2441,季財報!A:H,5)</f>
        <v>0</v>
      </c>
      <c r="F73" s="311">
        <f>VLOOKUP(2441,季財報!A:H,6)</f>
        <v>1</v>
      </c>
      <c r="G73" s="311">
        <f>VLOOKUP(2441,季財報!A:H,7)</f>
        <v>0</v>
      </c>
      <c r="H73" s="312"/>
      <c r="I73" s="312"/>
      <c r="J73" s="312"/>
      <c r="K73" s="312"/>
      <c r="L73" s="312"/>
      <c r="M73" s="313"/>
      <c r="N73" s="312">
        <f t="shared" si="1"/>
        <v>2</v>
      </c>
      <c r="O73" s="314"/>
      <c r="P73" s="314"/>
      <c r="Q73" s="314"/>
      <c r="R73" s="314"/>
      <c r="S73" s="315"/>
    </row>
    <row r="74" spans="1:19" s="317" customFormat="1">
      <c r="A74" s="309" t="str">
        <f>HYPERLINK("http://www.wantgoo.com/stock/chart.aspx?stockno=1527","1527")</f>
        <v>1527</v>
      </c>
      <c r="B74" s="310"/>
      <c r="C74" s="311">
        <f>VLOOKUP(1527,季財報!A:H,3)</f>
        <v>1</v>
      </c>
      <c r="D74" s="311">
        <f>VLOOKUP(1527,季財報!A:H,4)</f>
        <v>1</v>
      </c>
      <c r="E74" s="311">
        <f>VLOOKUP(1527,季財報!A:H,5)</f>
        <v>0</v>
      </c>
      <c r="F74" s="311">
        <f>VLOOKUP(1527,季財報!A:H,6)</f>
        <v>0</v>
      </c>
      <c r="G74" s="311">
        <f>VLOOKUP(1527,季財報!A:H,7)</f>
        <v>1</v>
      </c>
      <c r="H74" s="312"/>
      <c r="I74" s="312"/>
      <c r="J74" s="312"/>
      <c r="K74" s="312"/>
      <c r="L74" s="312"/>
      <c r="M74" s="313"/>
      <c r="N74" s="312">
        <f t="shared" si="1"/>
        <v>3</v>
      </c>
      <c r="O74" s="314"/>
      <c r="P74" s="314"/>
      <c r="Q74" s="314"/>
      <c r="R74" s="314"/>
      <c r="S74" s="315"/>
    </row>
    <row r="75" spans="1:19" s="317" customFormat="1">
      <c r="A75" s="309" t="str">
        <f>HYPERLINK("http://www.wantgoo.com/stock/chart.aspx?stockno=3264","3264")</f>
        <v>3264</v>
      </c>
      <c r="B75" s="310"/>
      <c r="C75" s="311">
        <f>VLOOKUP(3264,季財報!A:H,3)</f>
        <v>0</v>
      </c>
      <c r="D75" s="311">
        <f>VLOOKUP(3264,季財報!A:H,4)</f>
        <v>1</v>
      </c>
      <c r="E75" s="311">
        <f>VLOOKUP(3264,季財報!A:H,5)</f>
        <v>2</v>
      </c>
      <c r="F75" s="311">
        <f>VLOOKUP(3264,季財報!A:H,6)</f>
        <v>1</v>
      </c>
      <c r="G75" s="311">
        <f>VLOOKUP(3264,季財報!A:H,7)</f>
        <v>0</v>
      </c>
      <c r="H75" s="312"/>
      <c r="I75" s="312"/>
      <c r="J75" s="312"/>
      <c r="K75" s="312"/>
      <c r="L75" s="312"/>
      <c r="M75" s="313"/>
      <c r="N75" s="312">
        <f t="shared" si="1"/>
        <v>4</v>
      </c>
      <c r="O75" s="314"/>
      <c r="P75" s="314"/>
      <c r="Q75" s="314"/>
      <c r="R75" s="314"/>
      <c r="S75" s="315"/>
    </row>
    <row r="76" spans="1:19" s="317" customFormat="1">
      <c r="A76" s="309" t="str">
        <f>HYPERLINK("http://www.wantgoo.com/stock/chart.aspx?stockno=6185","6185")</f>
        <v>6185</v>
      </c>
      <c r="B76" s="310"/>
      <c r="C76" s="311">
        <f>VLOOKUP(6185,季財報!A:H,3)</f>
        <v>0</v>
      </c>
      <c r="D76" s="311">
        <f>VLOOKUP(6185,季財報!A:H,4)</f>
        <v>1</v>
      </c>
      <c r="E76" s="311">
        <f>VLOOKUP(6185,季財報!A:H,5)</f>
        <v>1</v>
      </c>
      <c r="F76" s="311">
        <f>VLOOKUP(6185,季財報!A:H,6)</f>
        <v>1</v>
      </c>
      <c r="G76" s="311">
        <f>VLOOKUP(6185,季財報!A:H,7)</f>
        <v>0</v>
      </c>
      <c r="H76" s="312"/>
      <c r="I76" s="312"/>
      <c r="J76" s="312"/>
      <c r="K76" s="312"/>
      <c r="L76" s="312"/>
      <c r="M76" s="313"/>
      <c r="N76" s="312">
        <f t="shared" si="1"/>
        <v>3</v>
      </c>
      <c r="O76" s="314"/>
      <c r="P76" s="314"/>
      <c r="Q76" s="314"/>
      <c r="R76" s="314"/>
      <c r="S76" s="315"/>
    </row>
    <row r="77" spans="1:19" s="317" customFormat="1">
      <c r="A77" s="309" t="str">
        <f>HYPERLINK("http://www.wantgoo.com/stock/chart.aspx?stockno=1232","1232")</f>
        <v>1232</v>
      </c>
      <c r="B77" s="310"/>
      <c r="C77" s="311">
        <f>VLOOKUP(1232,季財報!A:H,3)</f>
        <v>0</v>
      </c>
      <c r="D77" s="311">
        <f>VLOOKUP(1232,季財報!A:H,4)</f>
        <v>1</v>
      </c>
      <c r="E77" s="311">
        <f>VLOOKUP(1232,季財報!A:H,5)</f>
        <v>1</v>
      </c>
      <c r="F77" s="311">
        <f>VLOOKUP(1232,季財報!A:H,6)</f>
        <v>1</v>
      </c>
      <c r="G77" s="311">
        <f>VLOOKUP(1232,季財報!A:H,7)</f>
        <v>0</v>
      </c>
      <c r="H77" s="312"/>
      <c r="I77" s="312"/>
      <c r="J77" s="312"/>
      <c r="K77" s="312"/>
      <c r="L77" s="312"/>
      <c r="M77" s="313"/>
      <c r="N77" s="312">
        <f t="shared" si="1"/>
        <v>3</v>
      </c>
      <c r="O77" s="314"/>
      <c r="P77" s="314"/>
      <c r="Q77" s="314"/>
      <c r="R77" s="314"/>
      <c r="S77" s="315"/>
    </row>
    <row r="78" spans="1:19" s="317" customFormat="1">
      <c r="A78" s="309" t="str">
        <f>HYPERLINK("http://www.wantgoo.com/stock/chart.aspx?stockno=1258","1258")</f>
        <v>1258</v>
      </c>
      <c r="B78" s="310"/>
      <c r="C78" s="311">
        <f>VLOOKUP(1258,季財報!A:H,3)</f>
        <v>1</v>
      </c>
      <c r="D78" s="311">
        <f>VLOOKUP(1258,季財報!A:H,4)</f>
        <v>1</v>
      </c>
      <c r="E78" s="311">
        <f>VLOOKUP(1258,季財報!A:H,5)</f>
        <v>2</v>
      </c>
      <c r="F78" s="311">
        <f>VLOOKUP(1258,季財報!A:H,6)</f>
        <v>1</v>
      </c>
      <c r="G78" s="311">
        <f>VLOOKUP(1258,季財報!A:H,7)</f>
        <v>1</v>
      </c>
      <c r="H78" s="312"/>
      <c r="I78" s="312"/>
      <c r="J78" s="312"/>
      <c r="K78" s="312"/>
      <c r="L78" s="312"/>
      <c r="M78" s="313"/>
      <c r="N78" s="312">
        <f t="shared" si="1"/>
        <v>6</v>
      </c>
      <c r="O78" s="314"/>
      <c r="P78" s="314"/>
      <c r="Q78" s="314"/>
      <c r="R78" s="314"/>
      <c r="S78" s="315"/>
    </row>
    <row r="79" spans="1:19" s="317" customFormat="1">
      <c r="A79" s="309" t="str">
        <f>HYPERLINK("http://www.wantgoo.com/stock/chart.aspx?stockno=3272","3272")</f>
        <v>3272</v>
      </c>
      <c r="B79" s="310"/>
      <c r="C79" s="311">
        <f>VLOOKUP(3272,季財報!A:H,3)</f>
        <v>0</v>
      </c>
      <c r="D79" s="311">
        <f>VLOOKUP(3272,季財報!A:H,4)</f>
        <v>1</v>
      </c>
      <c r="E79" s="311">
        <f>VLOOKUP(3272,季財報!A:H,5)</f>
        <v>1</v>
      </c>
      <c r="F79" s="311">
        <f>VLOOKUP(3272,季財報!A:H,6)</f>
        <v>1</v>
      </c>
      <c r="G79" s="311">
        <f>VLOOKUP(3272,季財報!A:H,7)</f>
        <v>0</v>
      </c>
      <c r="H79" s="312"/>
      <c r="I79" s="312"/>
      <c r="J79" s="312"/>
      <c r="K79" s="312"/>
      <c r="L79" s="312"/>
      <c r="M79" s="313"/>
      <c r="N79" s="312">
        <f t="shared" si="1"/>
        <v>3</v>
      </c>
      <c r="O79" s="314"/>
      <c r="P79" s="314"/>
      <c r="Q79" s="314"/>
      <c r="R79" s="314"/>
      <c r="S79" s="315"/>
    </row>
    <row r="80" spans="1:19" s="317" customFormat="1">
      <c r="A80" s="309" t="str">
        <f>HYPERLINK("http://www.wantgoo.com/stock/chart.aspx?stockno=2615","2615")</f>
        <v>2615</v>
      </c>
      <c r="B80" s="310"/>
      <c r="C80" s="311">
        <f>VLOOKUP(2615,季財報!A:H,3)</f>
        <v>0</v>
      </c>
      <c r="D80" s="311">
        <f>VLOOKUP(2615,季財報!A:H,4)</f>
        <v>1</v>
      </c>
      <c r="E80" s="311">
        <f>VLOOKUP(2615,季財報!A:H,5)</f>
        <v>0</v>
      </c>
      <c r="F80" s="311">
        <f>VLOOKUP(2615,季財報!A:H,6)</f>
        <v>1</v>
      </c>
      <c r="G80" s="311">
        <f>VLOOKUP(2615,季財報!A:H,7)</f>
        <v>0</v>
      </c>
      <c r="H80" s="312"/>
      <c r="I80" s="312"/>
      <c r="J80" s="312"/>
      <c r="K80" s="312"/>
      <c r="L80" s="312"/>
      <c r="M80" s="313"/>
      <c r="N80" s="312">
        <f t="shared" si="1"/>
        <v>2</v>
      </c>
      <c r="O80" s="314"/>
      <c r="P80" s="314"/>
      <c r="Q80" s="314"/>
      <c r="R80" s="314"/>
      <c r="S80" s="315"/>
    </row>
    <row r="81" spans="1:19" s="317" customFormat="1">
      <c r="A81" s="309" t="str">
        <f>HYPERLINK("http://www.wantgoo.com/stock/chart.aspx?stockno=6195","6195")</f>
        <v>6195</v>
      </c>
      <c r="B81" s="310"/>
      <c r="C81" s="311">
        <f>VLOOKUP(6195,季財報!A:H,3)</f>
        <v>0</v>
      </c>
      <c r="D81" s="311">
        <f>VLOOKUP(6195,季財報!A:H,4)</f>
        <v>0</v>
      </c>
      <c r="E81" s="311">
        <f>VLOOKUP(6195,季財報!A:H,5)</f>
        <v>0</v>
      </c>
      <c r="F81" s="311">
        <f>VLOOKUP(6195,季財報!A:H,6)</f>
        <v>0</v>
      </c>
      <c r="G81" s="311">
        <f>VLOOKUP(6195,季財報!A:H,7)</f>
        <v>0</v>
      </c>
      <c r="H81" s="312"/>
      <c r="I81" s="312"/>
      <c r="J81" s="312"/>
      <c r="K81" s="312"/>
      <c r="L81" s="312"/>
      <c r="M81" s="313"/>
      <c r="N81" s="312">
        <f t="shared" si="1"/>
        <v>0</v>
      </c>
      <c r="O81" s="314"/>
      <c r="P81" s="314"/>
      <c r="Q81" s="314"/>
      <c r="R81" s="314"/>
      <c r="S81" s="315"/>
    </row>
    <row r="82" spans="1:19" s="317" customFormat="1">
      <c r="A82" s="309" t="str">
        <f>HYPERLINK("http://www.wantgoo.com/stock/chart.aspx?stockno=4417","4417")</f>
        <v>4417</v>
      </c>
      <c r="B82" s="310"/>
      <c r="C82" s="311">
        <f>VLOOKUP(4417,季財報!A:H,3)</f>
        <v>0</v>
      </c>
      <c r="D82" s="311">
        <f>VLOOKUP(4417,季財報!A:H,4)</f>
        <v>1</v>
      </c>
      <c r="E82" s="311">
        <f>VLOOKUP(4417,季財報!A:H,5)</f>
        <v>1</v>
      </c>
      <c r="F82" s="311">
        <f>VLOOKUP(4417,季財報!A:H,6)</f>
        <v>1</v>
      </c>
      <c r="G82" s="311">
        <f>VLOOKUP(4417,季財報!A:H,7)</f>
        <v>0</v>
      </c>
      <c r="H82" s="312"/>
      <c r="I82" s="312"/>
      <c r="J82" s="312"/>
      <c r="K82" s="312"/>
      <c r="L82" s="312"/>
      <c r="M82" s="313"/>
      <c r="N82" s="312">
        <f t="shared" si="1"/>
        <v>3</v>
      </c>
      <c r="O82" s="314"/>
      <c r="P82" s="314"/>
      <c r="Q82" s="314"/>
      <c r="R82" s="314"/>
      <c r="S82" s="315"/>
    </row>
    <row r="83" spans="1:19" s="317" customFormat="1">
      <c r="A83" s="309" t="str">
        <f>HYPERLINK("http://www.wantgoo.com/stock/chart.aspx?stockno=2597","2597")</f>
        <v>2597</v>
      </c>
      <c r="B83" s="310"/>
      <c r="C83" s="311">
        <f>VLOOKUP(2597,季財報!A:H,3)</f>
        <v>0</v>
      </c>
      <c r="D83" s="311">
        <f>VLOOKUP(2597,季財報!A:H,4)</f>
        <v>1</v>
      </c>
      <c r="E83" s="311">
        <f>VLOOKUP(2597,季財報!A:H,5)</f>
        <v>0</v>
      </c>
      <c r="F83" s="311">
        <f>VLOOKUP(2597,季財報!A:H,6)</f>
        <v>1</v>
      </c>
      <c r="G83" s="311">
        <f>VLOOKUP(2597,季財報!A:H,7)</f>
        <v>0</v>
      </c>
      <c r="H83" s="312"/>
      <c r="I83" s="312"/>
      <c r="J83" s="312"/>
      <c r="K83" s="312"/>
      <c r="L83" s="312"/>
      <c r="M83" s="313"/>
      <c r="N83" s="312">
        <f t="shared" si="1"/>
        <v>2</v>
      </c>
      <c r="O83" s="314"/>
      <c r="P83" s="314"/>
      <c r="Q83" s="314"/>
      <c r="R83" s="314"/>
      <c r="S83" s="315"/>
    </row>
    <row r="84" spans="1:19" s="317" customFormat="1">
      <c r="A84" s="309" t="str">
        <f>HYPERLINK("http://www.wantgoo.com/stock/chart.aspx?stockno=1452","1452")</f>
        <v>1452</v>
      </c>
      <c r="B84" s="310"/>
      <c r="C84" s="311">
        <f>VLOOKUP(1452,季財報!A:H,3)</f>
        <v>0</v>
      </c>
      <c r="D84" s="311">
        <f>VLOOKUP(1452,季財報!A:H,4)</f>
        <v>1</v>
      </c>
      <c r="E84" s="311">
        <f>VLOOKUP(1452,季財報!A:H,5)</f>
        <v>0</v>
      </c>
      <c r="F84" s="311">
        <f>VLOOKUP(1452,季財報!A:H,6)</f>
        <v>1</v>
      </c>
      <c r="G84" s="311">
        <f>VLOOKUP(1452,季財報!A:H,7)</f>
        <v>0</v>
      </c>
      <c r="H84" s="312"/>
      <c r="I84" s="312"/>
      <c r="J84" s="312"/>
      <c r="K84" s="312"/>
      <c r="L84" s="312"/>
      <c r="M84" s="313"/>
      <c r="N84" s="312">
        <f t="shared" si="1"/>
        <v>2</v>
      </c>
      <c r="O84" s="314"/>
      <c r="P84" s="314"/>
      <c r="Q84" s="314"/>
      <c r="R84" s="314"/>
      <c r="S84" s="315"/>
    </row>
    <row r="85" spans="1:19" s="317" customFormat="1">
      <c r="A85" s="309" t="str">
        <f>HYPERLINK("http://www.wantgoo.com/stock/chart.aspx?stockno=2108","2108")</f>
        <v>2108</v>
      </c>
      <c r="B85" s="310"/>
      <c r="C85" s="311">
        <f>VLOOKUP(2108,季財報!A:H,3)</f>
        <v>1</v>
      </c>
      <c r="D85" s="311">
        <f>VLOOKUP(2108,季財報!A:H,4)</f>
        <v>1</v>
      </c>
      <c r="E85" s="311">
        <f>VLOOKUP(2108,季財報!A:H,5)</f>
        <v>0</v>
      </c>
      <c r="F85" s="311">
        <f>VLOOKUP(2108,季財報!A:H,6)</f>
        <v>1</v>
      </c>
      <c r="G85" s="311">
        <f>VLOOKUP(2108,季財報!A:H,7)</f>
        <v>0</v>
      </c>
      <c r="H85" s="312"/>
      <c r="I85" s="312"/>
      <c r="J85" s="312"/>
      <c r="K85" s="312"/>
      <c r="L85" s="312"/>
      <c r="M85" s="313"/>
      <c r="N85" s="312">
        <f t="shared" si="1"/>
        <v>3</v>
      </c>
      <c r="O85" s="314"/>
      <c r="P85" s="314"/>
      <c r="Q85" s="314"/>
      <c r="R85" s="314"/>
      <c r="S85" s="315"/>
    </row>
    <row r="86" spans="1:19" s="317" customFormat="1">
      <c r="A86" s="309" t="str">
        <f>HYPERLINK("http://www.wantgoo.com/stock/chart.aspx?stockno=1570","1570")</f>
        <v>1570</v>
      </c>
      <c r="B86" s="310"/>
      <c r="C86" s="311">
        <f>VLOOKUP(1570,季財報!A:H,3)</f>
        <v>1</v>
      </c>
      <c r="D86" s="311">
        <f>VLOOKUP(1570,季財報!A:H,4)</f>
        <v>1</v>
      </c>
      <c r="E86" s="311">
        <f>VLOOKUP(1570,季財報!A:H,5)</f>
        <v>2</v>
      </c>
      <c r="F86" s="311">
        <f>VLOOKUP(1570,季財報!A:H,6)</f>
        <v>1</v>
      </c>
      <c r="G86" s="311">
        <f>VLOOKUP(1570,季財報!A:H,7)</f>
        <v>0</v>
      </c>
      <c r="H86" s="312"/>
      <c r="I86" s="312"/>
      <c r="J86" s="312"/>
      <c r="K86" s="312"/>
      <c r="L86" s="312"/>
      <c r="M86" s="313"/>
      <c r="N86" s="312">
        <f t="shared" si="1"/>
        <v>5</v>
      </c>
      <c r="O86" s="314"/>
      <c r="P86" s="314"/>
      <c r="Q86" s="314"/>
      <c r="R86" s="314"/>
      <c r="S86" s="315"/>
    </row>
    <row r="87" spans="1:19" s="317" customFormat="1">
      <c r="A87" s="309" t="str">
        <f>HYPERLINK("http://www.wantgoo.com/stock/chart.aspx?stockno=2501","2501")</f>
        <v>2501</v>
      </c>
      <c r="B87" s="310"/>
      <c r="C87" s="311">
        <f>VLOOKUP(2501,季財報!A:H,3)</f>
        <v>0</v>
      </c>
      <c r="D87" s="311">
        <f>VLOOKUP(2501,季財報!A:H,4)</f>
        <v>0</v>
      </c>
      <c r="E87" s="311">
        <f>VLOOKUP(2501,季財報!A:H,5)</f>
        <v>0</v>
      </c>
      <c r="F87" s="311">
        <f>VLOOKUP(2501,季財報!A:H,6)</f>
        <v>0</v>
      </c>
      <c r="G87" s="311">
        <f>VLOOKUP(2501,季財報!A:H,7)</f>
        <v>0</v>
      </c>
      <c r="H87" s="312"/>
      <c r="I87" s="312"/>
      <c r="J87" s="312"/>
      <c r="K87" s="312"/>
      <c r="L87" s="312"/>
      <c r="M87" s="313"/>
      <c r="N87" s="312">
        <f t="shared" si="1"/>
        <v>0</v>
      </c>
      <c r="O87" s="314"/>
      <c r="P87" s="314"/>
      <c r="Q87" s="314"/>
      <c r="R87" s="314"/>
      <c r="S87" s="315"/>
    </row>
    <row r="88" spans="1:19" s="317" customFormat="1">
      <c r="A88" s="309" t="str">
        <f>HYPERLINK("http://www.wantgoo.com/stock/chart.aspx?stockno=6207","6207")</f>
        <v>6207</v>
      </c>
      <c r="B88" s="310"/>
      <c r="C88" s="311">
        <f>VLOOKUP(6207,季財報!A:H,3)</f>
        <v>1</v>
      </c>
      <c r="D88" s="311">
        <f>VLOOKUP(6207,季財報!A:H,4)</f>
        <v>1</v>
      </c>
      <c r="E88" s="311">
        <f>VLOOKUP(6207,季財報!A:H,5)</f>
        <v>1</v>
      </c>
      <c r="F88" s="311">
        <f>VLOOKUP(6207,季財報!A:H,6)</f>
        <v>1</v>
      </c>
      <c r="G88" s="311">
        <f>VLOOKUP(6207,季財報!A:H,7)</f>
        <v>0</v>
      </c>
      <c r="H88" s="312"/>
      <c r="I88" s="312"/>
      <c r="J88" s="312"/>
      <c r="K88" s="312"/>
      <c r="L88" s="312"/>
      <c r="M88" s="313"/>
      <c r="N88" s="312">
        <f t="shared" si="1"/>
        <v>4</v>
      </c>
      <c r="O88" s="314"/>
      <c r="P88" s="314"/>
      <c r="Q88" s="314"/>
      <c r="R88" s="314"/>
      <c r="S88" s="315"/>
    </row>
    <row r="89" spans="1:19" s="317" customFormat="1">
      <c r="A89" s="309" t="str">
        <f>HYPERLINK("http://www.wantgoo.com/stock/chart.aspx?stockno=5201","5201")</f>
        <v>5201</v>
      </c>
      <c r="B89" s="310"/>
      <c r="C89" s="311">
        <f>VLOOKUP(5201,季財報!A:H,3)</f>
        <v>1</v>
      </c>
      <c r="D89" s="311">
        <f>VLOOKUP(5201,季財報!A:H,4)</f>
        <v>1</v>
      </c>
      <c r="E89" s="311">
        <f>VLOOKUP(5201,季財報!A:H,5)</f>
        <v>2</v>
      </c>
      <c r="F89" s="311">
        <f>VLOOKUP(5201,季財報!A:H,6)</f>
        <v>0</v>
      </c>
      <c r="G89" s="311">
        <f>VLOOKUP(5201,季財報!A:H,7)</f>
        <v>0</v>
      </c>
      <c r="H89" s="312"/>
      <c r="I89" s="312"/>
      <c r="J89" s="312"/>
      <c r="K89" s="312"/>
      <c r="L89" s="312"/>
      <c r="M89" s="313"/>
      <c r="N89" s="312">
        <f t="shared" si="1"/>
        <v>4</v>
      </c>
      <c r="O89" s="314"/>
      <c r="P89" s="314"/>
      <c r="Q89" s="314"/>
      <c r="R89" s="314"/>
      <c r="S89" s="315"/>
    </row>
    <row r="90" spans="1:19" s="317" customFormat="1">
      <c r="A90" s="309" t="str">
        <f>HYPERLINK("http://www.wantgoo.com/stock/chart.aspx?stockno=4974","4974")</f>
        <v>4974</v>
      </c>
      <c r="B90" s="310"/>
      <c r="C90" s="311">
        <f>VLOOKUP(4974,季財報!A:H,3)</f>
        <v>1</v>
      </c>
      <c r="D90" s="311">
        <f>VLOOKUP(4974,季財報!A:H,4)</f>
        <v>1</v>
      </c>
      <c r="E90" s="311">
        <f>VLOOKUP(4974,季財報!A:H,5)</f>
        <v>0</v>
      </c>
      <c r="F90" s="311">
        <f>VLOOKUP(4974,季財報!A:H,6)</f>
        <v>0</v>
      </c>
      <c r="G90" s="311">
        <f>VLOOKUP(4974,季財報!A:H,7)</f>
        <v>0</v>
      </c>
      <c r="H90" s="312"/>
      <c r="I90" s="312"/>
      <c r="J90" s="312"/>
      <c r="K90" s="312"/>
      <c r="L90" s="312"/>
      <c r="M90" s="313"/>
      <c r="N90" s="312">
        <f t="shared" si="1"/>
        <v>2</v>
      </c>
      <c r="O90" s="314"/>
      <c r="P90" s="314"/>
      <c r="Q90" s="314"/>
      <c r="R90" s="314"/>
      <c r="S90" s="315"/>
    </row>
    <row r="91" spans="1:19" s="317" customFormat="1">
      <c r="A91" s="309" t="str">
        <f>HYPERLINK("http://www.wantgoo.com/stock/chart.aspx?stockno=2488","2488")</f>
        <v>2488</v>
      </c>
      <c r="B91" s="310"/>
      <c r="C91" s="311">
        <f>VLOOKUP(2488,季財報!A:H,3)</f>
        <v>1</v>
      </c>
      <c r="D91" s="311">
        <f>VLOOKUP(2488,季財報!A:H,4)</f>
        <v>1</v>
      </c>
      <c r="E91" s="311">
        <f>VLOOKUP(2488,季財報!A:H,5)</f>
        <v>1</v>
      </c>
      <c r="F91" s="311">
        <f>VLOOKUP(2488,季財報!A:H,6)</f>
        <v>1</v>
      </c>
      <c r="G91" s="311">
        <f>VLOOKUP(2488,季財報!A:H,7)</f>
        <v>0</v>
      </c>
      <c r="H91" s="312"/>
      <c r="I91" s="312"/>
      <c r="J91" s="312"/>
      <c r="K91" s="312"/>
      <c r="L91" s="312"/>
      <c r="M91" s="313"/>
      <c r="N91" s="312">
        <f t="shared" si="1"/>
        <v>4</v>
      </c>
      <c r="O91" s="314"/>
      <c r="P91" s="314"/>
      <c r="Q91" s="314"/>
      <c r="R91" s="314"/>
      <c r="S91" s="315"/>
    </row>
    <row r="92" spans="1:19" s="317" customFormat="1">
      <c r="A92" s="309" t="str">
        <f>HYPERLINK("http://www.wantgoo.com/stock/chart.aspx?stockno=2451","2451")</f>
        <v>2451</v>
      </c>
      <c r="B92" s="310"/>
      <c r="C92" s="311">
        <f>VLOOKUP(2451,季財報!A:H,3)</f>
        <v>1</v>
      </c>
      <c r="D92" s="311">
        <f>VLOOKUP(2451,季財報!A:H,4)</f>
        <v>1</v>
      </c>
      <c r="E92" s="311">
        <f>VLOOKUP(2451,季財報!A:H,5)</f>
        <v>0</v>
      </c>
      <c r="F92" s="311">
        <f>VLOOKUP(2451,季財報!A:H,6)</f>
        <v>1</v>
      </c>
      <c r="G92" s="311">
        <f>VLOOKUP(2451,季財報!A:H,7)</f>
        <v>0</v>
      </c>
      <c r="H92" s="312"/>
      <c r="I92" s="312"/>
      <c r="J92" s="312"/>
      <c r="K92" s="312"/>
      <c r="L92" s="312"/>
      <c r="M92" s="313"/>
      <c r="N92" s="312">
        <f t="shared" si="1"/>
        <v>3</v>
      </c>
      <c r="O92" s="314"/>
      <c r="P92" s="314"/>
      <c r="Q92" s="314"/>
      <c r="R92" s="314"/>
      <c r="S92" s="315"/>
    </row>
    <row r="93" spans="1:19" s="317" customFormat="1">
      <c r="A93" s="309" t="str">
        <f>HYPERLINK("http://www.wantgoo.com/stock/chart.aspx?stockno=6120","6120")</f>
        <v>6120</v>
      </c>
      <c r="B93" s="310"/>
      <c r="C93" s="311">
        <f>VLOOKUP(6120,季財報!A:H,3)</f>
        <v>0</v>
      </c>
      <c r="D93" s="311">
        <f>VLOOKUP(6120,季財報!A:H,4)</f>
        <v>0</v>
      </c>
      <c r="E93" s="311">
        <f>VLOOKUP(6120,季財報!A:H,5)</f>
        <v>0</v>
      </c>
      <c r="F93" s="311">
        <f>VLOOKUP(6120,季財報!A:H,6)</f>
        <v>0</v>
      </c>
      <c r="G93" s="311">
        <f>VLOOKUP(6120,季財報!A:H,7)</f>
        <v>0</v>
      </c>
      <c r="H93" s="312"/>
      <c r="I93" s="312"/>
      <c r="J93" s="312"/>
      <c r="K93" s="312"/>
      <c r="L93" s="312"/>
      <c r="M93" s="313"/>
      <c r="N93" s="312">
        <f t="shared" si="1"/>
        <v>0</v>
      </c>
      <c r="O93" s="314"/>
      <c r="P93" s="314"/>
      <c r="Q93" s="314"/>
      <c r="R93" s="314"/>
      <c r="S93" s="315"/>
    </row>
    <row r="94" spans="1:19" s="317" customFormat="1">
      <c r="A94" s="309" t="str">
        <f>HYPERLINK("http://www.wantgoo.com/stock/chart.aspx?stockno=3693","3693")</f>
        <v>3693</v>
      </c>
      <c r="B94" s="310"/>
      <c r="C94" s="311">
        <f>VLOOKUP(3693,季財報!A:H,3)</f>
        <v>1</v>
      </c>
      <c r="D94" s="311">
        <f>VLOOKUP(3693,季財報!A:H,4)</f>
        <v>1</v>
      </c>
      <c r="E94" s="311">
        <f>VLOOKUP(3693,季財報!A:H,5)</f>
        <v>1</v>
      </c>
      <c r="F94" s="311">
        <f>VLOOKUP(3693,季財報!A:H,6)</f>
        <v>1</v>
      </c>
      <c r="G94" s="311">
        <f>VLOOKUP(3693,季財報!A:H,7)</f>
        <v>0</v>
      </c>
      <c r="H94" s="312"/>
      <c r="I94" s="312"/>
      <c r="J94" s="312"/>
      <c r="K94" s="312"/>
      <c r="L94" s="312"/>
      <c r="M94" s="313"/>
      <c r="N94" s="312">
        <f t="shared" si="1"/>
        <v>4</v>
      </c>
      <c r="O94" s="314"/>
      <c r="P94" s="314"/>
      <c r="Q94" s="314"/>
      <c r="R94" s="314"/>
      <c r="S94" s="315"/>
    </row>
    <row r="95" spans="1:19" s="317" customFormat="1">
      <c r="A95" s="309" t="str">
        <f>HYPERLINK("http://www.wantgoo.com/stock/chart.aspx?stockno=2330","2330")</f>
        <v>2330</v>
      </c>
      <c r="B95" s="310"/>
      <c r="C95" s="311">
        <f>VLOOKUP(2330,季財報!A:H,3)</f>
        <v>0</v>
      </c>
      <c r="D95" s="311">
        <f>VLOOKUP(2330,季財報!A:H,4)</f>
        <v>0</v>
      </c>
      <c r="E95" s="311">
        <f>VLOOKUP(2330,季財報!A:H,5)</f>
        <v>1</v>
      </c>
      <c r="F95" s="311">
        <f>VLOOKUP(2330,季財報!A:H,6)</f>
        <v>1</v>
      </c>
      <c r="G95" s="311">
        <f>VLOOKUP(2330,季財報!A:H,7)</f>
        <v>0</v>
      </c>
      <c r="H95" s="312"/>
      <c r="I95" s="312"/>
      <c r="J95" s="312"/>
      <c r="K95" s="312"/>
      <c r="L95" s="312"/>
      <c r="M95" s="313"/>
      <c r="N95" s="312">
        <f t="shared" si="1"/>
        <v>2</v>
      </c>
      <c r="O95" s="314"/>
      <c r="P95" s="314"/>
      <c r="Q95" s="314"/>
      <c r="R95" s="314"/>
      <c r="S95" s="315"/>
    </row>
    <row r="96" spans="1:19" s="317" customFormat="1">
      <c r="A96" s="309" t="str">
        <f>HYPERLINK("http://www.wantgoo.com/stock/chart.aspx?stockno=4995","4995")</f>
        <v>4995</v>
      </c>
      <c r="B96" s="310"/>
      <c r="C96" s="311">
        <f>VLOOKUP(4995,季財報!A:H,3)</f>
        <v>0</v>
      </c>
      <c r="D96" s="311">
        <f>VLOOKUP(4995,季財報!A:H,4)</f>
        <v>1</v>
      </c>
      <c r="E96" s="311">
        <f>VLOOKUP(4995,季財報!A:H,5)</f>
        <v>0</v>
      </c>
      <c r="F96" s="311">
        <f>VLOOKUP(4995,季財報!A:H,6)</f>
        <v>1</v>
      </c>
      <c r="G96" s="311">
        <f>VLOOKUP(4995,季財報!A:H,7)</f>
        <v>0</v>
      </c>
      <c r="H96" s="312"/>
      <c r="I96" s="312"/>
      <c r="J96" s="312"/>
      <c r="K96" s="312"/>
      <c r="L96" s="312"/>
      <c r="M96" s="313"/>
      <c r="N96" s="312">
        <f t="shared" si="1"/>
        <v>2</v>
      </c>
      <c r="O96" s="314"/>
      <c r="P96" s="314"/>
      <c r="Q96" s="314"/>
      <c r="R96" s="314"/>
      <c r="S96" s="315"/>
    </row>
    <row r="97" spans="1:19" s="317" customFormat="1">
      <c r="A97" s="309" t="str">
        <f>HYPERLINK("http://www.wantgoo.com/stock/chart.aspx?stockno=8942","8942")</f>
        <v>8942</v>
      </c>
      <c r="B97" s="310"/>
      <c r="C97" s="311">
        <f>VLOOKUP(8942,季財報!A:H,3)</f>
        <v>1</v>
      </c>
      <c r="D97" s="311">
        <f>VLOOKUP(8942,季財報!A:H,4)</f>
        <v>1</v>
      </c>
      <c r="E97" s="311">
        <f>VLOOKUP(8942,季財報!A:H,5)</f>
        <v>0</v>
      </c>
      <c r="F97" s="311">
        <f>VLOOKUP(8942,季財報!A:H,6)</f>
        <v>1</v>
      </c>
      <c r="G97" s="311">
        <f>VLOOKUP(8942,季財報!A:H,7)</f>
        <v>0</v>
      </c>
      <c r="H97" s="312"/>
      <c r="I97" s="312"/>
      <c r="J97" s="312"/>
      <c r="K97" s="312"/>
      <c r="L97" s="312"/>
      <c r="M97" s="313"/>
      <c r="N97" s="312">
        <f t="shared" si="1"/>
        <v>3</v>
      </c>
      <c r="O97" s="314"/>
      <c r="P97" s="314"/>
      <c r="Q97" s="314"/>
      <c r="R97" s="314"/>
      <c r="S97" s="315"/>
    </row>
    <row r="98" spans="1:19" s="317" customFormat="1">
      <c r="A98" s="309" t="str">
        <f>HYPERLINK("http://www.wantgoo.com/stock/chart.aspx?stockno=1582","1582")</f>
        <v>1582</v>
      </c>
      <c r="B98" s="310"/>
      <c r="C98" s="311">
        <f>VLOOKUP(1582,季財報!A:H,3)</f>
        <v>1</v>
      </c>
      <c r="D98" s="311">
        <f>VLOOKUP(1582,季財報!A:H,4)</f>
        <v>1</v>
      </c>
      <c r="E98" s="311">
        <f>VLOOKUP(1582,季財報!A:H,5)</f>
        <v>0</v>
      </c>
      <c r="F98" s="311">
        <f>VLOOKUP(1582,季財報!A:H,6)</f>
        <v>1</v>
      </c>
      <c r="G98" s="311">
        <f>VLOOKUP(1582,季財報!A:H,7)</f>
        <v>0</v>
      </c>
      <c r="H98" s="312"/>
      <c r="I98" s="312"/>
      <c r="J98" s="312"/>
      <c r="K98" s="312"/>
      <c r="L98" s="312"/>
      <c r="M98" s="313"/>
      <c r="N98" s="312">
        <f t="shared" si="1"/>
        <v>3</v>
      </c>
      <c r="O98" s="314"/>
      <c r="P98" s="314"/>
      <c r="Q98" s="314"/>
      <c r="R98" s="314"/>
      <c r="S98" s="315"/>
    </row>
    <row r="99" spans="1:19" s="317" customFormat="1">
      <c r="A99" s="309" t="str">
        <f>HYPERLINK("http://www.wantgoo.com/stock/chart.aspx?stockno=8905","8905")</f>
        <v>8905</v>
      </c>
      <c r="B99" s="310"/>
      <c r="C99" s="311">
        <f>VLOOKUP(8905,季財報!A:H,3)</f>
        <v>0</v>
      </c>
      <c r="D99" s="311">
        <f>VLOOKUP(8905,季財報!A:H,4)</f>
        <v>1</v>
      </c>
      <c r="E99" s="311">
        <f>VLOOKUP(8905,季財報!A:H,5)</f>
        <v>0</v>
      </c>
      <c r="F99" s="311">
        <f>VLOOKUP(8905,季財報!A:H,6)</f>
        <v>0</v>
      </c>
      <c r="G99" s="311">
        <f>VLOOKUP(8905,季財報!A:H,7)</f>
        <v>0</v>
      </c>
      <c r="H99" s="312"/>
      <c r="I99" s="312"/>
      <c r="J99" s="312"/>
      <c r="K99" s="312"/>
      <c r="L99" s="312"/>
      <c r="M99" s="313"/>
      <c r="N99" s="312">
        <f t="shared" si="1"/>
        <v>1</v>
      </c>
      <c r="O99" s="314"/>
      <c r="P99" s="314"/>
      <c r="Q99" s="314"/>
      <c r="R99" s="314"/>
      <c r="S99" s="315"/>
    </row>
    <row r="100" spans="1:19" s="317" customFormat="1">
      <c r="A100" s="309" t="str">
        <f>HYPERLINK("http://www.wantgoo.com/stock/chart.aspx?stockno=2404","2404")</f>
        <v>2404</v>
      </c>
      <c r="B100" s="310"/>
      <c r="C100" s="311">
        <f>VLOOKUP(2404,季財報!A:H,3)</f>
        <v>0</v>
      </c>
      <c r="D100" s="311">
        <f>VLOOKUP(2404,季財報!A:H,4)</f>
        <v>1</v>
      </c>
      <c r="E100" s="311">
        <f>VLOOKUP(2404,季財報!A:H,5)</f>
        <v>1</v>
      </c>
      <c r="F100" s="311">
        <f>VLOOKUP(2404,季財報!A:H,6)</f>
        <v>1</v>
      </c>
      <c r="G100" s="311">
        <f>VLOOKUP(2404,季財報!A:H,7)</f>
        <v>0</v>
      </c>
      <c r="H100" s="312"/>
      <c r="I100" s="312"/>
      <c r="J100" s="312"/>
      <c r="K100" s="312"/>
      <c r="L100" s="312"/>
      <c r="M100" s="313"/>
      <c r="N100" s="312">
        <f t="shared" si="1"/>
        <v>3</v>
      </c>
      <c r="O100" s="314"/>
      <c r="P100" s="314"/>
      <c r="Q100" s="314"/>
      <c r="R100" s="314"/>
      <c r="S100" s="315"/>
    </row>
    <row r="101" spans="1:19" s="317" customFormat="1">
      <c r="A101" s="309" t="str">
        <f>HYPERLINK("http://www.wantgoo.com/stock/chart.aspx?stockno=5234","5234")</f>
        <v>5234</v>
      </c>
      <c r="B101" s="310"/>
      <c r="C101" s="311">
        <f>VLOOKUP(5234,季財報!A:H,3)</f>
        <v>0</v>
      </c>
      <c r="D101" s="311">
        <f>VLOOKUP(5234,季財報!A:H,4)</f>
        <v>1</v>
      </c>
      <c r="E101" s="311">
        <f>VLOOKUP(5234,季財報!A:H,5)</f>
        <v>1</v>
      </c>
      <c r="F101" s="311">
        <f>VLOOKUP(5234,季財報!A:H,6)</f>
        <v>1</v>
      </c>
      <c r="G101" s="311">
        <f>VLOOKUP(5234,季財報!A:H,7)</f>
        <v>0</v>
      </c>
      <c r="H101" s="312"/>
      <c r="I101" s="312"/>
      <c r="J101" s="312"/>
      <c r="K101" s="312"/>
      <c r="L101" s="312"/>
      <c r="M101" s="313"/>
      <c r="N101" s="312">
        <f t="shared" si="1"/>
        <v>3</v>
      </c>
      <c r="O101" s="314"/>
      <c r="P101" s="314"/>
      <c r="Q101" s="314"/>
      <c r="R101" s="314"/>
      <c r="S101" s="315"/>
    </row>
    <row r="102" spans="1:19" s="317" customFormat="1">
      <c r="A102" s="309" t="str">
        <f>HYPERLINK("http://www.wantgoo.com/stock/chart.aspx?stockno=5534","5534")</f>
        <v>5534</v>
      </c>
      <c r="B102" s="310"/>
      <c r="C102" s="311">
        <f>VLOOKUP(5534,季財報!A:H,3)</f>
        <v>0</v>
      </c>
      <c r="D102" s="311">
        <f>VLOOKUP(5534,季財報!A:H,4)</f>
        <v>1</v>
      </c>
      <c r="E102" s="311">
        <f>VLOOKUP(5534,季財報!A:H,5)</f>
        <v>0</v>
      </c>
      <c r="F102" s="311">
        <f>VLOOKUP(5534,季財報!A:H,6)</f>
        <v>1</v>
      </c>
      <c r="G102" s="311">
        <f>VLOOKUP(5534,季財報!A:H,7)</f>
        <v>0</v>
      </c>
      <c r="H102" s="312"/>
      <c r="I102" s="312"/>
      <c r="J102" s="312"/>
      <c r="K102" s="312"/>
      <c r="L102" s="312"/>
      <c r="M102" s="313"/>
      <c r="N102" s="312">
        <f t="shared" si="1"/>
        <v>2</v>
      </c>
      <c r="O102" s="314"/>
      <c r="P102" s="314"/>
      <c r="Q102" s="314"/>
      <c r="R102" s="314"/>
      <c r="S102" s="315"/>
    </row>
    <row r="103" spans="1:19" s="317" customFormat="1">
      <c r="A103" s="309" t="str">
        <f>HYPERLINK("http://www.wantgoo.com/stock/chart.aspx?stockno=8420","8420")</f>
        <v>8420</v>
      </c>
      <c r="B103" s="310"/>
      <c r="C103" s="311">
        <f>VLOOKUP(8420,季財報!A:H,3)</f>
        <v>0</v>
      </c>
      <c r="D103" s="311">
        <f>VLOOKUP(8420,季財報!A:H,4)</f>
        <v>1</v>
      </c>
      <c r="E103" s="311">
        <f>VLOOKUP(8420,季財報!A:H,5)</f>
        <v>0</v>
      </c>
      <c r="F103" s="311">
        <f>VLOOKUP(8420,季財報!A:H,6)</f>
        <v>1</v>
      </c>
      <c r="G103" s="311">
        <f>VLOOKUP(8420,季財報!A:H,7)</f>
        <v>0</v>
      </c>
      <c r="H103" s="312"/>
      <c r="I103" s="312"/>
      <c r="J103" s="312"/>
      <c r="K103" s="312"/>
      <c r="L103" s="312"/>
      <c r="M103" s="313"/>
      <c r="N103" s="312">
        <f t="shared" si="1"/>
        <v>2</v>
      </c>
      <c r="O103" s="314"/>
      <c r="P103" s="314"/>
      <c r="Q103" s="314"/>
      <c r="R103" s="314"/>
      <c r="S103" s="315"/>
    </row>
    <row r="104" spans="1:19" s="317" customFormat="1">
      <c r="A104" s="309" t="str">
        <f>HYPERLINK("http://www.wantgoo.com/stock/chart.aspx?stockno=4972","4972")</f>
        <v>4972</v>
      </c>
      <c r="B104" s="310"/>
      <c r="C104" s="311">
        <f>VLOOKUP(4972,季財報!A:H,3)</f>
        <v>1</v>
      </c>
      <c r="D104" s="311">
        <f>VLOOKUP(4972,季財報!A:H,4)</f>
        <v>1</v>
      </c>
      <c r="E104" s="311">
        <f>VLOOKUP(4972,季財報!A:H,5)</f>
        <v>0</v>
      </c>
      <c r="F104" s="311">
        <f>VLOOKUP(4972,季財報!A:H,6)</f>
        <v>1</v>
      </c>
      <c r="G104" s="311">
        <f>VLOOKUP(4972,季財報!A:H,7)</f>
        <v>0</v>
      </c>
      <c r="H104" s="312"/>
      <c r="I104" s="312"/>
      <c r="J104" s="312"/>
      <c r="K104" s="312"/>
      <c r="L104" s="312"/>
      <c r="M104" s="313"/>
      <c r="N104" s="312">
        <f t="shared" si="1"/>
        <v>3</v>
      </c>
      <c r="O104" s="314"/>
      <c r="P104" s="314"/>
      <c r="Q104" s="314"/>
      <c r="R104" s="314"/>
      <c r="S104" s="315"/>
    </row>
    <row r="105" spans="1:19" s="317" customFormat="1">
      <c r="A105" s="309" t="str">
        <f>HYPERLINK("http://www.wantgoo.com/stock/chart.aspx?stockno=5464","5464")</f>
        <v>5464</v>
      </c>
      <c r="B105" s="310"/>
      <c r="C105" s="311">
        <f>VLOOKUP(5464,季財報!A:H,3)</f>
        <v>0</v>
      </c>
      <c r="D105" s="311">
        <f>VLOOKUP(5464,季財報!A:H,4)</f>
        <v>1</v>
      </c>
      <c r="E105" s="311">
        <f>VLOOKUP(5464,季財報!A:H,5)</f>
        <v>0</v>
      </c>
      <c r="F105" s="311">
        <f>VLOOKUP(5464,季財報!A:H,6)</f>
        <v>1</v>
      </c>
      <c r="G105" s="311">
        <f>VLOOKUP(5464,季財報!A:H,7)</f>
        <v>0</v>
      </c>
      <c r="H105" s="312"/>
      <c r="I105" s="312"/>
      <c r="J105" s="312"/>
      <c r="K105" s="312"/>
      <c r="L105" s="312"/>
      <c r="M105" s="313"/>
      <c r="N105" s="312">
        <f t="shared" si="1"/>
        <v>2</v>
      </c>
      <c r="O105" s="314"/>
      <c r="P105" s="314"/>
      <c r="Q105" s="314"/>
      <c r="R105" s="314"/>
      <c r="S105" s="315"/>
    </row>
    <row r="106" spans="1:19" s="317" customFormat="1">
      <c r="A106" s="309" t="str">
        <f>HYPERLINK("http://www.wantgoo.com/stock/chart.aspx?stockno=1583","1583")</f>
        <v>1583</v>
      </c>
      <c r="B106" s="310"/>
      <c r="C106" s="311">
        <f>VLOOKUP(1583,季財報!A:H,3)</f>
        <v>0</v>
      </c>
      <c r="D106" s="311">
        <f>VLOOKUP(1583,季財報!A:H,4)</f>
        <v>1</v>
      </c>
      <c r="E106" s="311">
        <f>VLOOKUP(1583,季財報!A:H,5)</f>
        <v>0</v>
      </c>
      <c r="F106" s="311">
        <f>VLOOKUP(1583,季財報!A:H,6)</f>
        <v>0</v>
      </c>
      <c r="G106" s="311">
        <f>VLOOKUP(1583,季財報!A:H,7)</f>
        <v>0</v>
      </c>
      <c r="H106" s="312"/>
      <c r="I106" s="312"/>
      <c r="J106" s="312"/>
      <c r="K106" s="312"/>
      <c r="L106" s="312"/>
      <c r="M106" s="313"/>
      <c r="N106" s="312">
        <f t="shared" si="1"/>
        <v>1</v>
      </c>
      <c r="O106" s="314"/>
      <c r="P106" s="314"/>
      <c r="Q106" s="314"/>
      <c r="R106" s="314"/>
      <c r="S106" s="315"/>
    </row>
    <row r="107" spans="1:19" s="317" customFormat="1">
      <c r="A107" s="309" t="str">
        <f>HYPERLINK("http://www.wantgoo.com/stock/chart.aspx?stockno=5603","5603")</f>
        <v>5603</v>
      </c>
      <c r="B107" s="310"/>
      <c r="C107" s="311">
        <f>VLOOKUP(5603,季財報!A:H,3)</f>
        <v>0</v>
      </c>
      <c r="D107" s="311">
        <f>VLOOKUP(5603,季財報!A:H,4)</f>
        <v>1</v>
      </c>
      <c r="E107" s="311">
        <f>VLOOKUP(5603,季財報!A:H,5)</f>
        <v>0</v>
      </c>
      <c r="F107" s="311">
        <f>VLOOKUP(5603,季財報!A:H,6)</f>
        <v>1</v>
      </c>
      <c r="G107" s="311">
        <f>VLOOKUP(5603,季財報!A:H,7)</f>
        <v>0</v>
      </c>
      <c r="H107" s="312"/>
      <c r="I107" s="312"/>
      <c r="J107" s="312"/>
      <c r="K107" s="312"/>
      <c r="L107" s="312"/>
      <c r="M107" s="313"/>
      <c r="N107" s="312">
        <f t="shared" si="1"/>
        <v>2</v>
      </c>
      <c r="O107" s="314"/>
      <c r="P107" s="314"/>
      <c r="Q107" s="314"/>
      <c r="R107" s="314"/>
      <c r="S107" s="315"/>
    </row>
    <row r="108" spans="1:19" s="317" customFormat="1">
      <c r="A108" s="309" t="str">
        <f>HYPERLINK("http://www.wantgoo.com/stock/chart.aspx?stockno=3034","3034")</f>
        <v>3034</v>
      </c>
      <c r="B108" s="310"/>
      <c r="C108" s="311">
        <f>VLOOKUP(3034,季財報!A:H,3)</f>
        <v>0</v>
      </c>
      <c r="D108" s="311">
        <f>VLOOKUP(3034,季財報!A:H,4)</f>
        <v>1</v>
      </c>
      <c r="E108" s="311">
        <f>VLOOKUP(3034,季財報!A:H,5)</f>
        <v>1</v>
      </c>
      <c r="F108" s="311">
        <f>VLOOKUP(3034,季財報!A:H,6)</f>
        <v>1</v>
      </c>
      <c r="G108" s="311">
        <f>VLOOKUP(3034,季財報!A:H,7)</f>
        <v>0</v>
      </c>
      <c r="H108" s="312"/>
      <c r="I108" s="312"/>
      <c r="J108" s="312"/>
      <c r="K108" s="312"/>
      <c r="L108" s="312"/>
      <c r="M108" s="313"/>
      <c r="N108" s="312">
        <f t="shared" si="1"/>
        <v>3</v>
      </c>
      <c r="O108" s="314"/>
      <c r="P108" s="314"/>
      <c r="Q108" s="314"/>
      <c r="R108" s="314"/>
      <c r="S108" s="315"/>
    </row>
    <row r="109" spans="1:19" s="317" customFormat="1">
      <c r="A109" s="309" t="str">
        <f>HYPERLINK("http://www.wantgoo.com/stock/chart.aspx?stockno=1215","1215")</f>
        <v>1215</v>
      </c>
      <c r="B109" s="310"/>
      <c r="C109" s="311">
        <f>VLOOKUP(1215,季財報!A:H,3)</f>
        <v>0</v>
      </c>
      <c r="D109" s="311">
        <f>VLOOKUP(1215,季財報!A:H,4)</f>
        <v>1</v>
      </c>
      <c r="E109" s="311">
        <f>VLOOKUP(1215,季財報!A:H,5)</f>
        <v>1</v>
      </c>
      <c r="F109" s="311">
        <f>VLOOKUP(1215,季財報!A:H,6)</f>
        <v>1</v>
      </c>
      <c r="G109" s="311">
        <f>VLOOKUP(1215,季財報!A:H,7)</f>
        <v>0</v>
      </c>
      <c r="H109" s="312"/>
      <c r="I109" s="312"/>
      <c r="J109" s="312"/>
      <c r="K109" s="312"/>
      <c r="L109" s="312"/>
      <c r="M109" s="313"/>
      <c r="N109" s="312">
        <f t="shared" si="1"/>
        <v>3</v>
      </c>
      <c r="O109" s="314"/>
      <c r="P109" s="314"/>
      <c r="Q109" s="314"/>
      <c r="R109" s="314"/>
      <c r="S109" s="315"/>
    </row>
    <row r="110" spans="1:19" s="317" customFormat="1">
      <c r="A110" s="309" t="str">
        <f>HYPERLINK("http://www.wantgoo.com/stock/chart.aspx?stockno=4513","4513")</f>
        <v>4513</v>
      </c>
      <c r="B110" s="310"/>
      <c r="C110" s="311">
        <f>VLOOKUP(4513,季財報!A:H,3)</f>
        <v>1</v>
      </c>
      <c r="D110" s="311">
        <f>VLOOKUP(4513,季財報!A:H,4)</f>
        <v>1</v>
      </c>
      <c r="E110" s="311">
        <f>VLOOKUP(4513,季財報!A:H,5)</f>
        <v>0</v>
      </c>
      <c r="F110" s="311">
        <f>VLOOKUP(4513,季財報!A:H,6)</f>
        <v>1</v>
      </c>
      <c r="G110" s="311">
        <f>VLOOKUP(4513,季財報!A:H,7)</f>
        <v>0</v>
      </c>
      <c r="H110" s="312"/>
      <c r="I110" s="312"/>
      <c r="J110" s="312"/>
      <c r="K110" s="312"/>
      <c r="L110" s="312"/>
      <c r="M110" s="313"/>
      <c r="N110" s="312">
        <f t="shared" si="1"/>
        <v>3</v>
      </c>
      <c r="O110" s="314"/>
      <c r="P110" s="314"/>
      <c r="Q110" s="314"/>
      <c r="R110" s="314"/>
      <c r="S110" s="315"/>
    </row>
    <row r="111" spans="1:19" s="317" customFormat="1">
      <c r="A111" s="309" t="str">
        <f>HYPERLINK("http://www.wantgoo.com/stock/chart.aspx?stockno=1580","1580")</f>
        <v>1580</v>
      </c>
      <c r="B111" s="310"/>
      <c r="C111" s="311">
        <f>VLOOKUP(1580,季財報!A:H,3)</f>
        <v>0</v>
      </c>
      <c r="D111" s="311">
        <f>VLOOKUP(1580,季財報!A:H,4)</f>
        <v>1</v>
      </c>
      <c r="E111" s="311">
        <f>VLOOKUP(1580,季財報!A:H,5)</f>
        <v>0</v>
      </c>
      <c r="F111" s="311">
        <f>VLOOKUP(1580,季財報!A:H,6)</f>
        <v>0</v>
      </c>
      <c r="G111" s="311">
        <f>VLOOKUP(1580,季財報!A:H,7)</f>
        <v>0</v>
      </c>
      <c r="H111" s="312"/>
      <c r="I111" s="312"/>
      <c r="J111" s="312"/>
      <c r="K111" s="312"/>
      <c r="L111" s="312"/>
      <c r="M111" s="313"/>
      <c r="N111" s="312">
        <f t="shared" si="1"/>
        <v>1</v>
      </c>
      <c r="O111" s="314"/>
      <c r="P111" s="314"/>
      <c r="Q111" s="314"/>
      <c r="R111" s="314"/>
      <c r="S111" s="315"/>
    </row>
    <row r="112" spans="1:19" s="317" customFormat="1">
      <c r="A112" s="309" t="str">
        <f>HYPERLINK("http://www.wantgoo.com/stock/chart.aspx?stockno=8086","8086")</f>
        <v>8086</v>
      </c>
      <c r="B112" s="310"/>
      <c r="C112" s="311">
        <f>VLOOKUP(8086,季財報!A:H,3)</f>
        <v>1</v>
      </c>
      <c r="D112" s="311">
        <f>VLOOKUP(8086,季財報!A:H,4)</f>
        <v>1</v>
      </c>
      <c r="E112" s="311">
        <f>VLOOKUP(8086,季財報!A:H,5)</f>
        <v>2</v>
      </c>
      <c r="F112" s="311">
        <f>VLOOKUP(8086,季財報!A:H,6)</f>
        <v>1</v>
      </c>
      <c r="G112" s="311">
        <f>VLOOKUP(8086,季財報!A:H,7)</f>
        <v>0</v>
      </c>
      <c r="H112" s="312"/>
      <c r="I112" s="312"/>
      <c r="J112" s="312"/>
      <c r="K112" s="312"/>
      <c r="L112" s="312"/>
      <c r="M112" s="313"/>
      <c r="N112" s="312">
        <f t="shared" si="1"/>
        <v>5</v>
      </c>
      <c r="O112" s="314"/>
      <c r="P112" s="314"/>
      <c r="Q112" s="314"/>
      <c r="R112" s="314"/>
      <c r="S112" s="315"/>
    </row>
    <row r="113" spans="1:19" s="317" customFormat="1">
      <c r="A113" s="309" t="str">
        <f>HYPERLINK("http://www.wantgoo.com/stock/chart.aspx?stockno=3051","3051")</f>
        <v>3051</v>
      </c>
      <c r="B113" s="310"/>
      <c r="C113" s="311">
        <f>VLOOKUP(3051,季財報!A:H,3)</f>
        <v>0</v>
      </c>
      <c r="D113" s="311">
        <f>VLOOKUP(3051,季財報!A:H,4)</f>
        <v>1</v>
      </c>
      <c r="E113" s="311">
        <f>VLOOKUP(3051,季財報!A:H,5)</f>
        <v>0</v>
      </c>
      <c r="F113" s="311">
        <f>VLOOKUP(3051,季財報!A:H,6)</f>
        <v>1</v>
      </c>
      <c r="G113" s="311">
        <f>VLOOKUP(3051,季財報!A:H,7)</f>
        <v>0</v>
      </c>
      <c r="H113" s="312"/>
      <c r="I113" s="312"/>
      <c r="J113" s="312"/>
      <c r="K113" s="312"/>
      <c r="L113" s="312"/>
      <c r="M113" s="313"/>
      <c r="N113" s="312">
        <f t="shared" si="1"/>
        <v>2</v>
      </c>
      <c r="O113" s="314"/>
      <c r="P113" s="314"/>
      <c r="Q113" s="314"/>
      <c r="R113" s="314"/>
      <c r="S113" s="315"/>
    </row>
    <row r="114" spans="1:19" s="317" customFormat="1">
      <c r="A114" s="309" t="str">
        <f>HYPERLINK("http://www.wantgoo.com/stock/chart.aspx?stockno=8088","8088")</f>
        <v>8088</v>
      </c>
      <c r="B114" s="310"/>
      <c r="C114" s="311">
        <f>VLOOKUP(8088,季財報!A:H,3)</f>
        <v>0</v>
      </c>
      <c r="D114" s="311">
        <f>VLOOKUP(8088,季財報!A:H,4)</f>
        <v>1</v>
      </c>
      <c r="E114" s="311">
        <f>VLOOKUP(8088,季財報!A:H,5)</f>
        <v>1</v>
      </c>
      <c r="F114" s="311">
        <f>VLOOKUP(8088,季財報!A:H,6)</f>
        <v>0</v>
      </c>
      <c r="G114" s="311">
        <f>VLOOKUP(8088,季財報!A:H,7)</f>
        <v>0</v>
      </c>
      <c r="H114" s="312"/>
      <c r="I114" s="312"/>
      <c r="J114" s="312"/>
      <c r="K114" s="312"/>
      <c r="L114" s="312"/>
      <c r="M114" s="313"/>
      <c r="N114" s="312">
        <f t="shared" si="1"/>
        <v>2</v>
      </c>
      <c r="O114" s="314"/>
      <c r="P114" s="314"/>
      <c r="Q114" s="314"/>
      <c r="R114" s="314"/>
      <c r="S114" s="315"/>
    </row>
    <row r="115" spans="1:19" s="317" customFormat="1">
      <c r="A115" s="309" t="str">
        <f>HYPERLINK("http://www.wantgoo.com/stock/chart.aspx?stockno=2420","2420")</f>
        <v>2420</v>
      </c>
      <c r="B115" s="310"/>
      <c r="C115" s="311">
        <f>VLOOKUP(2420,季財報!A:H,3)</f>
        <v>1</v>
      </c>
      <c r="D115" s="311">
        <f>VLOOKUP(2420,季財報!A:H,4)</f>
        <v>1</v>
      </c>
      <c r="E115" s="311">
        <f>VLOOKUP(2420,季財報!A:H,5)</f>
        <v>0</v>
      </c>
      <c r="F115" s="311">
        <f>VLOOKUP(2420,季財報!A:H,6)</f>
        <v>1</v>
      </c>
      <c r="G115" s="311">
        <f>VLOOKUP(2420,季財報!A:H,7)</f>
        <v>0</v>
      </c>
      <c r="H115" s="312"/>
      <c r="I115" s="312"/>
      <c r="J115" s="312"/>
      <c r="K115" s="312"/>
      <c r="L115" s="312"/>
      <c r="M115" s="313"/>
      <c r="N115" s="312">
        <f t="shared" si="1"/>
        <v>3</v>
      </c>
      <c r="O115" s="314"/>
      <c r="P115" s="314"/>
      <c r="Q115" s="314"/>
      <c r="R115" s="314"/>
      <c r="S115" s="315"/>
    </row>
    <row r="116" spans="1:19" s="317" customFormat="1">
      <c r="A116" s="309" t="str">
        <f>HYPERLINK("http://www.wantgoo.com/stock/chart.aspx?stockno=3481","3481")</f>
        <v>3481</v>
      </c>
      <c r="B116" s="310"/>
      <c r="C116" s="311">
        <f>VLOOKUP(3481,季財報!A:H,3)</f>
        <v>0</v>
      </c>
      <c r="D116" s="311">
        <f>VLOOKUP(3481,季財報!A:H,4)</f>
        <v>0</v>
      </c>
      <c r="E116" s="311">
        <f>VLOOKUP(3481,季財報!A:H,5)</f>
        <v>0</v>
      </c>
      <c r="F116" s="311">
        <f>VLOOKUP(3481,季財報!A:H,6)</f>
        <v>1</v>
      </c>
      <c r="G116" s="311">
        <f>VLOOKUP(3481,季財報!A:H,7)</f>
        <v>0</v>
      </c>
      <c r="H116" s="312"/>
      <c r="I116" s="312"/>
      <c r="J116" s="312"/>
      <c r="K116" s="312"/>
      <c r="L116" s="312"/>
      <c r="M116" s="313"/>
      <c r="N116" s="312">
        <f t="shared" si="1"/>
        <v>1</v>
      </c>
      <c r="O116" s="314"/>
      <c r="P116" s="314"/>
      <c r="Q116" s="314"/>
      <c r="R116" s="314"/>
      <c r="S116" s="315"/>
    </row>
    <row r="117" spans="1:19" s="317" customFormat="1">
      <c r="A117" s="309" t="str">
        <f>HYPERLINK("http://www.wantgoo.com/stock/chart.aspx?stockno=4977","4977")</f>
        <v>4977</v>
      </c>
      <c r="B117" s="310"/>
      <c r="C117" s="311">
        <f>VLOOKUP(4977,季財報!A:H,3)</f>
        <v>0</v>
      </c>
      <c r="D117" s="311">
        <f>VLOOKUP(4977,季財報!A:H,4)</f>
        <v>1</v>
      </c>
      <c r="E117" s="311">
        <f>VLOOKUP(4977,季財報!A:H,5)</f>
        <v>2</v>
      </c>
      <c r="F117" s="311">
        <f>VLOOKUP(4977,季財報!A:H,6)</f>
        <v>1</v>
      </c>
      <c r="G117" s="311">
        <f>VLOOKUP(4977,季財報!A:H,7)</f>
        <v>0</v>
      </c>
      <c r="H117" s="312"/>
      <c r="I117" s="312"/>
      <c r="J117" s="312"/>
      <c r="K117" s="312"/>
      <c r="L117" s="312"/>
      <c r="M117" s="313"/>
      <c r="N117" s="312">
        <f t="shared" si="1"/>
        <v>4</v>
      </c>
      <c r="O117" s="314"/>
      <c r="P117" s="314"/>
      <c r="Q117" s="314"/>
      <c r="R117" s="314"/>
      <c r="S117" s="315"/>
    </row>
    <row r="118" spans="1:19" s="317" customFormat="1">
      <c r="A118" s="309" t="str">
        <f>HYPERLINK("http://www.wantgoo.com/stock/chart.aspx?stockno=5511","5511")</f>
        <v>5511</v>
      </c>
      <c r="B118" s="310"/>
      <c r="C118" s="311">
        <f>VLOOKUP(5511,季財報!A:H,3)</f>
        <v>0</v>
      </c>
      <c r="D118" s="311">
        <f>VLOOKUP(5511,季財報!A:H,4)</f>
        <v>0</v>
      </c>
      <c r="E118" s="311">
        <f>VLOOKUP(5511,季財報!A:H,5)</f>
        <v>0</v>
      </c>
      <c r="F118" s="311">
        <f>VLOOKUP(5511,季財報!A:H,6)</f>
        <v>0</v>
      </c>
      <c r="G118" s="311">
        <f>VLOOKUP(5511,季財報!A:H,7)</f>
        <v>0</v>
      </c>
      <c r="H118" s="312"/>
      <c r="I118" s="312"/>
      <c r="J118" s="312"/>
      <c r="K118" s="312"/>
      <c r="L118" s="312"/>
      <c r="M118" s="313"/>
      <c r="N118" s="312">
        <f t="shared" si="1"/>
        <v>0</v>
      </c>
      <c r="O118" s="314"/>
      <c r="P118" s="314"/>
      <c r="Q118" s="314"/>
      <c r="R118" s="314"/>
      <c r="S118" s="315"/>
    </row>
    <row r="119" spans="1:19" s="317" customFormat="1">
      <c r="A119" s="309" t="str">
        <f>HYPERLINK("http://www.wantgoo.com/stock/chart.aspx?stockno=6224","6224")</f>
        <v>6224</v>
      </c>
      <c r="B119" s="310"/>
      <c r="C119" s="311">
        <f>VLOOKUP(6224,季財報!A:H,3)</f>
        <v>0</v>
      </c>
      <c r="D119" s="311">
        <f>VLOOKUP(6224,季財報!A:H,4)</f>
        <v>1</v>
      </c>
      <c r="E119" s="311">
        <f>VLOOKUP(6224,季財報!A:H,5)</f>
        <v>0</v>
      </c>
      <c r="F119" s="311">
        <f>VLOOKUP(6224,季財報!A:H,6)</f>
        <v>1</v>
      </c>
      <c r="G119" s="311">
        <f>VLOOKUP(6224,季財報!A:H,7)</f>
        <v>0</v>
      </c>
      <c r="H119" s="312"/>
      <c r="I119" s="312"/>
      <c r="J119" s="312"/>
      <c r="K119" s="312"/>
      <c r="L119" s="312"/>
      <c r="M119" s="313"/>
      <c r="N119" s="312">
        <f t="shared" si="1"/>
        <v>2</v>
      </c>
      <c r="O119" s="314"/>
      <c r="P119" s="314"/>
      <c r="Q119" s="314"/>
      <c r="R119" s="314"/>
      <c r="S119" s="315"/>
    </row>
    <row r="120" spans="1:19" s="317" customFormat="1">
      <c r="A120" s="309" t="str">
        <f>HYPERLINK("http://www.wantgoo.com/stock/chart.aspx?stockno=5276","5276")</f>
        <v>5276</v>
      </c>
      <c r="B120" s="310"/>
      <c r="C120" s="311">
        <f>VLOOKUP(5276,季財報!A:H,3)</f>
        <v>0</v>
      </c>
      <c r="D120" s="311">
        <f>VLOOKUP(5276,季財報!A:H,4)</f>
        <v>1</v>
      </c>
      <c r="E120" s="311">
        <f>VLOOKUP(5276,季財報!A:H,5)</f>
        <v>0</v>
      </c>
      <c r="F120" s="311">
        <f>VLOOKUP(5276,季財報!A:H,6)</f>
        <v>1</v>
      </c>
      <c r="G120" s="311">
        <f>VLOOKUP(5276,季財報!A:H,7)</f>
        <v>0</v>
      </c>
      <c r="H120" s="312"/>
      <c r="I120" s="312"/>
      <c r="J120" s="312"/>
      <c r="K120" s="312"/>
      <c r="L120" s="312"/>
      <c r="M120" s="313"/>
      <c r="N120" s="312">
        <f t="shared" si="1"/>
        <v>2</v>
      </c>
      <c r="O120" s="314"/>
      <c r="P120" s="314"/>
      <c r="Q120" s="314"/>
      <c r="R120" s="314"/>
      <c r="S120" s="315"/>
    </row>
    <row r="121" spans="1:19" s="317" customFormat="1">
      <c r="A121" s="309" t="str">
        <f>HYPERLINK("http://www.wantgoo.com/stock/chart.aspx?stockno=1526","1526")</f>
        <v>1526</v>
      </c>
      <c r="B121" s="310"/>
      <c r="C121" s="311">
        <f>VLOOKUP(1526,季財報!A:H,3)</f>
        <v>1</v>
      </c>
      <c r="D121" s="311">
        <f>VLOOKUP(1526,季財報!A:H,4)</f>
        <v>1</v>
      </c>
      <c r="E121" s="311">
        <f>VLOOKUP(1526,季財報!A:H,5)</f>
        <v>0</v>
      </c>
      <c r="F121" s="311">
        <f>VLOOKUP(1526,季財報!A:H,6)</f>
        <v>0</v>
      </c>
      <c r="G121" s="311">
        <f>VLOOKUP(1526,季財報!A:H,7)</f>
        <v>1</v>
      </c>
      <c r="H121" s="312"/>
      <c r="I121" s="312"/>
      <c r="J121" s="312"/>
      <c r="K121" s="312"/>
      <c r="L121" s="312"/>
      <c r="M121" s="313"/>
      <c r="N121" s="312">
        <f t="shared" si="1"/>
        <v>3</v>
      </c>
      <c r="O121" s="314"/>
      <c r="P121" s="314"/>
      <c r="Q121" s="314"/>
      <c r="R121" s="314"/>
      <c r="S121" s="315"/>
    </row>
    <row r="122" spans="1:19" s="317" customFormat="1">
      <c r="A122" s="309" t="str">
        <f>HYPERLINK("http://www.wantgoo.com/stock/chart.aspx?stockno=1541","1541")</f>
        <v>1541</v>
      </c>
      <c r="B122" s="310"/>
      <c r="C122" s="311">
        <f>VLOOKUP(1541,季財報!A:H,3)</f>
        <v>1</v>
      </c>
      <c r="D122" s="311">
        <f>VLOOKUP(1541,季財報!A:H,4)</f>
        <v>1</v>
      </c>
      <c r="E122" s="311">
        <f>VLOOKUP(1541,季財報!A:H,5)</f>
        <v>2</v>
      </c>
      <c r="F122" s="311">
        <f>VLOOKUP(1541,季財報!A:H,6)</f>
        <v>0</v>
      </c>
      <c r="G122" s="311">
        <f>VLOOKUP(1541,季財報!A:H,7)</f>
        <v>0</v>
      </c>
      <c r="H122" s="312"/>
      <c r="I122" s="312"/>
      <c r="J122" s="312"/>
      <c r="K122" s="312"/>
      <c r="L122" s="312"/>
      <c r="M122" s="313"/>
      <c r="N122" s="312">
        <f t="shared" si="1"/>
        <v>4</v>
      </c>
      <c r="O122" s="314"/>
      <c r="P122" s="314"/>
      <c r="Q122" s="314"/>
      <c r="R122" s="314"/>
      <c r="S122" s="315"/>
    </row>
    <row r="123" spans="1:19" s="317" customFormat="1">
      <c r="A123" s="309" t="str">
        <f>HYPERLINK("http://www.wantgoo.com/stock/chart.aspx?stockno=2351","2351")</f>
        <v>2351</v>
      </c>
      <c r="B123" s="310"/>
      <c r="C123" s="311">
        <f>VLOOKUP(2351,季財報!A:H,3)</f>
        <v>0</v>
      </c>
      <c r="D123" s="311">
        <f>VLOOKUP(2351,季財報!A:H,4)</f>
        <v>1</v>
      </c>
      <c r="E123" s="311">
        <f>VLOOKUP(2351,季財報!A:H,5)</f>
        <v>0</v>
      </c>
      <c r="F123" s="311">
        <f>VLOOKUP(2351,季財報!A:H,6)</f>
        <v>1</v>
      </c>
      <c r="G123" s="311">
        <f>VLOOKUP(2351,季財報!A:H,7)</f>
        <v>0</v>
      </c>
      <c r="H123" s="312"/>
      <c r="I123" s="312"/>
      <c r="J123" s="312"/>
      <c r="K123" s="312"/>
      <c r="L123" s="312"/>
      <c r="M123" s="313"/>
      <c r="N123" s="312">
        <f t="shared" si="1"/>
        <v>2</v>
      </c>
      <c r="O123" s="314"/>
      <c r="P123" s="314"/>
      <c r="Q123" s="314"/>
      <c r="R123" s="314"/>
      <c r="S123" s="315"/>
    </row>
    <row r="124" spans="1:19" s="317" customFormat="1">
      <c r="A124" s="309" t="str">
        <f>HYPERLINK("http://www.wantgoo.com/stock/chart.aspx?stockno=4952","4952")</f>
        <v>4952</v>
      </c>
      <c r="B124" s="310"/>
      <c r="C124" s="311">
        <f>VLOOKUP(4952,季財報!A:H,3)</f>
        <v>1</v>
      </c>
      <c r="D124" s="311">
        <f>VLOOKUP(4952,季財報!A:H,4)</f>
        <v>1</v>
      </c>
      <c r="E124" s="311">
        <f>VLOOKUP(4952,季財報!A:H,5)</f>
        <v>0</v>
      </c>
      <c r="F124" s="311">
        <f>VLOOKUP(4952,季財報!A:H,6)</f>
        <v>1</v>
      </c>
      <c r="G124" s="311">
        <f>VLOOKUP(4952,季財報!A:H,7)</f>
        <v>0</v>
      </c>
      <c r="H124" s="312"/>
      <c r="I124" s="312"/>
      <c r="J124" s="312"/>
      <c r="K124" s="312"/>
      <c r="L124" s="312"/>
      <c r="M124" s="313"/>
      <c r="N124" s="312">
        <f t="shared" si="1"/>
        <v>3</v>
      </c>
      <c r="O124" s="314"/>
      <c r="P124" s="314"/>
      <c r="Q124" s="314"/>
      <c r="R124" s="314"/>
      <c r="S124" s="315"/>
    </row>
    <row r="125" spans="1:19" s="317" customFormat="1">
      <c r="A125" s="309" t="str">
        <f>HYPERLINK("http://www.wantgoo.com/stock/chart.aspx?stockno=3290","3290")</f>
        <v>3290</v>
      </c>
      <c r="B125" s="310"/>
      <c r="C125" s="311">
        <f>VLOOKUP(3290,季財報!A:H,3)</f>
        <v>0</v>
      </c>
      <c r="D125" s="311">
        <f>VLOOKUP(3290,季財報!A:H,4)</f>
        <v>0</v>
      </c>
      <c r="E125" s="311">
        <f>VLOOKUP(3290,季財報!A:H,5)</f>
        <v>1</v>
      </c>
      <c r="F125" s="311">
        <f>VLOOKUP(3290,季財報!A:H,6)</f>
        <v>0</v>
      </c>
      <c r="G125" s="311">
        <f>VLOOKUP(3290,季財報!A:H,7)</f>
        <v>0</v>
      </c>
      <c r="H125" s="312"/>
      <c r="I125" s="312"/>
      <c r="J125" s="312"/>
      <c r="K125" s="312"/>
      <c r="L125" s="312"/>
      <c r="M125" s="313"/>
      <c r="N125" s="312">
        <f t="shared" si="1"/>
        <v>1</v>
      </c>
      <c r="O125" s="314"/>
      <c r="P125" s="314"/>
      <c r="Q125" s="314"/>
      <c r="R125" s="314"/>
      <c r="S125" s="315"/>
    </row>
    <row r="126" spans="1:19" s="317" customFormat="1">
      <c r="A126" s="309" t="str">
        <f>HYPERLINK("http://www.wantgoo.com/stock/chart.aspx?stockno=1599","1599")</f>
        <v>1599</v>
      </c>
      <c r="B126" s="310"/>
      <c r="C126" s="311">
        <f>VLOOKUP(1599,季財報!A:H,3)</f>
        <v>1</v>
      </c>
      <c r="D126" s="311">
        <f>VLOOKUP(1599,季財報!A:H,4)</f>
        <v>1</v>
      </c>
      <c r="E126" s="311">
        <f>VLOOKUP(1599,季財報!A:H,5)</f>
        <v>0</v>
      </c>
      <c r="F126" s="311">
        <f>VLOOKUP(1599,季財報!A:H,6)</f>
        <v>1</v>
      </c>
      <c r="G126" s="311">
        <f>VLOOKUP(1599,季財報!A:H,7)</f>
        <v>1</v>
      </c>
      <c r="H126" s="312"/>
      <c r="I126" s="312"/>
      <c r="J126" s="312"/>
      <c r="K126" s="312"/>
      <c r="L126" s="312"/>
      <c r="M126" s="313"/>
      <c r="N126" s="312">
        <f t="shared" si="1"/>
        <v>4</v>
      </c>
      <c r="O126" s="314"/>
      <c r="P126" s="314"/>
      <c r="Q126" s="314"/>
      <c r="R126" s="314"/>
      <c r="S126" s="315"/>
    </row>
    <row r="127" spans="1:19" s="317" customFormat="1">
      <c r="A127" s="309" t="str">
        <f>HYPERLINK("http://www.wantgoo.com/stock/chart.aspx?stockno=5434","5434")</f>
        <v>5434</v>
      </c>
      <c r="B127" s="310"/>
      <c r="C127" s="311">
        <f>VLOOKUP(5434,季財報!A:H,3)</f>
        <v>1</v>
      </c>
      <c r="D127" s="311">
        <f>VLOOKUP(5434,季財報!A:H,4)</f>
        <v>1</v>
      </c>
      <c r="E127" s="311">
        <f>VLOOKUP(5434,季財報!A:H,5)</f>
        <v>0</v>
      </c>
      <c r="F127" s="311">
        <f>VLOOKUP(5434,季財報!A:H,6)</f>
        <v>1</v>
      </c>
      <c r="G127" s="311">
        <f>VLOOKUP(5434,季財報!A:H,7)</f>
        <v>0</v>
      </c>
      <c r="H127" s="312"/>
      <c r="I127" s="312"/>
      <c r="J127" s="312"/>
      <c r="K127" s="312"/>
      <c r="L127" s="312"/>
      <c r="M127" s="313"/>
      <c r="N127" s="312">
        <f t="shared" si="1"/>
        <v>3</v>
      </c>
      <c r="O127" s="314"/>
      <c r="P127" s="314"/>
      <c r="Q127" s="314"/>
      <c r="R127" s="314"/>
      <c r="S127" s="315"/>
    </row>
    <row r="128" spans="1:19" s="317" customFormat="1">
      <c r="A128" s="309" t="str">
        <f>HYPERLINK("http://www.wantgoo.com/stock/chart.aspx?stockno=8066","8066")</f>
        <v>8066</v>
      </c>
      <c r="B128" s="310"/>
      <c r="C128" s="311">
        <f>VLOOKUP(8066,季財報!A:H,3)</f>
        <v>1</v>
      </c>
      <c r="D128" s="311">
        <f>VLOOKUP(8066,季財報!A:H,4)</f>
        <v>1</v>
      </c>
      <c r="E128" s="311">
        <f>VLOOKUP(8066,季財報!A:H,5)</f>
        <v>1</v>
      </c>
      <c r="F128" s="311">
        <f>VLOOKUP(8066,季財報!A:H,6)</f>
        <v>1</v>
      </c>
      <c r="G128" s="311">
        <f>VLOOKUP(8066,季財報!A:H,7)</f>
        <v>0</v>
      </c>
      <c r="H128" s="312"/>
      <c r="I128" s="312"/>
      <c r="J128" s="312"/>
      <c r="K128" s="312"/>
      <c r="L128" s="312"/>
      <c r="M128" s="313"/>
      <c r="N128" s="312">
        <f t="shared" si="1"/>
        <v>4</v>
      </c>
      <c r="O128" s="314"/>
      <c r="P128" s="314"/>
      <c r="Q128" s="314"/>
      <c r="R128" s="314"/>
      <c r="S128" s="315"/>
    </row>
    <row r="129" spans="1:19" s="317" customFormat="1">
      <c r="A129" s="309" t="str">
        <f>HYPERLINK("http://www.wantgoo.com/stock/chart.aspx?stockno=1773","1773")</f>
        <v>1773</v>
      </c>
      <c r="B129" s="310"/>
      <c r="C129" s="311">
        <f>VLOOKUP(1773,季財報!A:H,3)</f>
        <v>1</v>
      </c>
      <c r="D129" s="311">
        <f>VLOOKUP(1773,季財報!A:H,4)</f>
        <v>1</v>
      </c>
      <c r="E129" s="311">
        <f>VLOOKUP(1773,季財報!A:H,5)</f>
        <v>2</v>
      </c>
      <c r="F129" s="311">
        <f>VLOOKUP(1773,季財報!A:H,6)</f>
        <v>1</v>
      </c>
      <c r="G129" s="311">
        <f>VLOOKUP(1773,季財報!A:H,7)</f>
        <v>0</v>
      </c>
      <c r="H129" s="312"/>
      <c r="I129" s="312"/>
      <c r="J129" s="312"/>
      <c r="K129" s="312"/>
      <c r="L129" s="312"/>
      <c r="M129" s="313"/>
      <c r="N129" s="312">
        <f t="shared" si="1"/>
        <v>5</v>
      </c>
      <c r="O129" s="314"/>
      <c r="P129" s="314"/>
      <c r="Q129" s="314"/>
      <c r="R129" s="314"/>
      <c r="S129" s="315"/>
    </row>
    <row r="130" spans="1:19" s="317" customFormat="1">
      <c r="A130" s="309" t="str">
        <f>HYPERLINK("http://www.wantgoo.com/stock/chart.aspx?stockno=3563","3563")</f>
        <v>3563</v>
      </c>
      <c r="B130" s="310"/>
      <c r="C130" s="311">
        <f>VLOOKUP(3563,季財報!A:H,3)</f>
        <v>1</v>
      </c>
      <c r="D130" s="311">
        <f>VLOOKUP(3563,季財報!A:H,4)</f>
        <v>1</v>
      </c>
      <c r="E130" s="311">
        <f>VLOOKUP(3563,季財報!A:H,5)</f>
        <v>0</v>
      </c>
      <c r="F130" s="311">
        <f>VLOOKUP(3563,季財報!A:H,6)</f>
        <v>0</v>
      </c>
      <c r="G130" s="311">
        <f>VLOOKUP(3563,季財報!A:H,7)</f>
        <v>0</v>
      </c>
      <c r="H130" s="312"/>
      <c r="I130" s="312"/>
      <c r="J130" s="312"/>
      <c r="K130" s="312"/>
      <c r="L130" s="312"/>
      <c r="M130" s="313"/>
      <c r="N130" s="312">
        <f t="shared" si="1"/>
        <v>2</v>
      </c>
      <c r="O130" s="314"/>
      <c r="P130" s="314"/>
      <c r="Q130" s="314"/>
      <c r="R130" s="314"/>
      <c r="S130" s="315"/>
    </row>
    <row r="131" spans="1:19" s="317" customFormat="1">
      <c r="A131" s="309" t="str">
        <f>HYPERLINK("http://www.wantgoo.com/stock/chart.aspx?stockno=6104","6104")</f>
        <v>6104</v>
      </c>
      <c r="B131" s="310"/>
      <c r="C131" s="311">
        <f>VLOOKUP(6104,季財報!A:H,3)</f>
        <v>0</v>
      </c>
      <c r="D131" s="311">
        <f>VLOOKUP(6104,季財報!A:H,4)</f>
        <v>1</v>
      </c>
      <c r="E131" s="311">
        <f>VLOOKUP(6104,季財報!A:H,5)</f>
        <v>0</v>
      </c>
      <c r="F131" s="311">
        <f>VLOOKUP(6104,季財報!A:H,6)</f>
        <v>1</v>
      </c>
      <c r="G131" s="311">
        <f>VLOOKUP(6104,季財報!A:H,7)</f>
        <v>0</v>
      </c>
      <c r="H131" s="312"/>
      <c r="I131" s="312"/>
      <c r="J131" s="312"/>
      <c r="K131" s="312"/>
      <c r="L131" s="312"/>
      <c r="M131" s="313"/>
      <c r="N131" s="312">
        <f t="shared" si="1"/>
        <v>2</v>
      </c>
      <c r="O131" s="314"/>
      <c r="P131" s="314"/>
      <c r="Q131" s="314"/>
      <c r="R131" s="314"/>
      <c r="S131" s="315"/>
    </row>
    <row r="132" spans="1:19" s="317" customFormat="1">
      <c r="A132" s="309" t="str">
        <f>HYPERLINK("http://www.wantgoo.com/stock/chart.aspx?stockno=3541","3541")</f>
        <v>3541</v>
      </c>
      <c r="B132" s="310"/>
      <c r="C132" s="311">
        <f>VLOOKUP(3541,季財報!A:H,3)</f>
        <v>0</v>
      </c>
      <c r="D132" s="311">
        <f>VLOOKUP(3541,季財報!A:H,4)</f>
        <v>1</v>
      </c>
      <c r="E132" s="311">
        <f>VLOOKUP(3541,季財報!A:H,5)</f>
        <v>1</v>
      </c>
      <c r="F132" s="311">
        <f>VLOOKUP(3541,季財報!A:H,6)</f>
        <v>1</v>
      </c>
      <c r="G132" s="311">
        <f>VLOOKUP(3541,季財報!A:H,7)</f>
        <v>0</v>
      </c>
      <c r="H132" s="312"/>
      <c r="I132" s="312"/>
      <c r="J132" s="312"/>
      <c r="K132" s="312"/>
      <c r="L132" s="312"/>
      <c r="M132" s="313"/>
      <c r="N132" s="312">
        <f t="shared" ref="N132:N195" si="2">SUM(C132:M132)</f>
        <v>3</v>
      </c>
      <c r="O132" s="314"/>
      <c r="P132" s="314"/>
      <c r="Q132" s="314"/>
      <c r="R132" s="314"/>
      <c r="S132" s="315"/>
    </row>
    <row r="133" spans="1:19" s="317" customFormat="1">
      <c r="A133" s="309" t="str">
        <f>HYPERLINK("http://www.wantgoo.com/stock/chart.aspx?stockno=5519","5519")</f>
        <v>5519</v>
      </c>
      <c r="B133" s="310"/>
      <c r="C133" s="311">
        <f>VLOOKUP(5519,季財報!A:H,3)</f>
        <v>0</v>
      </c>
      <c r="D133" s="311">
        <f>VLOOKUP(5519,季財報!A:H,4)</f>
        <v>1</v>
      </c>
      <c r="E133" s="311">
        <f>VLOOKUP(5519,季財報!A:H,5)</f>
        <v>0</v>
      </c>
      <c r="F133" s="311">
        <f>VLOOKUP(5519,季財報!A:H,6)</f>
        <v>1</v>
      </c>
      <c r="G133" s="311">
        <f>VLOOKUP(5519,季財報!A:H,7)</f>
        <v>0</v>
      </c>
      <c r="H133" s="312"/>
      <c r="I133" s="312"/>
      <c r="J133" s="312"/>
      <c r="K133" s="312"/>
      <c r="L133" s="312"/>
      <c r="M133" s="313"/>
      <c r="N133" s="312">
        <f t="shared" si="2"/>
        <v>2</v>
      </c>
      <c r="O133" s="314"/>
      <c r="P133" s="314"/>
      <c r="Q133" s="314"/>
      <c r="R133" s="314"/>
      <c r="S133" s="315"/>
    </row>
    <row r="134" spans="1:19" s="317" customFormat="1">
      <c r="A134" s="309" t="str">
        <f>HYPERLINK("http://www.wantgoo.com/stock/chart.aspx?stockno=3008","3008")</f>
        <v>3008</v>
      </c>
      <c r="B134" s="310"/>
      <c r="C134" s="311">
        <f>VLOOKUP(3008,季財報!A:H,3)</f>
        <v>1</v>
      </c>
      <c r="D134" s="311">
        <f>VLOOKUP(3008,季財報!A:H,4)</f>
        <v>1</v>
      </c>
      <c r="E134" s="311">
        <f>VLOOKUP(3008,季財報!A:H,5)</f>
        <v>0</v>
      </c>
      <c r="F134" s="311">
        <f>VLOOKUP(3008,季財報!A:H,6)</f>
        <v>1</v>
      </c>
      <c r="G134" s="311">
        <f>VLOOKUP(3008,季財報!A:H,7)</f>
        <v>0</v>
      </c>
      <c r="H134" s="312"/>
      <c r="I134" s="312"/>
      <c r="J134" s="312"/>
      <c r="K134" s="312"/>
      <c r="L134" s="312"/>
      <c r="M134" s="313"/>
      <c r="N134" s="312">
        <f t="shared" si="2"/>
        <v>3</v>
      </c>
      <c r="O134" s="314"/>
      <c r="P134" s="314"/>
      <c r="Q134" s="314"/>
      <c r="R134" s="314"/>
      <c r="S134" s="315"/>
    </row>
    <row r="135" spans="1:19" s="317" customFormat="1">
      <c r="A135" s="309" t="str">
        <f>HYPERLINK("http://www.wantgoo.com/stock/chart.aspx?stockno=5215","5215")</f>
        <v>5215</v>
      </c>
      <c r="B135" s="310"/>
      <c r="C135" s="311">
        <f>VLOOKUP(5215,季財報!A:H,3)</f>
        <v>0</v>
      </c>
      <c r="D135" s="311">
        <f>VLOOKUP(5215,季財報!A:H,4)</f>
        <v>1</v>
      </c>
      <c r="E135" s="311">
        <f>VLOOKUP(5215,季財報!A:H,5)</f>
        <v>2</v>
      </c>
      <c r="F135" s="311">
        <f>VLOOKUP(5215,季財報!A:H,6)</f>
        <v>1</v>
      </c>
      <c r="G135" s="311">
        <f>VLOOKUP(5215,季財報!A:H,7)</f>
        <v>0</v>
      </c>
      <c r="H135" s="312"/>
      <c r="I135" s="312"/>
      <c r="J135" s="312"/>
      <c r="K135" s="312"/>
      <c r="L135" s="312"/>
      <c r="M135" s="313"/>
      <c r="N135" s="312">
        <f t="shared" si="2"/>
        <v>4</v>
      </c>
      <c r="O135" s="314"/>
      <c r="P135" s="314"/>
      <c r="Q135" s="314"/>
      <c r="R135" s="314"/>
      <c r="S135" s="315"/>
    </row>
    <row r="136" spans="1:19" s="317" customFormat="1">
      <c r="A136" s="309" t="str">
        <f>HYPERLINK("http://www.wantgoo.com/stock/chart.aspx?stockno=6143","6143")</f>
        <v>6143</v>
      </c>
      <c r="B136" s="310"/>
      <c r="C136" s="311">
        <f>VLOOKUP(6143,季財報!A:H,3)</f>
        <v>1</v>
      </c>
      <c r="D136" s="311">
        <f>VLOOKUP(6143,季財報!A:H,4)</f>
        <v>1</v>
      </c>
      <c r="E136" s="311">
        <f>VLOOKUP(6143,季財報!A:H,5)</f>
        <v>2</v>
      </c>
      <c r="F136" s="311">
        <f>VLOOKUP(6143,季財報!A:H,6)</f>
        <v>1</v>
      </c>
      <c r="G136" s="311">
        <f>VLOOKUP(6143,季財報!A:H,7)</f>
        <v>0</v>
      </c>
      <c r="H136" s="312"/>
      <c r="I136" s="312"/>
      <c r="J136" s="312"/>
      <c r="K136" s="312"/>
      <c r="L136" s="312"/>
      <c r="M136" s="313"/>
      <c r="N136" s="312">
        <f t="shared" si="2"/>
        <v>5</v>
      </c>
      <c r="O136" s="314"/>
      <c r="P136" s="314"/>
      <c r="Q136" s="314"/>
      <c r="R136" s="314"/>
      <c r="S136" s="315"/>
    </row>
    <row r="137" spans="1:19" s="317" customFormat="1">
      <c r="A137" s="309" t="str">
        <f>HYPERLINK("http://www.wantgoo.com/stock/chart.aspx?stockno=2904","2904")</f>
        <v>2904</v>
      </c>
      <c r="B137" s="310"/>
      <c r="C137" s="311">
        <f>VLOOKUP(2904,季財報!A:H,3)</f>
        <v>0</v>
      </c>
      <c r="D137" s="311">
        <f>VLOOKUP(2904,季財報!A:H,4)</f>
        <v>1</v>
      </c>
      <c r="E137" s="311">
        <f>VLOOKUP(2904,季財報!A:H,5)</f>
        <v>1</v>
      </c>
      <c r="F137" s="311">
        <f>VLOOKUP(2904,季財報!A:H,6)</f>
        <v>1</v>
      </c>
      <c r="G137" s="311">
        <f>VLOOKUP(2904,季財報!A:H,7)</f>
        <v>0</v>
      </c>
      <c r="H137" s="312"/>
      <c r="I137" s="312"/>
      <c r="J137" s="312"/>
      <c r="K137" s="312"/>
      <c r="L137" s="312"/>
      <c r="M137" s="313"/>
      <c r="N137" s="312">
        <f t="shared" si="2"/>
        <v>3</v>
      </c>
      <c r="O137" s="314"/>
      <c r="P137" s="314"/>
      <c r="Q137" s="314"/>
      <c r="R137" s="314"/>
      <c r="S137" s="315"/>
    </row>
    <row r="138" spans="1:19" s="317" customFormat="1">
      <c r="A138" s="309" t="str">
        <f>HYPERLINK("http://www.wantgoo.com/stock/chart.aspx?stockno=1708","1708")</f>
        <v>1708</v>
      </c>
      <c r="B138" s="310"/>
      <c r="C138" s="311">
        <f>VLOOKUP(1708,季財報!A:H,3)</f>
        <v>1</v>
      </c>
      <c r="D138" s="311">
        <f>VLOOKUP(1708,季財報!A:H,4)</f>
        <v>1</v>
      </c>
      <c r="E138" s="311">
        <f>VLOOKUP(1708,季財報!A:H,5)</f>
        <v>1</v>
      </c>
      <c r="F138" s="311">
        <f>VLOOKUP(1708,季財報!A:H,6)</f>
        <v>1</v>
      </c>
      <c r="G138" s="311">
        <f>VLOOKUP(1708,季財報!A:H,7)</f>
        <v>0</v>
      </c>
      <c r="H138" s="312"/>
      <c r="I138" s="312"/>
      <c r="J138" s="312"/>
      <c r="K138" s="312"/>
      <c r="L138" s="312"/>
      <c r="M138" s="313"/>
      <c r="N138" s="312">
        <f t="shared" si="2"/>
        <v>4</v>
      </c>
      <c r="O138" s="314"/>
      <c r="P138" s="314"/>
      <c r="Q138" s="314"/>
      <c r="R138" s="314"/>
      <c r="S138" s="315"/>
    </row>
    <row r="139" spans="1:19" s="317" customFormat="1">
      <c r="A139" s="309" t="str">
        <f>HYPERLINK("http://www.wantgoo.com/stock/chart.aspx?stockno=6451","6451")</f>
        <v>6451</v>
      </c>
      <c r="B139" s="310"/>
      <c r="C139" s="311">
        <f>VLOOKUP(6451,季財報!A:H,3)</f>
        <v>0</v>
      </c>
      <c r="D139" s="311">
        <f>VLOOKUP(6451,季財報!A:H,4)</f>
        <v>1</v>
      </c>
      <c r="E139" s="311">
        <f>VLOOKUP(6451,季財報!A:H,5)</f>
        <v>0</v>
      </c>
      <c r="F139" s="311">
        <f>VLOOKUP(6451,季財報!A:H,6)</f>
        <v>0</v>
      </c>
      <c r="G139" s="311">
        <f>VLOOKUP(6451,季財報!A:H,7)</f>
        <v>0</v>
      </c>
      <c r="H139" s="312"/>
      <c r="I139" s="312"/>
      <c r="J139" s="312"/>
      <c r="K139" s="312"/>
      <c r="L139" s="312"/>
      <c r="M139" s="313"/>
      <c r="N139" s="312">
        <f t="shared" si="2"/>
        <v>1</v>
      </c>
      <c r="O139" s="314"/>
      <c r="P139" s="314"/>
      <c r="Q139" s="314"/>
      <c r="R139" s="314"/>
      <c r="S139" s="315"/>
    </row>
    <row r="140" spans="1:19" s="317" customFormat="1">
      <c r="A140" s="309" t="str">
        <f>HYPERLINK("http://www.wantgoo.com/stock/chart.aspx?stockno=2497","2497")</f>
        <v>2497</v>
      </c>
      <c r="B140" s="310"/>
      <c r="C140" s="311">
        <f>VLOOKUP(2497,季財報!A:H,3)</f>
        <v>0</v>
      </c>
      <c r="D140" s="311">
        <f>VLOOKUP(2497,季財報!A:H,4)</f>
        <v>1</v>
      </c>
      <c r="E140" s="311">
        <f>VLOOKUP(2497,季財報!A:H,5)</f>
        <v>0</v>
      </c>
      <c r="F140" s="311">
        <f>VLOOKUP(2497,季財報!A:H,6)</f>
        <v>0</v>
      </c>
      <c r="G140" s="311">
        <f>VLOOKUP(2497,季財報!A:H,7)</f>
        <v>0</v>
      </c>
      <c r="H140" s="312"/>
      <c r="I140" s="312"/>
      <c r="J140" s="312"/>
      <c r="K140" s="312"/>
      <c r="L140" s="312"/>
      <c r="M140" s="313"/>
      <c r="N140" s="312">
        <f t="shared" si="2"/>
        <v>1</v>
      </c>
      <c r="O140" s="314"/>
      <c r="P140" s="314"/>
      <c r="Q140" s="314"/>
      <c r="R140" s="314"/>
      <c r="S140" s="315"/>
    </row>
    <row r="141" spans="1:19" s="317" customFormat="1">
      <c r="A141" s="309" t="str">
        <f>HYPERLINK("http://www.wantgoo.com/stock/chart.aspx?stockno=5264","5264")</f>
        <v>5264</v>
      </c>
      <c r="B141" s="310"/>
      <c r="C141" s="311">
        <f>VLOOKUP(5264,季財報!A:H,3)</f>
        <v>1</v>
      </c>
      <c r="D141" s="311">
        <f>VLOOKUP(5264,季財報!A:H,4)</f>
        <v>1</v>
      </c>
      <c r="E141" s="311">
        <f>VLOOKUP(5264,季財報!A:H,5)</f>
        <v>0</v>
      </c>
      <c r="F141" s="311">
        <f>VLOOKUP(5264,季財報!A:H,6)</f>
        <v>1</v>
      </c>
      <c r="G141" s="311">
        <f>VLOOKUP(5264,季財報!A:H,7)</f>
        <v>0</v>
      </c>
      <c r="H141" s="312"/>
      <c r="I141" s="312"/>
      <c r="J141" s="312"/>
      <c r="K141" s="312"/>
      <c r="L141" s="312"/>
      <c r="M141" s="313"/>
      <c r="N141" s="312">
        <f t="shared" si="2"/>
        <v>3</v>
      </c>
      <c r="O141" s="314"/>
      <c r="P141" s="314"/>
      <c r="Q141" s="314"/>
      <c r="R141" s="314"/>
      <c r="S141" s="315"/>
    </row>
    <row r="142" spans="1:19" s="317" customFormat="1">
      <c r="A142" s="309" t="str">
        <f>HYPERLINK("http://www.wantgoo.com/stock/chart.aspx?stockno=3528","3528")</f>
        <v>3528</v>
      </c>
      <c r="B142" s="310"/>
      <c r="C142" s="311">
        <f>VLOOKUP(3528,季財報!A:H,3)</f>
        <v>0</v>
      </c>
      <c r="D142" s="311">
        <f>VLOOKUP(3528,季財報!A:H,4)</f>
        <v>1</v>
      </c>
      <c r="E142" s="311">
        <f>VLOOKUP(3528,季財報!A:H,5)</f>
        <v>0</v>
      </c>
      <c r="F142" s="311">
        <f>VLOOKUP(3528,季財報!A:H,6)</f>
        <v>0</v>
      </c>
      <c r="G142" s="311">
        <f>VLOOKUP(3528,季財報!A:H,7)</f>
        <v>0</v>
      </c>
      <c r="H142" s="312"/>
      <c r="I142" s="312"/>
      <c r="J142" s="312"/>
      <c r="K142" s="312"/>
      <c r="L142" s="312"/>
      <c r="M142" s="313"/>
      <c r="N142" s="312">
        <f t="shared" si="2"/>
        <v>1</v>
      </c>
      <c r="O142" s="314"/>
      <c r="P142" s="314"/>
      <c r="Q142" s="314"/>
      <c r="R142" s="314"/>
      <c r="S142" s="315"/>
    </row>
    <row r="143" spans="1:19" s="317" customFormat="1">
      <c r="A143" s="309" t="str">
        <f>HYPERLINK("http://www.wantgoo.com/stock/chart.aspx?stockno=3450","3450")</f>
        <v>3450</v>
      </c>
      <c r="B143" s="310"/>
      <c r="C143" s="311">
        <f>VLOOKUP(3450,季財報!A:H,3)</f>
        <v>1</v>
      </c>
      <c r="D143" s="311">
        <f>VLOOKUP(3450,季財報!A:H,4)</f>
        <v>1</v>
      </c>
      <c r="E143" s="311">
        <f>VLOOKUP(3450,季財報!A:H,5)</f>
        <v>0</v>
      </c>
      <c r="F143" s="311">
        <f>VLOOKUP(3450,季財報!A:H,6)</f>
        <v>1</v>
      </c>
      <c r="G143" s="311">
        <f>VLOOKUP(3450,季財報!A:H,7)</f>
        <v>0</v>
      </c>
      <c r="H143" s="312"/>
      <c r="I143" s="312"/>
      <c r="J143" s="312"/>
      <c r="K143" s="312"/>
      <c r="L143" s="312"/>
      <c r="M143" s="313"/>
      <c r="N143" s="312">
        <f t="shared" si="2"/>
        <v>3</v>
      </c>
      <c r="O143" s="314"/>
      <c r="P143" s="314"/>
      <c r="Q143" s="314"/>
      <c r="R143" s="314"/>
      <c r="S143" s="315"/>
    </row>
    <row r="144" spans="1:19" s="317" customFormat="1">
      <c r="A144" s="309" t="str">
        <f>HYPERLINK("http://www.wantgoo.com/stock/chart.aspx?stockno=4930","4930")</f>
        <v>4930</v>
      </c>
      <c r="B144" s="310"/>
      <c r="C144" s="311">
        <f>VLOOKUP(4930,季財報!A:H,3)</f>
        <v>0</v>
      </c>
      <c r="D144" s="311">
        <f>VLOOKUP(4930,季財報!A:H,4)</f>
        <v>1</v>
      </c>
      <c r="E144" s="311">
        <f>VLOOKUP(4930,季財報!A:H,5)</f>
        <v>1</v>
      </c>
      <c r="F144" s="311">
        <f>VLOOKUP(4930,季財報!A:H,6)</f>
        <v>0</v>
      </c>
      <c r="G144" s="311">
        <f>VLOOKUP(4930,季財報!A:H,7)</f>
        <v>1</v>
      </c>
      <c r="H144" s="312"/>
      <c r="I144" s="312"/>
      <c r="J144" s="312"/>
      <c r="K144" s="312"/>
      <c r="L144" s="312"/>
      <c r="M144" s="313"/>
      <c r="N144" s="312">
        <f t="shared" si="2"/>
        <v>3</v>
      </c>
      <c r="O144" s="314"/>
      <c r="P144" s="314"/>
      <c r="Q144" s="314"/>
      <c r="R144" s="314"/>
      <c r="S144" s="315"/>
    </row>
    <row r="145" spans="1:19" s="317" customFormat="1">
      <c r="A145" s="309" t="str">
        <f>HYPERLINK("http://www.wantgoo.com/stock/chart.aspx?stockno=3498","3498")</f>
        <v>3498</v>
      </c>
      <c r="B145" s="310"/>
      <c r="C145" s="311">
        <f>VLOOKUP(3498,季財報!A:H,3)</f>
        <v>1</v>
      </c>
      <c r="D145" s="311">
        <f>VLOOKUP(3498,季財報!A:H,4)</f>
        <v>1</v>
      </c>
      <c r="E145" s="311">
        <f>VLOOKUP(3498,季財報!A:H,5)</f>
        <v>1</v>
      </c>
      <c r="F145" s="311">
        <f>VLOOKUP(3498,季財報!A:H,6)</f>
        <v>1</v>
      </c>
      <c r="G145" s="311">
        <f>VLOOKUP(3498,季財報!A:H,7)</f>
        <v>0</v>
      </c>
      <c r="H145" s="312"/>
      <c r="I145" s="312"/>
      <c r="J145" s="312"/>
      <c r="K145" s="312"/>
      <c r="L145" s="312"/>
      <c r="M145" s="313"/>
      <c r="N145" s="312">
        <f t="shared" si="2"/>
        <v>4</v>
      </c>
      <c r="O145" s="314"/>
      <c r="P145" s="314"/>
      <c r="Q145" s="314"/>
      <c r="R145" s="314"/>
      <c r="S145" s="315"/>
    </row>
    <row r="146" spans="1:19" s="317" customFormat="1">
      <c r="A146" s="309" t="str">
        <f>HYPERLINK("http://www.wantgoo.com/stock/chart.aspx?stockno=2107","2107")</f>
        <v>2107</v>
      </c>
      <c r="B146" s="310"/>
      <c r="C146" s="311">
        <f>VLOOKUP(2107,季財報!A:H,3)</f>
        <v>0</v>
      </c>
      <c r="D146" s="311">
        <f>VLOOKUP(2107,季財報!A:H,4)</f>
        <v>1</v>
      </c>
      <c r="E146" s="311">
        <f>VLOOKUP(2107,季財報!A:H,5)</f>
        <v>0</v>
      </c>
      <c r="F146" s="311">
        <f>VLOOKUP(2107,季財報!A:H,6)</f>
        <v>1</v>
      </c>
      <c r="G146" s="311">
        <f>VLOOKUP(2107,季財報!A:H,7)</f>
        <v>0</v>
      </c>
      <c r="H146" s="312"/>
      <c r="I146" s="312"/>
      <c r="J146" s="312"/>
      <c r="K146" s="312"/>
      <c r="L146" s="312"/>
      <c r="M146" s="313"/>
      <c r="N146" s="312">
        <f t="shared" si="2"/>
        <v>2</v>
      </c>
      <c r="O146" s="314"/>
      <c r="P146" s="314"/>
      <c r="Q146" s="314"/>
      <c r="R146" s="314"/>
      <c r="S146" s="315"/>
    </row>
    <row r="147" spans="1:19" s="317" customFormat="1">
      <c r="A147" s="309" t="str">
        <f>HYPERLINK("http://www.wantgoo.com/stock/chart.aspx?stockno=3078","3078")</f>
        <v>3078</v>
      </c>
      <c r="B147" s="310"/>
      <c r="C147" s="311">
        <f>VLOOKUP(3078,季財報!A:H,3)</f>
        <v>1</v>
      </c>
      <c r="D147" s="311">
        <f>VLOOKUP(3078,季財報!A:H,4)</f>
        <v>1</v>
      </c>
      <c r="E147" s="311">
        <f>VLOOKUP(3078,季財報!A:H,5)</f>
        <v>2</v>
      </c>
      <c r="F147" s="311">
        <f>VLOOKUP(3078,季財報!A:H,6)</f>
        <v>0</v>
      </c>
      <c r="G147" s="311">
        <f>VLOOKUP(3078,季財報!A:H,7)</f>
        <v>0</v>
      </c>
      <c r="H147" s="312"/>
      <c r="I147" s="312"/>
      <c r="J147" s="312"/>
      <c r="K147" s="312"/>
      <c r="L147" s="312"/>
      <c r="M147" s="313"/>
      <c r="N147" s="312">
        <f t="shared" si="2"/>
        <v>4</v>
      </c>
      <c r="O147" s="314"/>
      <c r="P147" s="314"/>
      <c r="Q147" s="314"/>
      <c r="R147" s="314"/>
      <c r="S147" s="315"/>
    </row>
    <row r="148" spans="1:19" s="317" customFormat="1">
      <c r="A148" s="309" t="str">
        <f>HYPERLINK("http://www.wantgoo.com/stock/chart.aspx?stockno=3356","3356")</f>
        <v>3356</v>
      </c>
      <c r="B148" s="310"/>
      <c r="C148" s="311">
        <f>VLOOKUP(3356,季財報!A:H,3)</f>
        <v>0</v>
      </c>
      <c r="D148" s="311">
        <f>VLOOKUP(3356,季財報!A:H,4)</f>
        <v>1</v>
      </c>
      <c r="E148" s="311">
        <f>VLOOKUP(3356,季財報!A:H,5)</f>
        <v>2</v>
      </c>
      <c r="F148" s="311">
        <f>VLOOKUP(3356,季財報!A:H,6)</f>
        <v>1</v>
      </c>
      <c r="G148" s="311">
        <f>VLOOKUP(3356,季財報!A:H,7)</f>
        <v>0</v>
      </c>
      <c r="H148" s="312"/>
      <c r="I148" s="312"/>
      <c r="J148" s="312"/>
      <c r="K148" s="312"/>
      <c r="L148" s="312"/>
      <c r="M148" s="313"/>
      <c r="N148" s="312">
        <f t="shared" si="2"/>
        <v>4</v>
      </c>
      <c r="O148" s="314"/>
      <c r="P148" s="314"/>
      <c r="Q148" s="314"/>
      <c r="R148" s="314"/>
      <c r="S148" s="315"/>
    </row>
    <row r="149" spans="1:19" s="317" customFormat="1">
      <c r="A149" s="309" t="str">
        <f>HYPERLINK("http://www.wantgoo.com/stock/chart.aspx?stockno=3623","3623")</f>
        <v>3623</v>
      </c>
      <c r="B149" s="310"/>
      <c r="C149" s="311">
        <f>VLOOKUP(3623,季財報!A:H,3)</f>
        <v>0</v>
      </c>
      <c r="D149" s="311">
        <f>VLOOKUP(3623,季財報!A:H,4)</f>
        <v>1</v>
      </c>
      <c r="E149" s="311">
        <f>VLOOKUP(3623,季財報!A:H,5)</f>
        <v>1</v>
      </c>
      <c r="F149" s="311">
        <f>VLOOKUP(3623,季財報!A:H,6)</f>
        <v>1</v>
      </c>
      <c r="G149" s="311">
        <f>VLOOKUP(3623,季財報!A:H,7)</f>
        <v>0</v>
      </c>
      <c r="H149" s="312"/>
      <c r="I149" s="312"/>
      <c r="J149" s="312"/>
      <c r="K149" s="312"/>
      <c r="L149" s="312"/>
      <c r="M149" s="313"/>
      <c r="N149" s="312">
        <f t="shared" si="2"/>
        <v>3</v>
      </c>
      <c r="O149" s="314"/>
      <c r="P149" s="314"/>
      <c r="Q149" s="314"/>
      <c r="R149" s="314"/>
      <c r="S149" s="315"/>
    </row>
    <row r="150" spans="1:19" s="317" customFormat="1">
      <c r="A150" s="309" t="str">
        <f>HYPERLINK("http://www.wantgoo.com/stock/chart.aspx?stockno=5489","5489")</f>
        <v>5489</v>
      </c>
      <c r="B150" s="310"/>
      <c r="C150" s="311">
        <f>VLOOKUP(5489,季財報!A:H,3)</f>
        <v>0</v>
      </c>
      <c r="D150" s="311">
        <f>VLOOKUP(5489,季財報!A:H,4)</f>
        <v>1</v>
      </c>
      <c r="E150" s="311">
        <f>VLOOKUP(5489,季財報!A:H,5)</f>
        <v>0</v>
      </c>
      <c r="F150" s="311">
        <f>VLOOKUP(5489,季財報!A:H,6)</f>
        <v>1</v>
      </c>
      <c r="G150" s="311">
        <f>VLOOKUP(5489,季財報!A:H,7)</f>
        <v>0</v>
      </c>
      <c r="H150" s="312"/>
      <c r="I150" s="312"/>
      <c r="J150" s="312"/>
      <c r="K150" s="312"/>
      <c r="L150" s="312"/>
      <c r="M150" s="313"/>
      <c r="N150" s="312">
        <f t="shared" si="2"/>
        <v>2</v>
      </c>
      <c r="O150" s="314"/>
      <c r="P150" s="314"/>
      <c r="Q150" s="314"/>
      <c r="R150" s="314"/>
      <c r="S150" s="315"/>
    </row>
    <row r="151" spans="1:19" s="317" customFormat="1">
      <c r="A151" s="309" t="str">
        <f>HYPERLINK("http://www.wantgoo.com/stock/chart.aspx?stockno=3038","3038")</f>
        <v>3038</v>
      </c>
      <c r="B151" s="310"/>
      <c r="C151" s="311">
        <f>VLOOKUP(3038,季財報!A:H,3)</f>
        <v>1</v>
      </c>
      <c r="D151" s="311">
        <f>VLOOKUP(3038,季財報!A:H,4)</f>
        <v>1</v>
      </c>
      <c r="E151" s="311">
        <f>VLOOKUP(3038,季財報!A:H,5)</f>
        <v>0</v>
      </c>
      <c r="F151" s="311">
        <f>VLOOKUP(3038,季財報!A:H,6)</f>
        <v>1</v>
      </c>
      <c r="G151" s="311">
        <f>VLOOKUP(3038,季財報!A:H,7)</f>
        <v>0</v>
      </c>
      <c r="H151" s="312"/>
      <c r="I151" s="312"/>
      <c r="J151" s="312"/>
      <c r="K151" s="312"/>
      <c r="L151" s="312"/>
      <c r="M151" s="313"/>
      <c r="N151" s="312">
        <f t="shared" si="2"/>
        <v>3</v>
      </c>
      <c r="O151" s="314"/>
      <c r="P151" s="314"/>
      <c r="Q151" s="314"/>
      <c r="R151" s="314"/>
      <c r="S151" s="315"/>
    </row>
    <row r="152" spans="1:19" s="317" customFormat="1">
      <c r="A152" s="309" t="str">
        <f>HYPERLINK("http://www.wantgoo.com/stock/chart.aspx?stockno=8048","8048")</f>
        <v>8048</v>
      </c>
      <c r="B152" s="310"/>
      <c r="C152" s="311">
        <f>VLOOKUP(8048,季財報!A:H,3)</f>
        <v>1</v>
      </c>
      <c r="D152" s="311">
        <f>VLOOKUP(8048,季財報!A:H,4)</f>
        <v>1</v>
      </c>
      <c r="E152" s="311">
        <f>VLOOKUP(8048,季財報!A:H,5)</f>
        <v>2</v>
      </c>
      <c r="F152" s="311">
        <f>VLOOKUP(8048,季財報!A:H,6)</f>
        <v>1</v>
      </c>
      <c r="G152" s="311">
        <f>VLOOKUP(8048,季財報!A:H,7)</f>
        <v>0</v>
      </c>
      <c r="H152" s="312"/>
      <c r="I152" s="312"/>
      <c r="J152" s="312"/>
      <c r="K152" s="312"/>
      <c r="L152" s="312"/>
      <c r="M152" s="313"/>
      <c r="N152" s="312">
        <f t="shared" si="2"/>
        <v>5</v>
      </c>
      <c r="O152" s="314"/>
      <c r="P152" s="314"/>
      <c r="Q152" s="314"/>
      <c r="R152" s="314"/>
      <c r="S152" s="315"/>
    </row>
    <row r="153" spans="1:19" s="317" customFormat="1">
      <c r="A153" s="309" t="str">
        <f>HYPERLINK("http://www.wantgoo.com/stock/chart.aspx?stockno=3090","3090")</f>
        <v>3090</v>
      </c>
      <c r="B153" s="310"/>
      <c r="C153" s="311">
        <f>VLOOKUP(3090,季財報!A:H,3)</f>
        <v>0</v>
      </c>
      <c r="D153" s="311">
        <f>VLOOKUP(3090,季財報!A:H,4)</f>
        <v>1</v>
      </c>
      <c r="E153" s="311">
        <f>VLOOKUP(3090,季財報!A:H,5)</f>
        <v>0</v>
      </c>
      <c r="F153" s="311">
        <f>VLOOKUP(3090,季財報!A:H,6)</f>
        <v>1</v>
      </c>
      <c r="G153" s="311">
        <f>VLOOKUP(3090,季財報!A:H,7)</f>
        <v>0</v>
      </c>
      <c r="H153" s="312"/>
      <c r="I153" s="312"/>
      <c r="J153" s="312"/>
      <c r="K153" s="312"/>
      <c r="L153" s="312"/>
      <c r="M153" s="313"/>
      <c r="N153" s="312">
        <f t="shared" si="2"/>
        <v>2</v>
      </c>
      <c r="O153" s="314"/>
      <c r="P153" s="314"/>
      <c r="Q153" s="314"/>
      <c r="R153" s="314"/>
      <c r="S153" s="315"/>
    </row>
    <row r="154" spans="1:19" s="317" customFormat="1">
      <c r="A154" s="309" t="str">
        <f>HYPERLINK("http://www.wantgoo.com/stock/chart.aspx?stockno=3005","3005")</f>
        <v>3005</v>
      </c>
      <c r="B154" s="310"/>
      <c r="C154" s="311">
        <f>VLOOKUP(3005,季財報!A:H,3)</f>
        <v>0</v>
      </c>
      <c r="D154" s="311">
        <f>VLOOKUP(3005,季財報!A:H,4)</f>
        <v>1</v>
      </c>
      <c r="E154" s="311">
        <f>VLOOKUP(3005,季財報!A:H,5)</f>
        <v>0</v>
      </c>
      <c r="F154" s="311">
        <f>VLOOKUP(3005,季財報!A:H,6)</f>
        <v>1</v>
      </c>
      <c r="G154" s="311">
        <f>VLOOKUP(3005,季財報!A:H,7)</f>
        <v>0</v>
      </c>
      <c r="H154" s="312"/>
      <c r="I154" s="312"/>
      <c r="J154" s="312"/>
      <c r="K154" s="312"/>
      <c r="L154" s="312"/>
      <c r="M154" s="313"/>
      <c r="N154" s="312">
        <f t="shared" si="2"/>
        <v>2</v>
      </c>
      <c r="O154" s="314"/>
      <c r="P154" s="314"/>
      <c r="Q154" s="314"/>
      <c r="R154" s="314"/>
      <c r="S154" s="315"/>
    </row>
    <row r="155" spans="1:19" s="317" customFormat="1">
      <c r="A155" s="309" t="str">
        <f>HYPERLINK("http://www.wantgoo.com/stock/chart.aspx?stockno=4506","4506")</f>
        <v>4506</v>
      </c>
      <c r="B155" s="310"/>
      <c r="C155" s="311">
        <f>VLOOKUP(4506,季財報!A:H,3)</f>
        <v>1</v>
      </c>
      <c r="D155" s="311">
        <f>VLOOKUP(4506,季財報!A:H,4)</f>
        <v>1</v>
      </c>
      <c r="E155" s="311">
        <f>VLOOKUP(4506,季財報!A:H,5)</f>
        <v>2</v>
      </c>
      <c r="F155" s="311">
        <f>VLOOKUP(4506,季財報!A:H,6)</f>
        <v>1</v>
      </c>
      <c r="G155" s="311">
        <f>VLOOKUP(4506,季財報!A:H,7)</f>
        <v>1</v>
      </c>
      <c r="H155" s="312"/>
      <c r="I155" s="312"/>
      <c r="J155" s="312"/>
      <c r="K155" s="312"/>
      <c r="L155" s="312"/>
      <c r="M155" s="313"/>
      <c r="N155" s="312">
        <f t="shared" si="2"/>
        <v>6</v>
      </c>
      <c r="O155" s="314"/>
      <c r="P155" s="314"/>
      <c r="Q155" s="314"/>
      <c r="R155" s="314"/>
      <c r="S155" s="315"/>
    </row>
    <row r="156" spans="1:19" s="317" customFormat="1">
      <c r="A156" s="309" t="str">
        <f>HYPERLINK("http://www.wantgoo.com/stock/chart.aspx?stockno=1323","1323")</f>
        <v>1323</v>
      </c>
      <c r="B156" s="310"/>
      <c r="C156" s="311">
        <f>VLOOKUP(1323,季財報!A:H,3)</f>
        <v>0</v>
      </c>
      <c r="D156" s="311">
        <f>VLOOKUP(1323,季財報!A:H,4)</f>
        <v>1</v>
      </c>
      <c r="E156" s="311">
        <f>VLOOKUP(1323,季財報!A:H,5)</f>
        <v>0</v>
      </c>
      <c r="F156" s="311">
        <f>VLOOKUP(1323,季財報!A:H,6)</f>
        <v>1</v>
      </c>
      <c r="G156" s="311">
        <f>VLOOKUP(1323,季財報!A:H,7)</f>
        <v>0</v>
      </c>
      <c r="H156" s="312"/>
      <c r="I156" s="312"/>
      <c r="J156" s="312"/>
      <c r="K156" s="312"/>
      <c r="L156" s="312"/>
      <c r="M156" s="313"/>
      <c r="N156" s="312">
        <f t="shared" si="2"/>
        <v>2</v>
      </c>
      <c r="O156" s="314"/>
      <c r="P156" s="314"/>
      <c r="Q156" s="314"/>
      <c r="R156" s="314"/>
      <c r="S156" s="315"/>
    </row>
    <row r="157" spans="1:19" s="317" customFormat="1">
      <c r="A157" s="309" t="str">
        <f>HYPERLINK("http://www.wantgoo.com/stock/chart.aspx?stockno=2302","2302")</f>
        <v>2302</v>
      </c>
      <c r="B157" s="310"/>
      <c r="C157" s="311">
        <f>VLOOKUP(2302,季財報!A:H,3)</f>
        <v>0</v>
      </c>
      <c r="D157" s="311">
        <f>VLOOKUP(2302,季財報!A:H,4)</f>
        <v>1</v>
      </c>
      <c r="E157" s="311">
        <f>VLOOKUP(2302,季財報!A:H,5)</f>
        <v>0</v>
      </c>
      <c r="F157" s="311">
        <f>VLOOKUP(2302,季財報!A:H,6)</f>
        <v>1</v>
      </c>
      <c r="G157" s="311">
        <f>VLOOKUP(2302,季財報!A:H,7)</f>
        <v>0</v>
      </c>
      <c r="H157" s="312"/>
      <c r="I157" s="312"/>
      <c r="J157" s="312"/>
      <c r="K157" s="312"/>
      <c r="L157" s="312"/>
      <c r="M157" s="313"/>
      <c r="N157" s="312">
        <f t="shared" si="2"/>
        <v>2</v>
      </c>
      <c r="O157" s="314"/>
      <c r="P157" s="314"/>
      <c r="Q157" s="314"/>
      <c r="R157" s="314"/>
      <c r="S157" s="315"/>
    </row>
    <row r="158" spans="1:19" s="317" customFormat="1">
      <c r="A158" s="309" t="str">
        <f>HYPERLINK("http://www.wantgoo.com/stock/chart.aspx?stockno=8271","8271")</f>
        <v>8271</v>
      </c>
      <c r="B158" s="310"/>
      <c r="C158" s="311">
        <f>VLOOKUP(8271,季財報!A:H,3)</f>
        <v>0</v>
      </c>
      <c r="D158" s="311">
        <f>VLOOKUP(8271,季財報!A:H,4)</f>
        <v>0</v>
      </c>
      <c r="E158" s="311">
        <f>VLOOKUP(8271,季財報!A:H,5)</f>
        <v>1</v>
      </c>
      <c r="F158" s="311">
        <f>VLOOKUP(8271,季財報!A:H,6)</f>
        <v>1</v>
      </c>
      <c r="G158" s="311">
        <f>VLOOKUP(8271,季財報!A:H,7)</f>
        <v>0</v>
      </c>
      <c r="H158" s="312"/>
      <c r="I158" s="312"/>
      <c r="J158" s="312"/>
      <c r="K158" s="312"/>
      <c r="L158" s="312"/>
      <c r="M158" s="313"/>
      <c r="N158" s="312">
        <f t="shared" si="2"/>
        <v>2</v>
      </c>
      <c r="O158" s="314"/>
      <c r="P158" s="314"/>
      <c r="Q158" s="314"/>
      <c r="R158" s="314"/>
      <c r="S158" s="315"/>
    </row>
    <row r="159" spans="1:19" s="317" customFormat="1">
      <c r="A159" s="309" t="str">
        <f>HYPERLINK("http://www.wantgoo.com/stock/chart.aspx?stockno=6274","6274")</f>
        <v>6274</v>
      </c>
      <c r="B159" s="310"/>
      <c r="C159" s="311">
        <f>VLOOKUP(6274,季財報!A:H,3)</f>
        <v>1</v>
      </c>
      <c r="D159" s="311">
        <f>VLOOKUP(6274,季財報!A:H,4)</f>
        <v>1</v>
      </c>
      <c r="E159" s="311">
        <f>VLOOKUP(6274,季財報!A:H,5)</f>
        <v>0</v>
      </c>
      <c r="F159" s="311">
        <f>VLOOKUP(6274,季財報!A:H,6)</f>
        <v>1</v>
      </c>
      <c r="G159" s="311">
        <f>VLOOKUP(6274,季財報!A:H,7)</f>
        <v>0</v>
      </c>
      <c r="H159" s="312"/>
      <c r="I159" s="312"/>
      <c r="J159" s="312"/>
      <c r="K159" s="312"/>
      <c r="L159" s="312"/>
      <c r="M159" s="313"/>
      <c r="N159" s="312">
        <f t="shared" si="2"/>
        <v>3</v>
      </c>
      <c r="O159" s="314"/>
      <c r="P159" s="314"/>
      <c r="Q159" s="314"/>
      <c r="R159" s="314"/>
      <c r="S159" s="315"/>
    </row>
    <row r="160" spans="1:19" s="317" customFormat="1">
      <c r="A160" s="309" t="str">
        <f>HYPERLINK("http://www.wantgoo.com/stock/chart.aspx?stockno=9911","9911")</f>
        <v>9911</v>
      </c>
      <c r="B160" s="310"/>
      <c r="C160" s="311">
        <f>VLOOKUP(9911,季財報!A:H,3)</f>
        <v>0</v>
      </c>
      <c r="D160" s="311">
        <f>VLOOKUP(9911,季財報!A:H,4)</f>
        <v>1</v>
      </c>
      <c r="E160" s="311">
        <f>VLOOKUP(9911,季財報!A:H,5)</f>
        <v>0</v>
      </c>
      <c r="F160" s="311">
        <f>VLOOKUP(9911,季財報!A:H,6)</f>
        <v>1</v>
      </c>
      <c r="G160" s="311">
        <f>VLOOKUP(9911,季財報!A:H,7)</f>
        <v>0</v>
      </c>
      <c r="H160" s="312"/>
      <c r="I160" s="312"/>
      <c r="J160" s="312"/>
      <c r="K160" s="312"/>
      <c r="L160" s="312"/>
      <c r="M160" s="313"/>
      <c r="N160" s="312">
        <f t="shared" si="2"/>
        <v>2</v>
      </c>
      <c r="O160" s="314"/>
      <c r="P160" s="314"/>
      <c r="Q160" s="314"/>
      <c r="R160" s="314"/>
      <c r="S160" s="315"/>
    </row>
    <row r="161" spans="1:19" s="317" customFormat="1">
      <c r="A161" s="309" t="str">
        <f>HYPERLINK("http://www.wantgoo.com/stock/chart.aspx?stockno=6298","6298")</f>
        <v>6298</v>
      </c>
      <c r="B161" s="310"/>
      <c r="C161" s="311">
        <f>VLOOKUP(6298,季財報!A:H,3)</f>
        <v>0</v>
      </c>
      <c r="D161" s="311">
        <f>VLOOKUP(6298,季財報!A:H,4)</f>
        <v>1</v>
      </c>
      <c r="E161" s="311">
        <f>VLOOKUP(6298,季財報!A:H,5)</f>
        <v>1</v>
      </c>
      <c r="F161" s="311">
        <f>VLOOKUP(6298,季財報!A:H,6)</f>
        <v>1</v>
      </c>
      <c r="G161" s="311">
        <f>VLOOKUP(6298,季財報!A:H,7)</f>
        <v>0</v>
      </c>
      <c r="H161" s="312"/>
      <c r="I161" s="312"/>
      <c r="J161" s="312"/>
      <c r="K161" s="312"/>
      <c r="L161" s="312"/>
      <c r="M161" s="313"/>
      <c r="N161" s="312">
        <f t="shared" si="2"/>
        <v>3</v>
      </c>
      <c r="O161" s="314"/>
      <c r="P161" s="314"/>
      <c r="Q161" s="314"/>
      <c r="R161" s="314"/>
      <c r="S161" s="315"/>
    </row>
    <row r="162" spans="1:19" s="317" customFormat="1">
      <c r="A162" s="309" t="str">
        <f>HYPERLINK("http://www.wantgoo.com/stock/chart.aspx?stockno=6192","6192")</f>
        <v>6192</v>
      </c>
      <c r="B162" s="310"/>
      <c r="C162" s="311">
        <f>VLOOKUP(6192,季財報!A:H,3)</f>
        <v>0</v>
      </c>
      <c r="D162" s="311">
        <f>VLOOKUP(6192,季財報!A:H,4)</f>
        <v>1</v>
      </c>
      <c r="E162" s="311">
        <f>VLOOKUP(6192,季財報!A:H,5)</f>
        <v>1</v>
      </c>
      <c r="F162" s="311">
        <f>VLOOKUP(6192,季財報!A:H,6)</f>
        <v>1</v>
      </c>
      <c r="G162" s="311">
        <f>VLOOKUP(6192,季財報!A:H,7)</f>
        <v>0</v>
      </c>
      <c r="H162" s="312"/>
      <c r="I162" s="312"/>
      <c r="J162" s="312"/>
      <c r="K162" s="312"/>
      <c r="L162" s="312"/>
      <c r="M162" s="313"/>
      <c r="N162" s="312">
        <f t="shared" si="2"/>
        <v>3</v>
      </c>
      <c r="O162" s="314"/>
      <c r="P162" s="314"/>
      <c r="Q162" s="314"/>
      <c r="R162" s="314"/>
      <c r="S162" s="315"/>
    </row>
    <row r="163" spans="1:19" s="317" customFormat="1">
      <c r="A163" s="309" t="str">
        <f>HYPERLINK("http://www.wantgoo.com/stock/chart.aspx?stockno=3684","3684")</f>
        <v>3684</v>
      </c>
      <c r="B163" s="310"/>
      <c r="C163" s="311">
        <f>VLOOKUP(3684,季財報!A:H,3)</f>
        <v>1</v>
      </c>
      <c r="D163" s="311">
        <f>VLOOKUP(3684,季財報!A:H,4)</f>
        <v>1</v>
      </c>
      <c r="E163" s="311">
        <f>VLOOKUP(3684,季財報!A:H,5)</f>
        <v>0</v>
      </c>
      <c r="F163" s="311">
        <f>VLOOKUP(3684,季財報!A:H,6)</f>
        <v>1</v>
      </c>
      <c r="G163" s="311">
        <f>VLOOKUP(3684,季財報!A:H,7)</f>
        <v>0</v>
      </c>
      <c r="H163" s="312"/>
      <c r="I163" s="312"/>
      <c r="J163" s="312"/>
      <c r="K163" s="312"/>
      <c r="L163" s="312"/>
      <c r="M163" s="313"/>
      <c r="N163" s="312">
        <f t="shared" si="2"/>
        <v>3</v>
      </c>
      <c r="O163" s="314"/>
      <c r="P163" s="314"/>
      <c r="Q163" s="314"/>
      <c r="R163" s="314"/>
      <c r="S163" s="315"/>
    </row>
    <row r="164" spans="1:19" s="317" customFormat="1">
      <c r="A164" s="309" t="str">
        <f>HYPERLINK("http://www.wantgoo.com/stock/chart.aspx?stockno=2317","2317")</f>
        <v>2317</v>
      </c>
      <c r="B164" s="310"/>
      <c r="C164" s="311">
        <f>VLOOKUP(2317,季財報!A:H,3)</f>
        <v>0</v>
      </c>
      <c r="D164" s="311">
        <f>VLOOKUP(2317,季財報!A:H,4)</f>
        <v>1</v>
      </c>
      <c r="E164" s="311">
        <f>VLOOKUP(2317,季財報!A:H,5)</f>
        <v>0</v>
      </c>
      <c r="F164" s="311">
        <f>VLOOKUP(2317,季財報!A:H,6)</f>
        <v>0</v>
      </c>
      <c r="G164" s="311">
        <f>VLOOKUP(2317,季財報!A:H,7)</f>
        <v>0</v>
      </c>
      <c r="H164" s="312"/>
      <c r="I164" s="312"/>
      <c r="J164" s="312"/>
      <c r="K164" s="312"/>
      <c r="L164" s="312"/>
      <c r="M164" s="313"/>
      <c r="N164" s="312">
        <f t="shared" si="2"/>
        <v>1</v>
      </c>
      <c r="O164" s="314"/>
      <c r="P164" s="314"/>
      <c r="Q164" s="314"/>
      <c r="R164" s="314"/>
      <c r="S164" s="315"/>
    </row>
    <row r="165" spans="1:19" s="317" customFormat="1">
      <c r="A165" s="309" t="str">
        <f>HYPERLINK("http://www.wantgoo.com/stock/chart.aspx?stockno=6206","6206")</f>
        <v>6206</v>
      </c>
      <c r="B165" s="310"/>
      <c r="C165" s="311">
        <f>VLOOKUP(6206,季財報!A:H,3)</f>
        <v>0</v>
      </c>
      <c r="D165" s="311">
        <f>VLOOKUP(6206,季財報!A:H,4)</f>
        <v>1</v>
      </c>
      <c r="E165" s="311">
        <f>VLOOKUP(6206,季財報!A:H,5)</f>
        <v>0</v>
      </c>
      <c r="F165" s="311">
        <f>VLOOKUP(6206,季財報!A:H,6)</f>
        <v>1</v>
      </c>
      <c r="G165" s="311">
        <f>VLOOKUP(6206,季財報!A:H,7)</f>
        <v>0</v>
      </c>
      <c r="H165" s="312"/>
      <c r="I165" s="312"/>
      <c r="J165" s="312"/>
      <c r="K165" s="312"/>
      <c r="L165" s="312"/>
      <c r="M165" s="313"/>
      <c r="N165" s="312">
        <f t="shared" si="2"/>
        <v>2</v>
      </c>
      <c r="O165" s="314"/>
      <c r="P165" s="314"/>
      <c r="Q165" s="314"/>
      <c r="R165" s="314"/>
      <c r="S165" s="315"/>
    </row>
    <row r="166" spans="1:19" s="317" customFormat="1">
      <c r="A166" s="309" t="str">
        <f>HYPERLINK("http://www.wantgoo.com/stock/chart.aspx?stockno=8050","8050")</f>
        <v>8050</v>
      </c>
      <c r="B166" s="310"/>
      <c r="C166" s="311">
        <f>VLOOKUP(8050,季財報!A:H,3)</f>
        <v>0</v>
      </c>
      <c r="D166" s="311">
        <f>VLOOKUP(8050,季財報!A:H,4)</f>
        <v>1</v>
      </c>
      <c r="E166" s="311">
        <f>VLOOKUP(8050,季財報!A:H,5)</f>
        <v>0</v>
      </c>
      <c r="F166" s="311">
        <f>VLOOKUP(8050,季財報!A:H,6)</f>
        <v>1</v>
      </c>
      <c r="G166" s="311">
        <f>VLOOKUP(8050,季財報!A:H,7)</f>
        <v>0</v>
      </c>
      <c r="H166" s="312"/>
      <c r="I166" s="312"/>
      <c r="J166" s="312"/>
      <c r="K166" s="312"/>
      <c r="L166" s="312"/>
      <c r="M166" s="313"/>
      <c r="N166" s="312">
        <f t="shared" si="2"/>
        <v>2</v>
      </c>
      <c r="O166" s="314"/>
      <c r="P166" s="314"/>
      <c r="Q166" s="314"/>
      <c r="R166" s="314"/>
      <c r="S166" s="315"/>
    </row>
    <row r="167" spans="1:19" s="317" customFormat="1">
      <c r="A167" s="309" t="str">
        <f>HYPERLINK("http://www.wantgoo.com/stock/chart.aspx?stockno=8150","8150")</f>
        <v>8150</v>
      </c>
      <c r="B167" s="310"/>
      <c r="C167" s="311">
        <f>VLOOKUP(8150,季財報!A:H,3)</f>
        <v>0</v>
      </c>
      <c r="D167" s="311">
        <f>VLOOKUP(8150,季財報!A:H,4)</f>
        <v>1</v>
      </c>
      <c r="E167" s="311">
        <f>VLOOKUP(8150,季財報!A:H,5)</f>
        <v>0</v>
      </c>
      <c r="F167" s="311">
        <f>VLOOKUP(8150,季財報!A:H,6)</f>
        <v>1</v>
      </c>
      <c r="G167" s="311">
        <f>VLOOKUP(8150,季財報!A:H,7)</f>
        <v>0</v>
      </c>
      <c r="H167" s="312"/>
      <c r="I167" s="312"/>
      <c r="J167" s="312"/>
      <c r="K167" s="312"/>
      <c r="L167" s="312"/>
      <c r="M167" s="313"/>
      <c r="N167" s="312">
        <f t="shared" si="2"/>
        <v>2</v>
      </c>
      <c r="O167" s="314"/>
      <c r="P167" s="314"/>
      <c r="Q167" s="314"/>
      <c r="R167" s="314"/>
      <c r="S167" s="315"/>
    </row>
    <row r="168" spans="1:19" s="317" customFormat="1">
      <c r="A168" s="309" t="str">
        <f>HYPERLINK("http://www.wantgoo.com/stock/chart.aspx?stockno=6189","6189")</f>
        <v>6189</v>
      </c>
      <c r="B168" s="310"/>
      <c r="C168" s="311">
        <f>VLOOKUP(6189,季財報!A:H,3)</f>
        <v>1</v>
      </c>
      <c r="D168" s="311">
        <f>VLOOKUP(6189,季財報!A:H,4)</f>
        <v>1</v>
      </c>
      <c r="E168" s="311">
        <f>VLOOKUP(6189,季財報!A:H,5)</f>
        <v>1</v>
      </c>
      <c r="F168" s="311">
        <f>VLOOKUP(6189,季財報!A:H,6)</f>
        <v>1</v>
      </c>
      <c r="G168" s="311">
        <f>VLOOKUP(6189,季財報!A:H,7)</f>
        <v>0</v>
      </c>
      <c r="H168" s="312"/>
      <c r="I168" s="312"/>
      <c r="J168" s="312"/>
      <c r="K168" s="312"/>
      <c r="L168" s="312"/>
      <c r="M168" s="313"/>
      <c r="N168" s="312">
        <f t="shared" si="2"/>
        <v>4</v>
      </c>
      <c r="O168" s="314"/>
      <c r="P168" s="314"/>
      <c r="Q168" s="314"/>
      <c r="R168" s="314"/>
      <c r="S168" s="315"/>
    </row>
    <row r="169" spans="1:19" s="317" customFormat="1">
      <c r="A169" s="309" t="str">
        <f>HYPERLINK("http://www.wantgoo.com/stock/chart.aspx?stockno=1264","1264")</f>
        <v>1264</v>
      </c>
      <c r="B169" s="310"/>
      <c r="C169" s="311">
        <f>VLOOKUP(1264,季財報!A:H,3)</f>
        <v>0</v>
      </c>
      <c r="D169" s="311">
        <f>VLOOKUP(1264,季財報!A:H,4)</f>
        <v>1</v>
      </c>
      <c r="E169" s="311">
        <f>VLOOKUP(1264,季財報!A:H,5)</f>
        <v>0</v>
      </c>
      <c r="F169" s="311">
        <f>VLOOKUP(1264,季財報!A:H,6)</f>
        <v>1</v>
      </c>
      <c r="G169" s="311">
        <f>VLOOKUP(1264,季財報!A:H,7)</f>
        <v>0</v>
      </c>
      <c r="H169" s="312"/>
      <c r="I169" s="312"/>
      <c r="J169" s="312"/>
      <c r="K169" s="312"/>
      <c r="L169" s="312"/>
      <c r="M169" s="313"/>
      <c r="N169" s="312">
        <f t="shared" si="2"/>
        <v>2</v>
      </c>
      <c r="O169" s="314"/>
      <c r="P169" s="314"/>
      <c r="Q169" s="314"/>
      <c r="R169" s="314"/>
      <c r="S169" s="315"/>
    </row>
    <row r="170" spans="1:19" s="317" customFormat="1">
      <c r="A170" s="309" t="str">
        <f>HYPERLINK("http://www.wantgoo.com/stock/chart.aspx?stockno=3060","3060")</f>
        <v>3060</v>
      </c>
      <c r="B170" s="310"/>
      <c r="C170" s="311">
        <f>VLOOKUP(3060,季財報!A:H,3)</f>
        <v>1</v>
      </c>
      <c r="D170" s="311">
        <f>VLOOKUP(3060,季財報!A:H,4)</f>
        <v>1</v>
      </c>
      <c r="E170" s="311">
        <f>VLOOKUP(3060,季財報!A:H,5)</f>
        <v>0</v>
      </c>
      <c r="F170" s="311">
        <f>VLOOKUP(3060,季財報!A:H,6)</f>
        <v>1</v>
      </c>
      <c r="G170" s="311">
        <f>VLOOKUP(3060,季財報!A:H,7)</f>
        <v>0</v>
      </c>
      <c r="H170" s="312"/>
      <c r="I170" s="312"/>
      <c r="J170" s="312"/>
      <c r="K170" s="312"/>
      <c r="L170" s="312"/>
      <c r="M170" s="313"/>
      <c r="N170" s="312">
        <f t="shared" si="2"/>
        <v>3</v>
      </c>
      <c r="O170" s="314"/>
      <c r="P170" s="314"/>
      <c r="Q170" s="314"/>
      <c r="R170" s="314"/>
      <c r="S170" s="315"/>
    </row>
    <row r="171" spans="1:19" s="317" customFormat="1">
      <c r="A171" s="309" t="str">
        <f>HYPERLINK("http://www.wantgoo.com/stock/chart.aspx?stockno=2426","2426")</f>
        <v>2426</v>
      </c>
      <c r="B171" s="310"/>
      <c r="C171" s="311">
        <f>VLOOKUP(2426,季財報!A:H,3)</f>
        <v>0</v>
      </c>
      <c r="D171" s="311">
        <f>VLOOKUP(2426,季財報!A:H,4)</f>
        <v>1</v>
      </c>
      <c r="E171" s="311">
        <f>VLOOKUP(2426,季財報!A:H,5)</f>
        <v>0</v>
      </c>
      <c r="F171" s="311">
        <f>VLOOKUP(2426,季財報!A:H,6)</f>
        <v>1</v>
      </c>
      <c r="G171" s="311">
        <f>VLOOKUP(2426,季財報!A:H,7)</f>
        <v>0</v>
      </c>
      <c r="H171" s="312"/>
      <c r="I171" s="312"/>
      <c r="J171" s="312"/>
      <c r="K171" s="312"/>
      <c r="L171" s="312"/>
      <c r="M171" s="313"/>
      <c r="N171" s="312">
        <f t="shared" si="2"/>
        <v>2</v>
      </c>
      <c r="O171" s="314"/>
      <c r="P171" s="314"/>
      <c r="Q171" s="314"/>
      <c r="R171" s="314"/>
      <c r="S171" s="315"/>
    </row>
    <row r="172" spans="1:19" s="317" customFormat="1">
      <c r="A172" s="309" t="str">
        <f>HYPERLINK("http://www.wantgoo.com/stock/chart.aspx?stockno=4991","4991")</f>
        <v>4991</v>
      </c>
      <c r="B172" s="310"/>
      <c r="C172" s="311">
        <f>VLOOKUP(4991,季財報!A:H,3)</f>
        <v>1</v>
      </c>
      <c r="D172" s="311">
        <f>VLOOKUP(4991,季財報!A:H,4)</f>
        <v>1</v>
      </c>
      <c r="E172" s="311">
        <f>VLOOKUP(4991,季財報!A:H,5)</f>
        <v>0</v>
      </c>
      <c r="F172" s="311">
        <f>VLOOKUP(4991,季財報!A:H,6)</f>
        <v>1</v>
      </c>
      <c r="G172" s="311">
        <f>VLOOKUP(4991,季財報!A:H,7)</f>
        <v>1</v>
      </c>
      <c r="H172" s="312"/>
      <c r="I172" s="312"/>
      <c r="J172" s="312"/>
      <c r="K172" s="312"/>
      <c r="L172" s="312"/>
      <c r="M172" s="313"/>
      <c r="N172" s="312">
        <f t="shared" si="2"/>
        <v>4</v>
      </c>
      <c r="O172" s="314"/>
      <c r="P172" s="314"/>
      <c r="Q172" s="314"/>
      <c r="R172" s="314"/>
      <c r="S172" s="315"/>
    </row>
    <row r="173" spans="1:19">
      <c r="A173" s="308" t="str">
        <f>HYPERLINK("http://www.wantgoo.com/stock/chart.aspx?stockno=3206","3206")</f>
        <v>3206</v>
      </c>
      <c r="C173" s="18">
        <f>VLOOKUP(3206,季財報!A:H,3)</f>
        <v>0</v>
      </c>
      <c r="D173" s="18">
        <f>VLOOKUP(3206,季財報!A:H,4)</f>
        <v>0</v>
      </c>
      <c r="E173" s="18">
        <f>VLOOKUP(3206,季財報!A:H,5)</f>
        <v>0</v>
      </c>
      <c r="F173" s="18">
        <f>VLOOKUP(3206,季財報!A:H,6)</f>
        <v>0</v>
      </c>
      <c r="G173" s="18">
        <f>VLOOKUP(3206,季財報!A:H,7)</f>
        <v>0</v>
      </c>
      <c r="N173" s="20">
        <f t="shared" si="2"/>
        <v>0</v>
      </c>
    </row>
    <row r="174" spans="1:19">
      <c r="A174" s="308" t="str">
        <f>HYPERLINK("http://www.wantgoo.com/stock/chart.aspx?stockno=2832","2832")</f>
        <v>2832</v>
      </c>
      <c r="C174" s="18">
        <f>VLOOKUP(2832,季財報!A:H,3)</f>
        <v>0</v>
      </c>
      <c r="D174" s="18">
        <f>VLOOKUP(2832,季財報!A:H,4)</f>
        <v>0</v>
      </c>
      <c r="E174" s="18">
        <f>VLOOKUP(2832,季財報!A:H,5)</f>
        <v>2</v>
      </c>
      <c r="F174" s="18">
        <f>VLOOKUP(2832,季財報!A:H,6)</f>
        <v>0</v>
      </c>
      <c r="G174" s="18">
        <f>VLOOKUP(2832,季財報!A:H,7)</f>
        <v>1</v>
      </c>
      <c r="N174" s="20">
        <f t="shared" si="2"/>
        <v>3</v>
      </c>
    </row>
    <row r="175" spans="1:19">
      <c r="A175" s="308" t="str">
        <f>HYPERLINK("http://www.wantgoo.com/stock/chart.aspx?stockno=4979","4979")</f>
        <v>4979</v>
      </c>
      <c r="C175" s="18">
        <f>VLOOKUP(4979,季財報!A:H,3)</f>
        <v>1</v>
      </c>
      <c r="D175" s="18">
        <f>VLOOKUP(4979,季財報!A:H,4)</f>
        <v>1</v>
      </c>
      <c r="E175" s="18">
        <f>VLOOKUP(4979,季財報!A:H,5)</f>
        <v>0</v>
      </c>
      <c r="F175" s="18">
        <f>VLOOKUP(4979,季財報!A:H,6)</f>
        <v>1</v>
      </c>
      <c r="G175" s="18">
        <f>VLOOKUP(4979,季財報!A:H,7)</f>
        <v>0</v>
      </c>
      <c r="N175" s="20">
        <f t="shared" si="2"/>
        <v>3</v>
      </c>
    </row>
    <row r="176" spans="1:19">
      <c r="A176" s="308" t="str">
        <f>HYPERLINK("http://www.wantgoo.com/stock/chart.aspx?stockno=5213","5213")</f>
        <v>5213</v>
      </c>
      <c r="C176" s="18">
        <f>VLOOKUP(5213,季財報!A:H,3)</f>
        <v>0</v>
      </c>
      <c r="D176" s="18">
        <f>VLOOKUP(5213,季財報!A:H,4)</f>
        <v>1</v>
      </c>
      <c r="E176" s="18">
        <f>VLOOKUP(5213,季財報!A:H,5)</f>
        <v>0</v>
      </c>
      <c r="F176" s="18">
        <f>VLOOKUP(5213,季財報!A:H,6)</f>
        <v>0</v>
      </c>
      <c r="G176" s="18">
        <f>VLOOKUP(5213,季財報!A:H,7)</f>
        <v>0</v>
      </c>
      <c r="N176" s="20">
        <f t="shared" si="2"/>
        <v>1</v>
      </c>
    </row>
    <row r="177" spans="1:19" s="317" customFormat="1">
      <c r="A177" s="309" t="str">
        <f>HYPERLINK("http://www.wantgoo.com/stock/chart.aspx?stockno=8299","8299")</f>
        <v>8299</v>
      </c>
      <c r="B177" s="310"/>
      <c r="C177" s="311">
        <f>VLOOKUP(8299,季財報!A:H,3)</f>
        <v>1</v>
      </c>
      <c r="D177" s="311">
        <f>VLOOKUP(8299,季財報!A:H,4)</f>
        <v>1</v>
      </c>
      <c r="E177" s="311">
        <f>VLOOKUP(8299,季財報!A:H,5)</f>
        <v>1</v>
      </c>
      <c r="F177" s="311">
        <f>VLOOKUP(8299,季財報!A:H,6)</f>
        <v>1</v>
      </c>
      <c r="G177" s="311">
        <f>VLOOKUP(8299,季財報!A:H,7)</f>
        <v>0</v>
      </c>
      <c r="H177" s="312"/>
      <c r="I177" s="312"/>
      <c r="J177" s="312"/>
      <c r="K177" s="312"/>
      <c r="L177" s="312"/>
      <c r="M177" s="313"/>
      <c r="N177" s="312">
        <f t="shared" si="2"/>
        <v>4</v>
      </c>
      <c r="O177" s="314"/>
      <c r="P177" s="314"/>
      <c r="Q177" s="314"/>
      <c r="R177" s="314"/>
      <c r="S177" s="315"/>
    </row>
    <row r="178" spans="1:19" s="317" customFormat="1">
      <c r="A178" s="309" t="str">
        <f>HYPERLINK("http://www.wantgoo.com/stock/chart.aspx?stockno=9924","9924")</f>
        <v>9924</v>
      </c>
      <c r="B178" s="310"/>
      <c r="C178" s="311">
        <f>VLOOKUP(9924,季財報!A:H,3)</f>
        <v>1</v>
      </c>
      <c r="D178" s="311">
        <f>VLOOKUP(9924,季財報!A:H,4)</f>
        <v>1</v>
      </c>
      <c r="E178" s="311">
        <f>VLOOKUP(9924,季財報!A:H,5)</f>
        <v>1</v>
      </c>
      <c r="F178" s="311">
        <f>VLOOKUP(9924,季財報!A:H,6)</f>
        <v>1</v>
      </c>
      <c r="G178" s="311">
        <f>VLOOKUP(9924,季財報!A:H,7)</f>
        <v>0</v>
      </c>
      <c r="H178" s="312"/>
      <c r="I178" s="312"/>
      <c r="J178" s="312"/>
      <c r="K178" s="312"/>
      <c r="L178" s="312"/>
      <c r="M178" s="313"/>
      <c r="N178" s="312">
        <f t="shared" si="2"/>
        <v>4</v>
      </c>
      <c r="O178" s="314"/>
      <c r="P178" s="314"/>
      <c r="Q178" s="314"/>
      <c r="R178" s="314"/>
      <c r="S178" s="315"/>
    </row>
    <row r="179" spans="1:19" s="317" customFormat="1">
      <c r="A179" s="309" t="str">
        <f>HYPERLINK("http://www.wantgoo.com/stock/chart.aspx?stockno=2106","2106")</f>
        <v>2106</v>
      </c>
      <c r="B179" s="310"/>
      <c r="C179" s="311">
        <f>VLOOKUP(2106,季財報!A:H,3)</f>
        <v>1</v>
      </c>
      <c r="D179" s="311">
        <f>VLOOKUP(2106,季財報!A:H,4)</f>
        <v>1</v>
      </c>
      <c r="E179" s="311">
        <f>VLOOKUP(2106,季財報!A:H,5)</f>
        <v>0</v>
      </c>
      <c r="F179" s="311">
        <f>VLOOKUP(2106,季財報!A:H,6)</f>
        <v>1</v>
      </c>
      <c r="G179" s="311">
        <f>VLOOKUP(2106,季財報!A:H,7)</f>
        <v>0</v>
      </c>
      <c r="H179" s="312"/>
      <c r="I179" s="312"/>
      <c r="J179" s="312"/>
      <c r="K179" s="312"/>
      <c r="L179" s="312"/>
      <c r="M179" s="313"/>
      <c r="N179" s="312">
        <f t="shared" si="2"/>
        <v>3</v>
      </c>
      <c r="O179" s="314"/>
      <c r="P179" s="314"/>
      <c r="Q179" s="314"/>
      <c r="R179" s="314"/>
      <c r="S179" s="315"/>
    </row>
    <row r="180" spans="1:19">
      <c r="A180" s="307" t="str">
        <f>HYPERLINK("http://www.wantgoo.com/stock/chart.aspx?stockno=3484","3484")</f>
        <v>3484</v>
      </c>
      <c r="C180" s="18">
        <f>VLOOKUP(3484,季財報!A:H,3)</f>
        <v>0</v>
      </c>
      <c r="D180" s="18">
        <f>VLOOKUP(3484,季財報!A:H,4)</f>
        <v>1</v>
      </c>
      <c r="E180" s="18">
        <f>VLOOKUP(3484,季財報!A:H,5)</f>
        <v>0</v>
      </c>
      <c r="F180" s="18">
        <f>VLOOKUP(3484,季財報!A:H,6)</f>
        <v>0</v>
      </c>
      <c r="G180" s="18">
        <f>VLOOKUP(3484,季財報!A:H,7)</f>
        <v>0</v>
      </c>
      <c r="N180" s="20">
        <f t="shared" si="2"/>
        <v>1</v>
      </c>
    </row>
    <row r="181" spans="1:19">
      <c r="A181" s="307" t="str">
        <f>HYPERLINK("http://www.wantgoo.com/stock/chart.aspx?stockno=5321","5321")</f>
        <v>5321</v>
      </c>
      <c r="C181" s="18">
        <f>VLOOKUP(5321,季財報!A:H,3)</f>
        <v>0</v>
      </c>
      <c r="D181" s="18">
        <f>VLOOKUP(5321,季財報!A:H,4)</f>
        <v>1</v>
      </c>
      <c r="E181" s="18">
        <f>VLOOKUP(5321,季財報!A:H,5)</f>
        <v>0</v>
      </c>
      <c r="F181" s="18">
        <f>VLOOKUP(5321,季財報!A:H,6)</f>
        <v>1</v>
      </c>
      <c r="G181" s="18">
        <f>VLOOKUP(5321,季財報!A:H,7)</f>
        <v>0</v>
      </c>
      <c r="N181" s="20">
        <f t="shared" si="2"/>
        <v>2</v>
      </c>
    </row>
    <row r="182" spans="1:19">
      <c r="A182" s="308" t="str">
        <f>HYPERLINK("http://www.wantgoo.com/stock/chart.aspx?stockno=5533","5533")</f>
        <v>5533</v>
      </c>
      <c r="C182" s="18">
        <f>VLOOKUP(5533,季財報!A:H,3)</f>
        <v>0</v>
      </c>
      <c r="D182" s="18">
        <f>VLOOKUP(5533,季財報!A:H,4)</f>
        <v>1</v>
      </c>
      <c r="E182" s="18">
        <f>VLOOKUP(5533,季財報!A:H,5)</f>
        <v>0</v>
      </c>
      <c r="F182" s="18">
        <f>VLOOKUP(5533,季財報!A:H,6)</f>
        <v>0</v>
      </c>
      <c r="G182" s="18">
        <f>VLOOKUP(5533,季財報!A:H,7)</f>
        <v>0</v>
      </c>
      <c r="N182" s="20">
        <f t="shared" si="2"/>
        <v>1</v>
      </c>
    </row>
    <row r="183" spans="1:19">
      <c r="A183" s="308" t="str">
        <f>HYPERLINK("http://www.wantgoo.com/stock/chart.aspx?stockno=6248","6248")</f>
        <v>6248</v>
      </c>
      <c r="C183" s="18">
        <f>VLOOKUP(6248,季財報!A:H,3)</f>
        <v>0</v>
      </c>
      <c r="D183" s="18">
        <f>VLOOKUP(6248,季財報!A:H,4)</f>
        <v>1</v>
      </c>
      <c r="E183" s="18">
        <f>VLOOKUP(6248,季財報!A:H,5)</f>
        <v>0</v>
      </c>
      <c r="F183" s="18">
        <f>VLOOKUP(6248,季財報!A:H,6)</f>
        <v>1</v>
      </c>
      <c r="G183" s="18">
        <f>VLOOKUP(6248,季財報!A:H,7)</f>
        <v>0</v>
      </c>
      <c r="N183" s="20">
        <f t="shared" si="2"/>
        <v>2</v>
      </c>
    </row>
    <row r="184" spans="1:19">
      <c r="A184" s="307" t="str">
        <f>HYPERLINK("http://www.wantgoo.com/stock/chart.aspx?stockno=5493","5493")</f>
        <v>5493</v>
      </c>
      <c r="C184" s="18">
        <f>VLOOKUP(5493,季財報!A:H,3)</f>
        <v>0</v>
      </c>
      <c r="D184" s="18">
        <f>VLOOKUP(5493,季財報!A:H,4)</f>
        <v>1</v>
      </c>
      <c r="E184" s="18">
        <f>VLOOKUP(5493,季財報!A:H,5)</f>
        <v>1</v>
      </c>
      <c r="F184" s="18">
        <f>VLOOKUP(5493,季財報!A:H,6)</f>
        <v>0</v>
      </c>
      <c r="G184" s="18">
        <f>VLOOKUP(5493,季財報!A:H,7)</f>
        <v>0</v>
      </c>
      <c r="N184" s="20">
        <f t="shared" si="2"/>
        <v>2</v>
      </c>
    </row>
    <row r="185" spans="1:19" s="317" customFormat="1">
      <c r="A185" s="309" t="str">
        <f>HYPERLINK("http://www.wantgoo.com/stock/chart.aspx?stockno=6277","6277")</f>
        <v>6277</v>
      </c>
      <c r="B185" s="310"/>
      <c r="C185" s="311">
        <f>VLOOKUP(6277,季財報!A:H,3)</f>
        <v>0</v>
      </c>
      <c r="D185" s="311">
        <f>VLOOKUP(6277,季財報!A:H,4)</f>
        <v>1</v>
      </c>
      <c r="E185" s="311">
        <f>VLOOKUP(6277,季財報!A:H,5)</f>
        <v>0</v>
      </c>
      <c r="F185" s="311">
        <f>VLOOKUP(6277,季財報!A:H,6)</f>
        <v>1</v>
      </c>
      <c r="G185" s="311">
        <f>VLOOKUP(6277,季財報!A:H,7)</f>
        <v>0</v>
      </c>
      <c r="H185" s="312"/>
      <c r="I185" s="312"/>
      <c r="J185" s="312"/>
      <c r="K185" s="312"/>
      <c r="L185" s="312"/>
      <c r="M185" s="313"/>
      <c r="N185" s="312">
        <f t="shared" si="2"/>
        <v>2</v>
      </c>
      <c r="O185" s="314"/>
      <c r="P185" s="314"/>
      <c r="Q185" s="314"/>
      <c r="R185" s="314"/>
      <c r="S185" s="315"/>
    </row>
    <row r="186" spans="1:19">
      <c r="A186" s="307" t="str">
        <f>HYPERLINK("http://www.wantgoo.com/stock/chart.aspx?stockno=1560","1560")</f>
        <v>1560</v>
      </c>
      <c r="C186" s="18">
        <f>VLOOKUP(1560,季財報!A:H,3)</f>
        <v>0</v>
      </c>
      <c r="D186" s="18">
        <f>VLOOKUP(1560,季財報!A:H,4)</f>
        <v>1</v>
      </c>
      <c r="E186" s="18">
        <f>VLOOKUP(1560,季財報!A:H,5)</f>
        <v>2</v>
      </c>
      <c r="F186" s="18">
        <f>VLOOKUP(1560,季財報!A:H,6)</f>
        <v>1</v>
      </c>
      <c r="G186" s="18">
        <f>VLOOKUP(1560,季財報!A:H,7)</f>
        <v>0</v>
      </c>
      <c r="N186" s="20">
        <f t="shared" si="2"/>
        <v>4</v>
      </c>
    </row>
    <row r="187" spans="1:19">
      <c r="A187" s="307" t="str">
        <f>HYPERLINK("http://www.wantgoo.com/stock/chart.aspx?stockno=2484","2484")</f>
        <v>2484</v>
      </c>
      <c r="C187" s="18">
        <f>VLOOKUP(2484,季財報!A:H,3)</f>
        <v>1</v>
      </c>
      <c r="D187" s="18">
        <f>VLOOKUP(2484,季財報!A:H,4)</f>
        <v>1</v>
      </c>
      <c r="E187" s="18">
        <f>VLOOKUP(2484,季財報!A:H,5)</f>
        <v>1</v>
      </c>
      <c r="F187" s="18">
        <f>VLOOKUP(2484,季財報!A:H,6)</f>
        <v>1</v>
      </c>
      <c r="G187" s="18">
        <f>VLOOKUP(2484,季財報!A:H,7)</f>
        <v>0</v>
      </c>
      <c r="N187" s="20">
        <f t="shared" si="2"/>
        <v>4</v>
      </c>
    </row>
    <row r="188" spans="1:19">
      <c r="A188" s="308" t="str">
        <f>HYPERLINK("http://www.wantgoo.com/stock/chart.aspx?stockno=3553","3553")</f>
        <v>3553</v>
      </c>
      <c r="C188" s="18">
        <f>VLOOKUP(3553,季財報!A:H,3)</f>
        <v>0</v>
      </c>
      <c r="D188" s="18">
        <f>VLOOKUP(3553,季財報!A:H,4)</f>
        <v>0</v>
      </c>
      <c r="E188" s="18">
        <f>VLOOKUP(3553,季財報!A:H,5)</f>
        <v>0</v>
      </c>
      <c r="F188" s="18">
        <f>VLOOKUP(3553,季財報!A:H,6)</f>
        <v>0</v>
      </c>
      <c r="G188" s="18">
        <f>VLOOKUP(3553,季財報!A:H,7)</f>
        <v>0</v>
      </c>
      <c r="N188" s="20">
        <f t="shared" si="2"/>
        <v>0</v>
      </c>
    </row>
    <row r="189" spans="1:19">
      <c r="A189" s="307" t="str">
        <f>HYPERLINK("http://www.wantgoo.com/stock/chart.aspx?stockno=6128","6128")</f>
        <v>6128</v>
      </c>
      <c r="C189" s="18">
        <f>VLOOKUP(6128,季財報!A:H,3)</f>
        <v>1</v>
      </c>
      <c r="D189" s="18">
        <f>VLOOKUP(6128,季財報!A:H,4)</f>
        <v>1</v>
      </c>
      <c r="E189" s="18">
        <f>VLOOKUP(6128,季財報!A:H,5)</f>
        <v>0</v>
      </c>
      <c r="F189" s="18">
        <f>VLOOKUP(6128,季財報!A:H,6)</f>
        <v>1</v>
      </c>
      <c r="G189" s="18">
        <f>VLOOKUP(6128,季財報!A:H,7)</f>
        <v>0</v>
      </c>
      <c r="N189" s="20">
        <f t="shared" si="2"/>
        <v>3</v>
      </c>
    </row>
    <row r="190" spans="1:19">
      <c r="A190" s="307" t="str">
        <f>HYPERLINK("http://www.wantgoo.com/stock/chart.aspx?stockno=6186","6186")</f>
        <v>6186</v>
      </c>
      <c r="C190" s="18">
        <f>VLOOKUP(6186,季財報!A:H,3)</f>
        <v>0</v>
      </c>
      <c r="D190" s="18">
        <f>VLOOKUP(6186,季財報!A:H,4)</f>
        <v>1</v>
      </c>
      <c r="E190" s="18">
        <f>VLOOKUP(6186,季財報!A:H,5)</f>
        <v>1</v>
      </c>
      <c r="F190" s="18">
        <f>VLOOKUP(6186,季財報!A:H,6)</f>
        <v>1</v>
      </c>
      <c r="G190" s="18">
        <f>VLOOKUP(6186,季財報!A:H,7)</f>
        <v>0</v>
      </c>
      <c r="N190" s="20">
        <f t="shared" si="2"/>
        <v>3</v>
      </c>
    </row>
    <row r="191" spans="1:19">
      <c r="A191" s="307" t="str">
        <f>HYPERLINK("http://www.wantgoo.com/stock/chart.aspx?stockno=8249","8249")</f>
        <v>8249</v>
      </c>
      <c r="C191" s="18">
        <f>VLOOKUP(8249,季財報!A:H,3)</f>
        <v>1</v>
      </c>
      <c r="D191" s="18">
        <f>VLOOKUP(8249,季財報!A:H,4)</f>
        <v>1</v>
      </c>
      <c r="E191" s="18">
        <f>VLOOKUP(8249,季財報!A:H,5)</f>
        <v>1</v>
      </c>
      <c r="F191" s="18">
        <f>VLOOKUP(8249,季財報!A:H,6)</f>
        <v>1</v>
      </c>
      <c r="G191" s="18">
        <f>VLOOKUP(8249,季財報!A:H,7)</f>
        <v>0</v>
      </c>
      <c r="N191" s="20">
        <f t="shared" si="2"/>
        <v>4</v>
      </c>
    </row>
    <row r="192" spans="1:19">
      <c r="A192" s="308" t="str">
        <f>HYPERLINK("http://www.wantgoo.com/stock/chart.aspx?stockno=4420","4420")</f>
        <v>4420</v>
      </c>
      <c r="C192" s="18">
        <f>VLOOKUP(4420,季財報!A:H,3)</f>
        <v>0</v>
      </c>
      <c r="D192" s="18">
        <f>VLOOKUP(4420,季財報!A:H,4)</f>
        <v>0</v>
      </c>
      <c r="E192" s="18">
        <f>VLOOKUP(4420,季財報!A:H,5)</f>
        <v>0</v>
      </c>
      <c r="F192" s="18">
        <f>VLOOKUP(4420,季財報!A:H,6)</f>
        <v>0</v>
      </c>
      <c r="G192" s="18">
        <f>VLOOKUP(4420,季財報!A:H,7)</f>
        <v>1</v>
      </c>
      <c r="N192" s="20">
        <f t="shared" si="2"/>
        <v>1</v>
      </c>
    </row>
    <row r="193" spans="1:19">
      <c r="A193" s="307" t="str">
        <f>HYPERLINK("http://www.wantgoo.com/stock/chart.aspx?stockno=3032","3032")</f>
        <v>3032</v>
      </c>
      <c r="C193" s="18">
        <f>VLOOKUP(3032,季財報!A:H,3)</f>
        <v>1</v>
      </c>
      <c r="D193" s="18">
        <f>VLOOKUP(3032,季財報!A:H,4)</f>
        <v>1</v>
      </c>
      <c r="E193" s="18">
        <f>VLOOKUP(3032,季財報!A:H,5)</f>
        <v>1</v>
      </c>
      <c r="F193" s="18">
        <f>VLOOKUP(3032,季財報!A:H,6)</f>
        <v>1</v>
      </c>
      <c r="G193" s="18">
        <f>VLOOKUP(3032,季財報!A:H,7)</f>
        <v>0</v>
      </c>
      <c r="N193" s="20">
        <f t="shared" si="2"/>
        <v>4</v>
      </c>
    </row>
    <row r="194" spans="1:19" s="317" customFormat="1">
      <c r="A194" s="309" t="str">
        <f>HYPERLINK("http://www.wantgoo.com/stock/chart.aspx?stockno=8210","8210")</f>
        <v>8210</v>
      </c>
      <c r="B194" s="310"/>
      <c r="C194" s="311">
        <f>VLOOKUP(8210,季財報!A:H,3)</f>
        <v>1</v>
      </c>
      <c r="D194" s="311">
        <f>VLOOKUP(8210,季財報!A:H,4)</f>
        <v>1</v>
      </c>
      <c r="E194" s="311">
        <f>VLOOKUP(8210,季財報!A:H,5)</f>
        <v>1</v>
      </c>
      <c r="F194" s="311">
        <f>VLOOKUP(8210,季財報!A:H,6)</f>
        <v>1</v>
      </c>
      <c r="G194" s="311">
        <f>VLOOKUP(8210,季財報!A:H,7)</f>
        <v>0</v>
      </c>
      <c r="H194" s="312"/>
      <c r="I194" s="312"/>
      <c r="J194" s="312"/>
      <c r="K194" s="312"/>
      <c r="L194" s="312"/>
      <c r="M194" s="313"/>
      <c r="N194" s="312">
        <f t="shared" si="2"/>
        <v>4</v>
      </c>
      <c r="O194" s="314"/>
      <c r="P194" s="314"/>
      <c r="Q194" s="314"/>
      <c r="R194" s="314"/>
      <c r="S194" s="315"/>
    </row>
    <row r="195" spans="1:19" s="317" customFormat="1">
      <c r="A195" s="309" t="str">
        <f>HYPERLINK("http://www.wantgoo.com/stock/chart.aspx?stockno=3454","3454")</f>
        <v>3454</v>
      </c>
      <c r="B195" s="310"/>
      <c r="C195" s="311">
        <f>VLOOKUP(3454,季財報!A:H,3)</f>
        <v>0</v>
      </c>
      <c r="D195" s="311">
        <f>VLOOKUP(3454,季財報!A:H,4)</f>
        <v>1</v>
      </c>
      <c r="E195" s="311">
        <f>VLOOKUP(3454,季財報!A:H,5)</f>
        <v>0</v>
      </c>
      <c r="F195" s="311">
        <f>VLOOKUP(3454,季財報!A:H,6)</f>
        <v>1</v>
      </c>
      <c r="G195" s="311">
        <f>VLOOKUP(3454,季財報!A:H,7)</f>
        <v>0</v>
      </c>
      <c r="H195" s="312"/>
      <c r="I195" s="312"/>
      <c r="J195" s="312"/>
      <c r="K195" s="312"/>
      <c r="L195" s="312"/>
      <c r="M195" s="313"/>
      <c r="N195" s="312">
        <f t="shared" si="2"/>
        <v>2</v>
      </c>
      <c r="O195" s="314"/>
      <c r="P195" s="314"/>
      <c r="Q195" s="314"/>
      <c r="R195" s="314"/>
      <c r="S195" s="315"/>
    </row>
    <row r="196" spans="1:19">
      <c r="A196" s="307" t="str">
        <f>HYPERLINK("http://www.wantgoo.com/stock/chart.aspx?stockno=5706","5706")</f>
        <v>5706</v>
      </c>
      <c r="C196" s="18">
        <f>VLOOKUP(5706,季財報!A:H,3)</f>
        <v>1</v>
      </c>
      <c r="D196" s="18">
        <f>VLOOKUP(5706,季財報!A:H,4)</f>
        <v>1</v>
      </c>
      <c r="E196" s="18">
        <f>VLOOKUP(5706,季財報!A:H,5)</f>
        <v>2</v>
      </c>
      <c r="F196" s="18">
        <f>VLOOKUP(5706,季財報!A:H,6)</f>
        <v>0</v>
      </c>
      <c r="G196" s="18">
        <f>VLOOKUP(5706,季財報!A:H,7)</f>
        <v>0</v>
      </c>
      <c r="N196" s="20">
        <f t="shared" ref="N196:N259" si="3">SUM(C196:M196)</f>
        <v>4</v>
      </c>
    </row>
    <row r="197" spans="1:19" s="317" customFormat="1">
      <c r="A197" s="309" t="str">
        <f>HYPERLINK("http://www.wantgoo.com/stock/chart.aspx?stockno=5490","5490")</f>
        <v>5490</v>
      </c>
      <c r="B197" s="310"/>
      <c r="C197" s="311">
        <f>VLOOKUP(5490,季財報!A:H,3)</f>
        <v>0</v>
      </c>
      <c r="D197" s="311">
        <f>VLOOKUP(5490,季財報!A:H,4)</f>
        <v>1</v>
      </c>
      <c r="E197" s="311">
        <f>VLOOKUP(5490,季財報!A:H,5)</f>
        <v>0</v>
      </c>
      <c r="F197" s="311">
        <f>VLOOKUP(5490,季財報!A:H,6)</f>
        <v>1</v>
      </c>
      <c r="G197" s="311">
        <f>VLOOKUP(5490,季財報!A:H,7)</f>
        <v>1</v>
      </c>
      <c r="H197" s="312"/>
      <c r="I197" s="312"/>
      <c r="J197" s="312"/>
      <c r="K197" s="312"/>
      <c r="L197" s="312"/>
      <c r="M197" s="313"/>
      <c r="N197" s="312">
        <f t="shared" si="3"/>
        <v>3</v>
      </c>
      <c r="O197" s="314"/>
      <c r="P197" s="314"/>
      <c r="Q197" s="314"/>
      <c r="R197" s="314"/>
      <c r="S197" s="315"/>
    </row>
    <row r="198" spans="1:19">
      <c r="A198" s="308" t="str">
        <f>HYPERLINK("http://www.wantgoo.com/stock/chart.aspx?stockno=2344","2344")</f>
        <v>2344</v>
      </c>
      <c r="C198" s="18">
        <f>VLOOKUP(2344,季財報!A:H,3)</f>
        <v>0</v>
      </c>
      <c r="D198" s="18">
        <f>VLOOKUP(2344,季財報!A:H,4)</f>
        <v>0</v>
      </c>
      <c r="E198" s="18">
        <f>VLOOKUP(2344,季財報!A:H,5)</f>
        <v>0</v>
      </c>
      <c r="F198" s="18">
        <f>VLOOKUP(2344,季財報!A:H,6)</f>
        <v>1</v>
      </c>
      <c r="G198" s="18">
        <f>VLOOKUP(2344,季財報!A:H,7)</f>
        <v>0</v>
      </c>
      <c r="N198" s="20">
        <f t="shared" si="3"/>
        <v>1</v>
      </c>
    </row>
    <row r="199" spans="1:19">
      <c r="A199" s="308" t="str">
        <f>HYPERLINK("http://www.wantgoo.com/stock/chart.aspx?stockno=5425","5425")</f>
        <v>5425</v>
      </c>
      <c r="C199" s="18">
        <f>VLOOKUP(5425,季財報!A:H,3)</f>
        <v>1</v>
      </c>
      <c r="D199" s="18">
        <f>VLOOKUP(5425,季財報!A:H,4)</f>
        <v>1</v>
      </c>
      <c r="E199" s="18">
        <f>VLOOKUP(5425,季財報!A:H,5)</f>
        <v>0</v>
      </c>
      <c r="F199" s="18">
        <f>VLOOKUP(5425,季財報!A:H,6)</f>
        <v>1</v>
      </c>
      <c r="G199" s="18">
        <f>VLOOKUP(5425,季財報!A:H,7)</f>
        <v>0</v>
      </c>
      <c r="N199" s="20">
        <f t="shared" si="3"/>
        <v>3</v>
      </c>
    </row>
    <row r="200" spans="1:19">
      <c r="A200" s="308" t="str">
        <f>HYPERLINK("http://www.wantgoo.com/stock/chart.aspx?stockno=8059","8059")</f>
        <v>8059</v>
      </c>
      <c r="C200" s="18">
        <f>VLOOKUP(8059,季財報!A:H,3)</f>
        <v>0</v>
      </c>
      <c r="D200" s="18">
        <f>VLOOKUP(8059,季財報!A:H,4)</f>
        <v>1</v>
      </c>
      <c r="E200" s="18">
        <f>VLOOKUP(8059,季財報!A:H,5)</f>
        <v>0</v>
      </c>
      <c r="F200" s="18">
        <f>VLOOKUP(8059,季財報!A:H,6)</f>
        <v>0</v>
      </c>
      <c r="G200" s="18">
        <f>VLOOKUP(8059,季財報!A:H,7)</f>
        <v>0</v>
      </c>
      <c r="N200" s="20">
        <f t="shared" si="3"/>
        <v>1</v>
      </c>
    </row>
    <row r="201" spans="1:19">
      <c r="A201" s="308" t="str">
        <f>HYPERLINK("http://www.wantgoo.com/stock/chart.aspx?stockno=9946","9946")</f>
        <v>9946</v>
      </c>
      <c r="C201" s="18">
        <f>VLOOKUP(9946,季財報!A:H,3)</f>
        <v>1</v>
      </c>
      <c r="D201" s="18">
        <f>VLOOKUP(9946,季財報!A:H,4)</f>
        <v>1</v>
      </c>
      <c r="E201" s="18">
        <f>VLOOKUP(9946,季財報!A:H,5)</f>
        <v>2</v>
      </c>
      <c r="F201" s="18">
        <f>VLOOKUP(9946,季財報!A:H,6)</f>
        <v>1</v>
      </c>
      <c r="G201" s="18">
        <f>VLOOKUP(9946,季財報!A:H,7)</f>
        <v>0</v>
      </c>
      <c r="N201" s="20">
        <f t="shared" si="3"/>
        <v>5</v>
      </c>
    </row>
    <row r="202" spans="1:19">
      <c r="A202" s="307" t="str">
        <f>HYPERLINK("http://www.wantgoo.com/stock/chart.aspx?stockno=5439","5439")</f>
        <v>5439</v>
      </c>
      <c r="C202" s="18">
        <f>VLOOKUP(5439,季財報!A:H,3)</f>
        <v>1</v>
      </c>
      <c r="D202" s="18">
        <f>VLOOKUP(5439,季財報!A:H,4)</f>
        <v>1</v>
      </c>
      <c r="E202" s="18">
        <f>VLOOKUP(5439,季財報!A:H,5)</f>
        <v>0</v>
      </c>
      <c r="F202" s="18">
        <f>VLOOKUP(5439,季財報!A:H,6)</f>
        <v>1</v>
      </c>
      <c r="G202" s="18">
        <f>VLOOKUP(5439,季財報!A:H,7)</f>
        <v>0</v>
      </c>
      <c r="N202" s="20">
        <f t="shared" si="3"/>
        <v>3</v>
      </c>
    </row>
    <row r="203" spans="1:19">
      <c r="A203" s="308" t="str">
        <f>HYPERLINK("http://www.wantgoo.com/stock/chart.aspx?stockno=6217","6217")</f>
        <v>6217</v>
      </c>
      <c r="C203" s="18">
        <f>VLOOKUP(6217,季財報!A:H,3)</f>
        <v>1</v>
      </c>
      <c r="D203" s="18">
        <f>VLOOKUP(6217,季財報!A:H,4)</f>
        <v>1</v>
      </c>
      <c r="E203" s="18">
        <f>VLOOKUP(6217,季財報!A:H,5)</f>
        <v>1</v>
      </c>
      <c r="F203" s="18">
        <f>VLOOKUP(6217,季財報!A:H,6)</f>
        <v>1</v>
      </c>
      <c r="G203" s="18">
        <f>VLOOKUP(6217,季財報!A:H,7)</f>
        <v>1</v>
      </c>
      <c r="N203" s="20">
        <f t="shared" si="3"/>
        <v>5</v>
      </c>
    </row>
    <row r="204" spans="1:19" s="317" customFormat="1">
      <c r="A204" s="309" t="str">
        <f>HYPERLINK("http://www.wantgoo.com/stock/chart.aspx?stockno=8049","8049")</f>
        <v>8049</v>
      </c>
      <c r="B204" s="310"/>
      <c r="C204" s="311">
        <f>VLOOKUP(8049,季財報!A:H,3)</f>
        <v>1</v>
      </c>
      <c r="D204" s="311">
        <f>VLOOKUP(8049,季財報!A:H,4)</f>
        <v>1</v>
      </c>
      <c r="E204" s="311">
        <f>VLOOKUP(8049,季財報!A:H,5)</f>
        <v>2</v>
      </c>
      <c r="F204" s="311">
        <f>VLOOKUP(8049,季財報!A:H,6)</f>
        <v>1</v>
      </c>
      <c r="G204" s="311">
        <f>VLOOKUP(8049,季財報!A:H,7)</f>
        <v>0</v>
      </c>
      <c r="H204" s="312"/>
      <c r="I204" s="312"/>
      <c r="J204" s="312"/>
      <c r="K204" s="312"/>
      <c r="L204" s="312"/>
      <c r="M204" s="313"/>
      <c r="N204" s="312">
        <f t="shared" si="3"/>
        <v>5</v>
      </c>
      <c r="O204" s="314"/>
      <c r="P204" s="314"/>
      <c r="Q204" s="314"/>
      <c r="R204" s="314"/>
      <c r="S204" s="315"/>
    </row>
    <row r="205" spans="1:19" s="317" customFormat="1">
      <c r="A205" s="309" t="str">
        <f>HYPERLINK("http://www.wantgoo.com/stock/chart.aspx?stockno=1537","1537")</f>
        <v>1537</v>
      </c>
      <c r="B205" s="310"/>
      <c r="C205" s="311">
        <f>VLOOKUP(1537,季財報!A:H,3)</f>
        <v>1</v>
      </c>
      <c r="D205" s="311">
        <f>VLOOKUP(1537,季財報!A:H,4)</f>
        <v>1</v>
      </c>
      <c r="E205" s="311">
        <f>VLOOKUP(1537,季財報!A:H,5)</f>
        <v>0</v>
      </c>
      <c r="F205" s="311">
        <f>VLOOKUP(1537,季財報!A:H,6)</f>
        <v>1</v>
      </c>
      <c r="G205" s="311">
        <f>VLOOKUP(1537,季財報!A:H,7)</f>
        <v>1</v>
      </c>
      <c r="H205" s="312"/>
      <c r="I205" s="312"/>
      <c r="J205" s="312"/>
      <c r="K205" s="312"/>
      <c r="L205" s="312"/>
      <c r="M205" s="313"/>
      <c r="N205" s="312">
        <f t="shared" si="3"/>
        <v>4</v>
      </c>
      <c r="O205" s="314"/>
      <c r="P205" s="314"/>
      <c r="Q205" s="314"/>
      <c r="R205" s="314"/>
      <c r="S205" s="315"/>
    </row>
    <row r="206" spans="1:19">
      <c r="A206" s="307" t="str">
        <f>HYPERLINK("http://www.wantgoo.com/stock/chart.aspx?stockno=4909","4909")</f>
        <v>4909</v>
      </c>
      <c r="C206" s="18">
        <f>VLOOKUP(4909,季財報!A:H,3)</f>
        <v>1</v>
      </c>
      <c r="D206" s="18">
        <f>VLOOKUP(4909,季財報!A:H,4)</f>
        <v>1</v>
      </c>
      <c r="E206" s="18">
        <f>VLOOKUP(4909,季財報!A:H,5)</f>
        <v>0</v>
      </c>
      <c r="F206" s="18">
        <f>VLOOKUP(4909,季財報!A:H,6)</f>
        <v>1</v>
      </c>
      <c r="G206" s="18">
        <f>VLOOKUP(4909,季財報!A:H,7)</f>
        <v>0</v>
      </c>
      <c r="N206" s="20">
        <f t="shared" si="3"/>
        <v>3</v>
      </c>
    </row>
    <row r="207" spans="1:19">
      <c r="A207" s="308" t="str">
        <f>HYPERLINK("http://www.wantgoo.com/stock/chart.aspx?stockno=5878","5878")</f>
        <v>5878</v>
      </c>
      <c r="C207" s="18">
        <f>VLOOKUP(5878,季財報!A:H,3)</f>
        <v>0</v>
      </c>
      <c r="D207" s="18">
        <f>VLOOKUP(5878,季財報!A:H,4)</f>
        <v>1</v>
      </c>
      <c r="E207" s="18">
        <f>VLOOKUP(5878,季財報!A:H,5)</f>
        <v>0</v>
      </c>
      <c r="F207" s="18">
        <f>VLOOKUP(5878,季財報!A:H,6)</f>
        <v>0</v>
      </c>
      <c r="G207" s="18">
        <f>VLOOKUP(5878,季財報!A:H,7)</f>
        <v>0</v>
      </c>
      <c r="N207" s="20">
        <f t="shared" si="3"/>
        <v>1</v>
      </c>
    </row>
    <row r="208" spans="1:19">
      <c r="A208" s="307" t="str">
        <f>HYPERLINK("http://www.wantgoo.com/stock/chart.aspx?stockno=1108","1108")</f>
        <v>1108</v>
      </c>
      <c r="C208" s="18">
        <f>VLOOKUP(1108,季財報!A:H,3)</f>
        <v>0</v>
      </c>
      <c r="D208" s="18">
        <f>VLOOKUP(1108,季財報!A:H,4)</f>
        <v>1</v>
      </c>
      <c r="E208" s="18">
        <f>VLOOKUP(1108,季財報!A:H,5)</f>
        <v>0</v>
      </c>
      <c r="F208" s="18">
        <f>VLOOKUP(1108,季財報!A:H,6)</f>
        <v>1</v>
      </c>
      <c r="G208" s="18">
        <f>VLOOKUP(1108,季財報!A:H,7)</f>
        <v>0</v>
      </c>
      <c r="N208" s="20">
        <f t="shared" si="3"/>
        <v>2</v>
      </c>
    </row>
    <row r="209" spans="1:19">
      <c r="A209" s="307" t="str">
        <f>HYPERLINK("http://www.wantgoo.com/stock/chart.aspx?stockno=2472","2472")</f>
        <v>2472</v>
      </c>
      <c r="C209" s="18">
        <f>VLOOKUP(2472,季財報!A:H,3)</f>
        <v>1</v>
      </c>
      <c r="D209" s="18">
        <f>VLOOKUP(2472,季財報!A:H,4)</f>
        <v>1</v>
      </c>
      <c r="E209" s="18">
        <f>VLOOKUP(2472,季財報!A:H,5)</f>
        <v>0</v>
      </c>
      <c r="F209" s="18">
        <f>VLOOKUP(2472,季財報!A:H,6)</f>
        <v>1</v>
      </c>
      <c r="G209" s="18">
        <f>VLOOKUP(2472,季財報!A:H,7)</f>
        <v>0</v>
      </c>
      <c r="N209" s="20">
        <f t="shared" si="3"/>
        <v>3</v>
      </c>
    </row>
    <row r="210" spans="1:19">
      <c r="A210" s="307" t="str">
        <f>HYPERLINK("http://www.wantgoo.com/stock/chart.aspx?stockno=3022","3022")</f>
        <v>3022</v>
      </c>
      <c r="C210" s="18">
        <f>VLOOKUP(3022,季財報!A:H,3)</f>
        <v>0</v>
      </c>
      <c r="D210" s="18">
        <f>VLOOKUP(3022,季財報!A:H,4)</f>
        <v>1</v>
      </c>
      <c r="E210" s="18">
        <f>VLOOKUP(3022,季財報!A:H,5)</f>
        <v>0</v>
      </c>
      <c r="F210" s="18">
        <f>VLOOKUP(3022,季財報!A:H,6)</f>
        <v>1</v>
      </c>
      <c r="G210" s="18">
        <f>VLOOKUP(3022,季財報!A:H,7)</f>
        <v>0</v>
      </c>
      <c r="N210" s="20">
        <f t="shared" si="3"/>
        <v>2</v>
      </c>
    </row>
    <row r="211" spans="1:19">
      <c r="A211" s="307" t="str">
        <f>HYPERLINK("http://www.wantgoo.com/stock/chart.aspx?stockno=3284","3284")</f>
        <v>3284</v>
      </c>
      <c r="C211" s="18">
        <f>VLOOKUP(3284,季財報!A:H,3)</f>
        <v>1</v>
      </c>
      <c r="D211" s="18">
        <f>VLOOKUP(3284,季財報!A:H,4)</f>
        <v>1</v>
      </c>
      <c r="E211" s="18">
        <f>VLOOKUP(3284,季財報!A:H,5)</f>
        <v>2</v>
      </c>
      <c r="F211" s="18">
        <f>VLOOKUP(3284,季財報!A:H,6)</f>
        <v>0</v>
      </c>
      <c r="G211" s="18">
        <f>VLOOKUP(3284,季財報!A:H,7)</f>
        <v>0</v>
      </c>
      <c r="N211" s="20">
        <f t="shared" si="3"/>
        <v>4</v>
      </c>
    </row>
    <row r="212" spans="1:19">
      <c r="A212" s="308" t="str">
        <f>HYPERLINK("http://www.wantgoo.com/stock/chart.aspx?stockno=8032","8032")</f>
        <v>8032</v>
      </c>
      <c r="C212" s="18">
        <f>VLOOKUP(8032,季財報!A:H,3)</f>
        <v>1</v>
      </c>
      <c r="D212" s="18">
        <f>VLOOKUP(8032,季財報!A:H,4)</f>
        <v>1</v>
      </c>
      <c r="E212" s="18">
        <f>VLOOKUP(8032,季財報!A:H,5)</f>
        <v>1</v>
      </c>
      <c r="F212" s="18">
        <f>VLOOKUP(8032,季財報!A:H,6)</f>
        <v>0</v>
      </c>
      <c r="G212" s="18">
        <f>VLOOKUP(8032,季財報!A:H,7)</f>
        <v>0</v>
      </c>
      <c r="N212" s="20">
        <f t="shared" si="3"/>
        <v>3</v>
      </c>
    </row>
    <row r="213" spans="1:19">
      <c r="A213" s="307" t="str">
        <f>HYPERLINK("http://www.wantgoo.com/stock/chart.aspx?stockno=5285","5285")</f>
        <v>5285</v>
      </c>
      <c r="C213" s="18">
        <f>VLOOKUP(5285,季財報!A:H,3)</f>
        <v>1</v>
      </c>
      <c r="D213" s="18">
        <f>VLOOKUP(5285,季財報!A:H,4)</f>
        <v>1</v>
      </c>
      <c r="E213" s="18">
        <f>VLOOKUP(5285,季財報!A:H,5)</f>
        <v>1</v>
      </c>
      <c r="F213" s="18">
        <f>VLOOKUP(5285,季財報!A:H,6)</f>
        <v>1</v>
      </c>
      <c r="G213" s="18">
        <f>VLOOKUP(5285,季財報!A:H,7)</f>
        <v>0</v>
      </c>
      <c r="N213" s="20">
        <f t="shared" si="3"/>
        <v>4</v>
      </c>
    </row>
    <row r="214" spans="1:19" s="317" customFormat="1">
      <c r="A214" s="309" t="str">
        <f>HYPERLINK("http://www.wantgoo.com/stock/chart.aspx?stockno=3558","3558")</f>
        <v>3558</v>
      </c>
      <c r="B214" s="310"/>
      <c r="C214" s="311">
        <f>VLOOKUP(3558,季財報!A:H,3)</f>
        <v>1</v>
      </c>
      <c r="D214" s="311">
        <f>VLOOKUP(3558,季財報!A:H,4)</f>
        <v>1</v>
      </c>
      <c r="E214" s="311">
        <f>VLOOKUP(3558,季財報!A:H,5)</f>
        <v>2</v>
      </c>
      <c r="F214" s="311">
        <f>VLOOKUP(3558,季財報!A:H,6)</f>
        <v>1</v>
      </c>
      <c r="G214" s="311">
        <f>VLOOKUP(3558,季財報!A:H,7)</f>
        <v>1</v>
      </c>
      <c r="H214" s="312"/>
      <c r="I214" s="312"/>
      <c r="J214" s="312"/>
      <c r="K214" s="312"/>
      <c r="L214" s="312"/>
      <c r="M214" s="313"/>
      <c r="N214" s="312">
        <f t="shared" si="3"/>
        <v>6</v>
      </c>
      <c r="O214" s="314"/>
      <c r="P214" s="314"/>
      <c r="Q214" s="314"/>
      <c r="R214" s="314"/>
      <c r="S214" s="315"/>
    </row>
    <row r="215" spans="1:19">
      <c r="A215" s="307" t="str">
        <f>HYPERLINK("http://www.wantgoo.com/stock/chart.aspx?stockno=6245","6245")</f>
        <v>6245</v>
      </c>
      <c r="C215" s="18">
        <f>VLOOKUP(6245,季財報!A:H,3)</f>
        <v>0</v>
      </c>
      <c r="D215" s="18">
        <f>VLOOKUP(6245,季財報!A:H,4)</f>
        <v>1</v>
      </c>
      <c r="E215" s="18">
        <f>VLOOKUP(6245,季財報!A:H,5)</f>
        <v>0</v>
      </c>
      <c r="F215" s="18">
        <f>VLOOKUP(6245,季財報!A:H,6)</f>
        <v>1</v>
      </c>
      <c r="G215" s="18">
        <f>VLOOKUP(6245,季財報!A:H,7)</f>
        <v>0</v>
      </c>
      <c r="N215" s="20">
        <f t="shared" si="3"/>
        <v>2</v>
      </c>
    </row>
    <row r="216" spans="1:19">
      <c r="A216" s="307" t="str">
        <f>HYPERLINK("http://www.wantgoo.com/stock/chart.aspx?stockno=2425","2425")</f>
        <v>2425</v>
      </c>
      <c r="C216" s="18">
        <f>VLOOKUP(2425,季財報!A:H,3)</f>
        <v>0</v>
      </c>
      <c r="D216" s="18">
        <f>VLOOKUP(2425,季財報!A:H,4)</f>
        <v>1</v>
      </c>
      <c r="E216" s="18">
        <f>VLOOKUP(2425,季財報!A:H,5)</f>
        <v>0</v>
      </c>
      <c r="F216" s="18">
        <f>VLOOKUP(2425,季財報!A:H,6)</f>
        <v>1</v>
      </c>
      <c r="G216" s="18">
        <f>VLOOKUP(2425,季財報!A:H,7)</f>
        <v>0</v>
      </c>
      <c r="N216" s="20">
        <f t="shared" si="3"/>
        <v>2</v>
      </c>
    </row>
    <row r="217" spans="1:19">
      <c r="A217" s="308" t="str">
        <f>HYPERLINK("http://www.wantgoo.com/stock/chart.aspx?stockno=2483","2483")</f>
        <v>2483</v>
      </c>
      <c r="C217" s="18">
        <f>VLOOKUP(2483,季財報!A:H,3)</f>
        <v>0</v>
      </c>
      <c r="D217" s="18">
        <f>VLOOKUP(2483,季財報!A:H,4)</f>
        <v>1</v>
      </c>
      <c r="E217" s="18">
        <f>VLOOKUP(2483,季財報!A:H,5)</f>
        <v>1</v>
      </c>
      <c r="F217" s="18">
        <f>VLOOKUP(2483,季財報!A:H,6)</f>
        <v>0</v>
      </c>
      <c r="G217" s="18">
        <f>VLOOKUP(2483,季財報!A:H,7)</f>
        <v>0</v>
      </c>
      <c r="N217" s="20">
        <f t="shared" si="3"/>
        <v>2</v>
      </c>
    </row>
    <row r="218" spans="1:19">
      <c r="A218" s="307" t="str">
        <f>HYPERLINK("http://www.wantgoo.com/stock/chart.aspx?stockno=5410","5410")</f>
        <v>5410</v>
      </c>
      <c r="C218" s="18">
        <f>VLOOKUP(5410,季財報!A:H,3)</f>
        <v>0</v>
      </c>
      <c r="D218" s="18">
        <f>VLOOKUP(5410,季財報!A:H,4)</f>
        <v>1</v>
      </c>
      <c r="E218" s="18">
        <f>VLOOKUP(5410,季財報!A:H,5)</f>
        <v>0</v>
      </c>
      <c r="F218" s="18">
        <f>VLOOKUP(5410,季財報!A:H,6)</f>
        <v>0</v>
      </c>
      <c r="G218" s="18">
        <f>VLOOKUP(5410,季財報!A:H,7)</f>
        <v>0</v>
      </c>
      <c r="N218" s="20">
        <f t="shared" si="3"/>
        <v>1</v>
      </c>
    </row>
    <row r="219" spans="1:19">
      <c r="A219" s="307" t="str">
        <f>HYPERLINK("http://www.wantgoo.com/stock/chart.aspx?stockno=8074","8074")</f>
        <v>8074</v>
      </c>
      <c r="C219" s="18">
        <f>VLOOKUP(8074,季財報!A:H,3)</f>
        <v>1</v>
      </c>
      <c r="D219" s="18">
        <f>VLOOKUP(8074,季財報!A:H,4)</f>
        <v>1</v>
      </c>
      <c r="E219" s="18">
        <f>VLOOKUP(8074,季財報!A:H,5)</f>
        <v>1</v>
      </c>
      <c r="F219" s="18">
        <f>VLOOKUP(8074,季財報!A:H,6)</f>
        <v>1</v>
      </c>
      <c r="G219" s="18">
        <f>VLOOKUP(8074,季財報!A:H,7)</f>
        <v>0</v>
      </c>
      <c r="N219" s="20">
        <f t="shared" si="3"/>
        <v>4</v>
      </c>
    </row>
    <row r="220" spans="1:19">
      <c r="A220" s="308" t="str">
        <f>HYPERLINK("http://www.wantgoo.com/stock/chart.aspx?stockno=5438","5438")</f>
        <v>5438</v>
      </c>
      <c r="C220" s="18">
        <f>VLOOKUP(5438,季財報!A:H,3)</f>
        <v>1</v>
      </c>
      <c r="D220" s="18">
        <f>VLOOKUP(5438,季財報!A:H,4)</f>
        <v>1</v>
      </c>
      <c r="E220" s="18">
        <f>VLOOKUP(5438,季財報!A:H,5)</f>
        <v>1</v>
      </c>
      <c r="F220" s="18">
        <f>VLOOKUP(5438,季財報!A:H,6)</f>
        <v>1</v>
      </c>
      <c r="G220" s="18">
        <f>VLOOKUP(5438,季財報!A:H,7)</f>
        <v>0</v>
      </c>
      <c r="N220" s="20">
        <f t="shared" si="3"/>
        <v>4</v>
      </c>
    </row>
    <row r="221" spans="1:19" s="317" customFormat="1">
      <c r="A221" s="309" t="str">
        <f>HYPERLINK("http://www.wantgoo.com/stock/chart.aspx?stockno=1726","1726")</f>
        <v>1726</v>
      </c>
      <c r="B221" s="310"/>
      <c r="C221" s="311">
        <f>VLOOKUP(1726,季財報!A:H,3)</f>
        <v>1</v>
      </c>
      <c r="D221" s="311">
        <f>VLOOKUP(1726,季財報!A:H,4)</f>
        <v>1</v>
      </c>
      <c r="E221" s="311">
        <f>VLOOKUP(1726,季財報!A:H,5)</f>
        <v>0</v>
      </c>
      <c r="F221" s="311">
        <f>VLOOKUP(1726,季財報!A:H,6)</f>
        <v>1</v>
      </c>
      <c r="G221" s="311">
        <f>VLOOKUP(1726,季財報!A:H,7)</f>
        <v>0</v>
      </c>
      <c r="H221" s="312"/>
      <c r="I221" s="312"/>
      <c r="J221" s="312"/>
      <c r="K221" s="312"/>
      <c r="L221" s="312"/>
      <c r="M221" s="313"/>
      <c r="N221" s="312">
        <f t="shared" si="3"/>
        <v>3</v>
      </c>
      <c r="O221" s="314"/>
      <c r="P221" s="314"/>
      <c r="Q221" s="314"/>
      <c r="R221" s="314"/>
      <c r="S221" s="315"/>
    </row>
    <row r="222" spans="1:19">
      <c r="A222" s="307" t="str">
        <f>HYPERLINK("http://www.wantgoo.com/stock/chart.aspx?stockno=2015","2015")</f>
        <v>2015</v>
      </c>
      <c r="C222" s="18">
        <f>VLOOKUP(2015,季財報!A:H,3)</f>
        <v>0</v>
      </c>
      <c r="D222" s="18">
        <f>VLOOKUP(2015,季財報!A:H,4)</f>
        <v>1</v>
      </c>
      <c r="E222" s="18">
        <f>VLOOKUP(2015,季財報!A:H,5)</f>
        <v>1</v>
      </c>
      <c r="F222" s="18">
        <f>VLOOKUP(2015,季財報!A:H,6)</f>
        <v>1</v>
      </c>
      <c r="G222" s="18">
        <f>VLOOKUP(2015,季財報!A:H,7)</f>
        <v>0</v>
      </c>
      <c r="N222" s="20">
        <f t="shared" si="3"/>
        <v>3</v>
      </c>
    </row>
    <row r="223" spans="1:19">
      <c r="A223" s="308" t="str">
        <f>HYPERLINK("http://www.wantgoo.com/stock/chart.aspx?stockno=3556","3556")</f>
        <v>3556</v>
      </c>
      <c r="C223" s="18">
        <f>VLOOKUP(3556,季財報!A:H,3)</f>
        <v>0</v>
      </c>
      <c r="D223" s="18">
        <f>VLOOKUP(3556,季財報!A:H,4)</f>
        <v>0</v>
      </c>
      <c r="E223" s="18">
        <f>VLOOKUP(3556,季財報!A:H,5)</f>
        <v>0</v>
      </c>
      <c r="F223" s="18">
        <f>VLOOKUP(3556,季財報!A:H,6)</f>
        <v>1</v>
      </c>
      <c r="G223" s="18">
        <f>VLOOKUP(3556,季財報!A:H,7)</f>
        <v>0</v>
      </c>
      <c r="N223" s="20">
        <f t="shared" si="3"/>
        <v>1</v>
      </c>
    </row>
    <row r="224" spans="1:19">
      <c r="A224" s="307" t="str">
        <f>HYPERLINK("http://www.wantgoo.com/stock/chart.aspx?stockno=5203","5203")</f>
        <v>5203</v>
      </c>
      <c r="C224" s="18">
        <f>VLOOKUP(5203,季財報!A:H,3)</f>
        <v>0</v>
      </c>
      <c r="D224" s="18">
        <f>VLOOKUP(5203,季財報!A:H,4)</f>
        <v>1</v>
      </c>
      <c r="E224" s="18">
        <f>VLOOKUP(5203,季財報!A:H,5)</f>
        <v>2</v>
      </c>
      <c r="F224" s="18">
        <f>VLOOKUP(5203,季財報!A:H,6)</f>
        <v>0</v>
      </c>
      <c r="G224" s="18">
        <f>VLOOKUP(5203,季財報!A:H,7)</f>
        <v>0</v>
      </c>
      <c r="N224" s="20">
        <f t="shared" si="3"/>
        <v>3</v>
      </c>
    </row>
    <row r="225" spans="1:19">
      <c r="A225" s="308" t="str">
        <f>HYPERLINK("http://www.wantgoo.com/stock/chart.aspx?stockno=3527","3527")</f>
        <v>3527</v>
      </c>
      <c r="C225" s="18">
        <f>VLOOKUP(3527,季財報!A:H,3)</f>
        <v>0</v>
      </c>
      <c r="D225" s="18">
        <f>VLOOKUP(3527,季財報!A:H,4)</f>
        <v>1</v>
      </c>
      <c r="E225" s="18">
        <f>VLOOKUP(3527,季財報!A:H,5)</f>
        <v>0</v>
      </c>
      <c r="F225" s="18">
        <f>VLOOKUP(3527,季財報!A:H,6)</f>
        <v>0</v>
      </c>
      <c r="G225" s="18">
        <f>VLOOKUP(3527,季財報!A:H,7)</f>
        <v>0</v>
      </c>
      <c r="N225" s="20">
        <f t="shared" si="3"/>
        <v>1</v>
      </c>
    </row>
    <row r="226" spans="1:19" s="317" customFormat="1">
      <c r="A226" s="309" t="str">
        <f>HYPERLINK("http://www.wantgoo.com/stock/chart.aspx?stockno=3088","3088")</f>
        <v>3088</v>
      </c>
      <c r="B226" s="310"/>
      <c r="C226" s="311">
        <f>VLOOKUP(3088,季財報!A:H,3)</f>
        <v>1</v>
      </c>
      <c r="D226" s="311">
        <f>VLOOKUP(3088,季財報!A:H,4)</f>
        <v>1</v>
      </c>
      <c r="E226" s="311">
        <f>VLOOKUP(3088,季財報!A:H,5)</f>
        <v>1</v>
      </c>
      <c r="F226" s="311">
        <f>VLOOKUP(3088,季財報!A:H,6)</f>
        <v>1</v>
      </c>
      <c r="G226" s="311">
        <f>VLOOKUP(3088,季財報!A:H,7)</f>
        <v>0</v>
      </c>
      <c r="H226" s="312"/>
      <c r="I226" s="312"/>
      <c r="J226" s="312"/>
      <c r="K226" s="312"/>
      <c r="L226" s="312"/>
      <c r="M226" s="313"/>
      <c r="N226" s="312">
        <f t="shared" si="3"/>
        <v>4</v>
      </c>
      <c r="O226" s="314"/>
      <c r="P226" s="314"/>
      <c r="Q226" s="314"/>
      <c r="R226" s="314"/>
      <c r="S226" s="315"/>
    </row>
    <row r="227" spans="1:19">
      <c r="A227" s="308" t="str">
        <f>HYPERLINK("http://www.wantgoo.com/stock/chart.aspx?stockno=1442","1442")</f>
        <v>1442</v>
      </c>
      <c r="C227" s="18">
        <f>VLOOKUP(1442,季財報!A:H,3)</f>
        <v>0</v>
      </c>
      <c r="D227" s="18">
        <f>VLOOKUP(1442,季財報!A:H,4)</f>
        <v>0</v>
      </c>
      <c r="E227" s="18">
        <f>VLOOKUP(1442,季財報!A:H,5)</f>
        <v>0</v>
      </c>
      <c r="F227" s="18">
        <f>VLOOKUP(1442,季財報!A:H,6)</f>
        <v>0</v>
      </c>
      <c r="G227" s="18">
        <f>VLOOKUP(1442,季財報!A:H,7)</f>
        <v>0</v>
      </c>
      <c r="N227" s="20">
        <f t="shared" si="3"/>
        <v>0</v>
      </c>
    </row>
    <row r="228" spans="1:19">
      <c r="A228" s="308" t="str">
        <f>HYPERLINK("http://www.wantgoo.com/stock/chart.aspx?stockno=8426","8426")</f>
        <v>8426</v>
      </c>
      <c r="C228" s="18">
        <f>VLOOKUP(8426,季財報!A:H,3)</f>
        <v>1</v>
      </c>
      <c r="D228" s="18">
        <f>VLOOKUP(8426,季財報!A:H,4)</f>
        <v>1</v>
      </c>
      <c r="E228" s="18">
        <f>VLOOKUP(8426,季財報!A:H,5)</f>
        <v>1</v>
      </c>
      <c r="F228" s="18">
        <f>VLOOKUP(8426,季財報!A:H,6)</f>
        <v>1</v>
      </c>
      <c r="G228" s="18">
        <f>VLOOKUP(8426,季財報!A:H,7)</f>
        <v>0</v>
      </c>
      <c r="N228" s="20">
        <f t="shared" si="3"/>
        <v>4</v>
      </c>
    </row>
    <row r="229" spans="1:19">
      <c r="A229" s="308" t="str">
        <f>HYPERLINK("http://www.wantgoo.com/stock/chart.aspx?stockno=1457","1457")</f>
        <v>1457</v>
      </c>
      <c r="C229" s="18">
        <f>VLOOKUP(1457,季財報!A:H,3)</f>
        <v>0</v>
      </c>
      <c r="D229" s="18">
        <f>VLOOKUP(1457,季財報!A:H,4)</f>
        <v>1</v>
      </c>
      <c r="E229" s="18">
        <f>VLOOKUP(1457,季財報!A:H,5)</f>
        <v>0</v>
      </c>
      <c r="F229" s="18">
        <f>VLOOKUP(1457,季財報!A:H,6)</f>
        <v>0</v>
      </c>
      <c r="G229" s="18">
        <f>VLOOKUP(1457,季財報!A:H,7)</f>
        <v>1</v>
      </c>
      <c r="N229" s="20">
        <f t="shared" si="3"/>
        <v>2</v>
      </c>
    </row>
    <row r="230" spans="1:19">
      <c r="A230" s="307" t="str">
        <f>HYPERLINK("http://www.wantgoo.com/stock/chart.aspx?stockno=2064","2064")</f>
        <v>2064</v>
      </c>
      <c r="C230" s="18">
        <f>VLOOKUP(2064,季財報!A:H,3)</f>
        <v>0</v>
      </c>
      <c r="D230" s="18">
        <f>VLOOKUP(2064,季財報!A:H,4)</f>
        <v>1</v>
      </c>
      <c r="E230" s="18">
        <f>VLOOKUP(2064,季財報!A:H,5)</f>
        <v>0</v>
      </c>
      <c r="F230" s="18">
        <f>VLOOKUP(2064,季財報!A:H,6)</f>
        <v>1</v>
      </c>
      <c r="G230" s="18">
        <f>VLOOKUP(2064,季財報!A:H,7)</f>
        <v>0</v>
      </c>
      <c r="N230" s="20">
        <f t="shared" si="3"/>
        <v>2</v>
      </c>
    </row>
    <row r="231" spans="1:19">
      <c r="A231" s="307" t="str">
        <f>HYPERLINK("http://www.wantgoo.com/stock/chart.aspx?stockno=2437","2437")</f>
        <v>2437</v>
      </c>
      <c r="C231" s="18">
        <f>VLOOKUP(2437,季財報!A:H,3)</f>
        <v>1</v>
      </c>
      <c r="D231" s="18">
        <f>VLOOKUP(2437,季財報!A:H,4)</f>
        <v>1</v>
      </c>
      <c r="E231" s="18">
        <f>VLOOKUP(2437,季財報!A:H,5)</f>
        <v>0</v>
      </c>
      <c r="F231" s="18">
        <f>VLOOKUP(2437,季財報!A:H,6)</f>
        <v>1</v>
      </c>
      <c r="G231" s="18">
        <f>VLOOKUP(2437,季財報!A:H,7)</f>
        <v>0</v>
      </c>
      <c r="N231" s="20">
        <f t="shared" si="3"/>
        <v>3</v>
      </c>
    </row>
    <row r="232" spans="1:19">
      <c r="A232" s="307" t="str">
        <f>HYPERLINK("http://www.wantgoo.com/stock/chart.aspx?stockno=3570","3570")</f>
        <v>3570</v>
      </c>
      <c r="C232" s="18">
        <f>VLOOKUP(3570,季財報!A:H,3)</f>
        <v>0</v>
      </c>
      <c r="D232" s="18">
        <f>VLOOKUP(3570,季財報!A:H,4)</f>
        <v>0</v>
      </c>
      <c r="E232" s="18">
        <f>VLOOKUP(3570,季財報!A:H,5)</f>
        <v>2</v>
      </c>
      <c r="F232" s="18">
        <f>VLOOKUP(3570,季財報!A:H,6)</f>
        <v>0</v>
      </c>
      <c r="G232" s="18">
        <f>VLOOKUP(3570,季財報!A:H,7)</f>
        <v>0</v>
      </c>
      <c r="N232" s="20">
        <f t="shared" si="3"/>
        <v>2</v>
      </c>
    </row>
    <row r="233" spans="1:19">
      <c r="A233" s="307" t="str">
        <f>HYPERLINK("http://www.wantgoo.com/stock/chart.aspx?stockno=2359","2359")</f>
        <v>2359</v>
      </c>
      <c r="C233" s="18">
        <f>VLOOKUP(2359,季財報!A:H,3)</f>
        <v>0</v>
      </c>
      <c r="D233" s="18">
        <f>VLOOKUP(2359,季財報!A:H,4)</f>
        <v>1</v>
      </c>
      <c r="E233" s="18">
        <f>VLOOKUP(2359,季財報!A:H,5)</f>
        <v>0</v>
      </c>
      <c r="F233" s="18">
        <f>VLOOKUP(2359,季財報!A:H,6)</f>
        <v>1</v>
      </c>
      <c r="G233" s="18">
        <f>VLOOKUP(2359,季財報!A:H,7)</f>
        <v>0</v>
      </c>
      <c r="N233" s="20">
        <f t="shared" si="3"/>
        <v>2</v>
      </c>
    </row>
    <row r="234" spans="1:19">
      <c r="A234" s="308" t="str">
        <f>HYPERLINK("http://www.wantgoo.com/stock/chart.aspx?stockno=1813","1813")</f>
        <v>1813</v>
      </c>
      <c r="C234" s="18">
        <f>VLOOKUP(1813,季財報!A:H,3)</f>
        <v>1</v>
      </c>
      <c r="D234" s="18">
        <f>VLOOKUP(1813,季財報!A:H,4)</f>
        <v>1</v>
      </c>
      <c r="E234" s="18">
        <f>VLOOKUP(1813,季財報!A:H,5)</f>
        <v>0</v>
      </c>
      <c r="F234" s="18">
        <f>VLOOKUP(1813,季財報!A:H,6)</f>
        <v>1</v>
      </c>
      <c r="G234" s="18">
        <f>VLOOKUP(1813,季財報!A:H,7)</f>
        <v>0</v>
      </c>
      <c r="N234" s="20">
        <f t="shared" si="3"/>
        <v>3</v>
      </c>
    </row>
    <row r="235" spans="1:19">
      <c r="A235" s="308" t="str">
        <f>HYPERLINK("http://www.wantgoo.com/stock/chart.aspx?stockno=4432","4432")</f>
        <v>4432</v>
      </c>
      <c r="C235" s="18">
        <f>VLOOKUP(4432,季財報!A:H,3)</f>
        <v>1</v>
      </c>
      <c r="D235" s="18">
        <f>VLOOKUP(4432,季財報!A:H,4)</f>
        <v>1</v>
      </c>
      <c r="E235" s="18">
        <f>VLOOKUP(4432,季財報!A:H,5)</f>
        <v>0</v>
      </c>
      <c r="F235" s="18">
        <f>VLOOKUP(4432,季財報!A:H,6)</f>
        <v>1</v>
      </c>
      <c r="G235" s="18">
        <f>VLOOKUP(4432,季財報!A:H,7)</f>
        <v>0</v>
      </c>
      <c r="N235" s="20">
        <f t="shared" si="3"/>
        <v>3</v>
      </c>
    </row>
    <row r="236" spans="1:19" s="317" customFormat="1">
      <c r="A236" s="309" t="str">
        <f>HYPERLINK("http://www.wantgoo.com/stock/chart.aspx?stockno=8255","8255")</f>
        <v>8255</v>
      </c>
      <c r="B236" s="310"/>
      <c r="C236" s="311">
        <f>VLOOKUP(8255,季財報!A:H,3)</f>
        <v>1</v>
      </c>
      <c r="D236" s="311">
        <f>VLOOKUP(8255,季財報!A:H,4)</f>
        <v>1</v>
      </c>
      <c r="E236" s="311">
        <f>VLOOKUP(8255,季財報!A:H,5)</f>
        <v>0</v>
      </c>
      <c r="F236" s="311">
        <f>VLOOKUP(8255,季財報!A:H,6)</f>
        <v>1</v>
      </c>
      <c r="G236" s="311">
        <f>VLOOKUP(8255,季財報!A:H,7)</f>
        <v>0</v>
      </c>
      <c r="H236" s="312"/>
      <c r="I236" s="312"/>
      <c r="J236" s="312"/>
      <c r="K236" s="312"/>
      <c r="L236" s="312"/>
      <c r="M236" s="313"/>
      <c r="N236" s="312">
        <f t="shared" si="3"/>
        <v>3</v>
      </c>
      <c r="O236" s="314"/>
      <c r="P236" s="314"/>
      <c r="Q236" s="314"/>
      <c r="R236" s="314"/>
      <c r="S236" s="315"/>
    </row>
    <row r="237" spans="1:19">
      <c r="A237" s="308" t="str">
        <f>HYPERLINK("http://www.wantgoo.com/stock/chart.aspx?stockno=6121","6121")</f>
        <v>6121</v>
      </c>
      <c r="C237" s="18">
        <f>VLOOKUP(6121,季財報!A:H,3)</f>
        <v>0</v>
      </c>
      <c r="D237" s="18">
        <f>VLOOKUP(6121,季財報!A:H,4)</f>
        <v>1</v>
      </c>
      <c r="E237" s="18">
        <f>VLOOKUP(6121,季財報!A:H,5)</f>
        <v>0</v>
      </c>
      <c r="F237" s="18">
        <f>VLOOKUP(6121,季財報!A:H,6)</f>
        <v>1</v>
      </c>
      <c r="G237" s="18">
        <f>VLOOKUP(6121,季財報!A:H,7)</f>
        <v>0</v>
      </c>
      <c r="N237" s="20">
        <f t="shared" si="3"/>
        <v>2</v>
      </c>
    </row>
    <row r="238" spans="1:19">
      <c r="A238" s="308" t="str">
        <f>HYPERLINK("http://www.wantgoo.com/stock/chart.aspx?stockno=8016","8016")</f>
        <v>8016</v>
      </c>
      <c r="C238" s="18">
        <f>VLOOKUP(8016,季財報!A:H,3)</f>
        <v>1</v>
      </c>
      <c r="D238" s="18">
        <f>VLOOKUP(8016,季財報!A:H,4)</f>
        <v>1</v>
      </c>
      <c r="E238" s="18">
        <f>VLOOKUP(8016,季財報!A:H,5)</f>
        <v>0</v>
      </c>
      <c r="F238" s="18">
        <f>VLOOKUP(8016,季財報!A:H,6)</f>
        <v>1</v>
      </c>
      <c r="G238" s="18">
        <f>VLOOKUP(8016,季財報!A:H,7)</f>
        <v>0</v>
      </c>
      <c r="N238" s="20">
        <f t="shared" si="3"/>
        <v>3</v>
      </c>
    </row>
    <row r="239" spans="1:19">
      <c r="A239" s="307" t="str">
        <f>HYPERLINK("http://www.wantgoo.com/stock/chart.aspx?stockno=8083","8083")</f>
        <v>8083</v>
      </c>
      <c r="C239" s="18">
        <f>VLOOKUP(8083,季財報!A:H,3)</f>
        <v>1</v>
      </c>
      <c r="D239" s="18">
        <f>VLOOKUP(8083,季財報!A:H,4)</f>
        <v>1</v>
      </c>
      <c r="E239" s="18">
        <f>VLOOKUP(8083,季財報!A:H,5)</f>
        <v>0</v>
      </c>
      <c r="F239" s="18">
        <f>VLOOKUP(8083,季財報!A:H,6)</f>
        <v>1</v>
      </c>
      <c r="G239" s="18">
        <f>VLOOKUP(8083,季財報!A:H,7)</f>
        <v>0</v>
      </c>
      <c r="N239" s="20">
        <f t="shared" si="3"/>
        <v>3</v>
      </c>
    </row>
    <row r="240" spans="1:19">
      <c r="A240" s="307" t="str">
        <f>HYPERLINK("http://www.wantgoo.com/stock/chart.aspx?stockno=1521","1521")</f>
        <v>1521</v>
      </c>
      <c r="C240" s="18">
        <f>VLOOKUP(1521,季財報!A:H,3)</f>
        <v>0</v>
      </c>
      <c r="D240" s="18">
        <f>VLOOKUP(1521,季財報!A:H,4)</f>
        <v>1</v>
      </c>
      <c r="E240" s="18">
        <f>VLOOKUP(1521,季財報!A:H,5)</f>
        <v>0</v>
      </c>
      <c r="F240" s="18">
        <f>VLOOKUP(1521,季財報!A:H,6)</f>
        <v>1</v>
      </c>
      <c r="G240" s="18">
        <f>VLOOKUP(1521,季財報!A:H,7)</f>
        <v>0</v>
      </c>
      <c r="N240" s="20">
        <f t="shared" si="3"/>
        <v>2</v>
      </c>
    </row>
    <row r="241" spans="1:19">
      <c r="A241" s="308" t="str">
        <f>HYPERLINK("http://www.wantgoo.com/stock/chart.aspx?stockno=4966","4966")</f>
        <v>4966</v>
      </c>
      <c r="C241" s="18">
        <f>VLOOKUP(4966,季財報!A:H,3)</f>
        <v>0</v>
      </c>
      <c r="D241" s="18">
        <f>VLOOKUP(4966,季財報!A:H,4)</f>
        <v>0</v>
      </c>
      <c r="E241" s="18">
        <f>VLOOKUP(4966,季財報!A:H,5)</f>
        <v>2</v>
      </c>
      <c r="F241" s="18">
        <f>VLOOKUP(4966,季財報!A:H,6)</f>
        <v>0</v>
      </c>
      <c r="G241" s="18">
        <f>VLOOKUP(4966,季財報!A:H,7)</f>
        <v>0</v>
      </c>
      <c r="N241" s="20">
        <f t="shared" si="3"/>
        <v>2</v>
      </c>
    </row>
    <row r="242" spans="1:19">
      <c r="A242" s="307" t="str">
        <f>HYPERLINK("http://www.wantgoo.com/stock/chart.aspx?stockno=2062","2062")</f>
        <v>2062</v>
      </c>
      <c r="C242" s="18">
        <f>VLOOKUP(2062,季財報!A:H,3)</f>
        <v>0</v>
      </c>
      <c r="D242" s="18">
        <f>VLOOKUP(2062,季財報!A:H,4)</f>
        <v>1</v>
      </c>
      <c r="E242" s="18">
        <f>VLOOKUP(2062,季財報!A:H,5)</f>
        <v>0</v>
      </c>
      <c r="F242" s="18">
        <f>VLOOKUP(2062,季財報!A:H,6)</f>
        <v>1</v>
      </c>
      <c r="G242" s="18">
        <f>VLOOKUP(2062,季財報!A:H,7)</f>
        <v>1</v>
      </c>
      <c r="N242" s="20">
        <f t="shared" si="3"/>
        <v>3</v>
      </c>
    </row>
    <row r="243" spans="1:19" s="317" customFormat="1">
      <c r="A243" s="309" t="str">
        <f>HYPERLINK("http://www.wantgoo.com/stock/chart.aspx?stockno=6202","6202")</f>
        <v>6202</v>
      </c>
      <c r="B243" s="310"/>
      <c r="C243" s="311">
        <f>VLOOKUP(6202,季財報!A:H,3)</f>
        <v>1</v>
      </c>
      <c r="D243" s="311">
        <f>VLOOKUP(6202,季財報!A:H,4)</f>
        <v>1</v>
      </c>
      <c r="E243" s="311">
        <f>VLOOKUP(6202,季財報!A:H,5)</f>
        <v>0</v>
      </c>
      <c r="F243" s="311">
        <f>VLOOKUP(6202,季財報!A:H,6)</f>
        <v>1</v>
      </c>
      <c r="G243" s="311">
        <f>VLOOKUP(6202,季財報!A:H,7)</f>
        <v>1</v>
      </c>
      <c r="H243" s="312"/>
      <c r="I243" s="312"/>
      <c r="J243" s="312"/>
      <c r="K243" s="312"/>
      <c r="L243" s="312"/>
      <c r="M243" s="313"/>
      <c r="N243" s="312">
        <f t="shared" si="3"/>
        <v>4</v>
      </c>
      <c r="O243" s="314"/>
      <c r="P243" s="314"/>
      <c r="Q243" s="314"/>
      <c r="R243" s="314"/>
      <c r="S243" s="315"/>
    </row>
    <row r="244" spans="1:19">
      <c r="A244" s="308" t="str">
        <f>HYPERLINK("http://www.wantgoo.com/stock/chart.aspx?stockno=2066","2066")</f>
        <v>2066</v>
      </c>
      <c r="C244" s="18">
        <f>VLOOKUP(2066,季財報!A:H,3)</f>
        <v>1</v>
      </c>
      <c r="D244" s="18">
        <f>VLOOKUP(2066,季財報!A:H,4)</f>
        <v>1</v>
      </c>
      <c r="E244" s="18">
        <f>VLOOKUP(2066,季財報!A:H,5)</f>
        <v>0</v>
      </c>
      <c r="F244" s="18">
        <f>VLOOKUP(2066,季財報!A:H,6)</f>
        <v>1</v>
      </c>
      <c r="G244" s="18">
        <f>VLOOKUP(2066,季財報!A:H,7)</f>
        <v>0</v>
      </c>
      <c r="N244" s="20">
        <f t="shared" si="3"/>
        <v>3</v>
      </c>
    </row>
    <row r="245" spans="1:19">
      <c r="A245" s="308" t="str">
        <f>HYPERLINK("http://www.wantgoo.com/stock/chart.aspx?stockno=6187","6187")</f>
        <v>6187</v>
      </c>
      <c r="C245" s="18">
        <f>VLOOKUP(6187,季財報!A:H,3)</f>
        <v>0</v>
      </c>
      <c r="D245" s="18">
        <f>VLOOKUP(6187,季財報!A:H,4)</f>
        <v>1</v>
      </c>
      <c r="E245" s="18">
        <f>VLOOKUP(6187,季財報!A:H,5)</f>
        <v>0</v>
      </c>
      <c r="F245" s="18">
        <f>VLOOKUP(6187,季財報!A:H,6)</f>
        <v>0</v>
      </c>
      <c r="G245" s="18">
        <f>VLOOKUP(6187,季財報!A:H,7)</f>
        <v>0</v>
      </c>
      <c r="N245" s="20">
        <f t="shared" si="3"/>
        <v>1</v>
      </c>
    </row>
    <row r="246" spans="1:19">
      <c r="A246" s="308" t="str">
        <f>HYPERLINK("http://www.wantgoo.com/stock/chart.aspx?stockno=6257","6257")</f>
        <v>6257</v>
      </c>
      <c r="C246" s="18">
        <f>VLOOKUP(6257,季財報!A:H,3)</f>
        <v>0</v>
      </c>
      <c r="D246" s="18">
        <f>VLOOKUP(6257,季財報!A:H,4)</f>
        <v>0</v>
      </c>
      <c r="E246" s="18">
        <f>VLOOKUP(6257,季財報!A:H,5)</f>
        <v>1</v>
      </c>
      <c r="F246" s="18">
        <f>VLOOKUP(6257,季財報!A:H,6)</f>
        <v>1</v>
      </c>
      <c r="G246" s="18">
        <f>VLOOKUP(6257,季財報!A:H,7)</f>
        <v>0</v>
      </c>
      <c r="N246" s="20">
        <f t="shared" si="3"/>
        <v>2</v>
      </c>
    </row>
    <row r="247" spans="1:19">
      <c r="A247" s="308" t="str">
        <f>HYPERLINK("http://www.wantgoo.com/stock/chart.aspx?stockno=2409","2409")</f>
        <v>2409</v>
      </c>
      <c r="C247" s="18">
        <f>VLOOKUP(2409,季財報!A:H,3)</f>
        <v>0</v>
      </c>
      <c r="D247" s="18">
        <f>VLOOKUP(2409,季財報!A:H,4)</f>
        <v>0</v>
      </c>
      <c r="E247" s="18">
        <f>VLOOKUP(2409,季財報!A:H,5)</f>
        <v>0</v>
      </c>
      <c r="F247" s="18">
        <f>VLOOKUP(2409,季財報!A:H,6)</f>
        <v>1</v>
      </c>
      <c r="G247" s="18">
        <f>VLOOKUP(2409,季財報!A:H,7)</f>
        <v>0</v>
      </c>
      <c r="N247" s="20">
        <f t="shared" si="3"/>
        <v>1</v>
      </c>
    </row>
    <row r="248" spans="1:19">
      <c r="A248" s="308" t="str">
        <f>HYPERLINK("http://www.wantgoo.com/stock/chart.aspx?stockno=3209","3209")</f>
        <v>3209</v>
      </c>
      <c r="C248" s="18">
        <f>VLOOKUP(3209,季財報!A:H,3)</f>
        <v>0</v>
      </c>
      <c r="D248" s="18">
        <f>VLOOKUP(3209,季財報!A:H,4)</f>
        <v>1</v>
      </c>
      <c r="E248" s="18">
        <f>VLOOKUP(3209,季財報!A:H,5)</f>
        <v>1</v>
      </c>
      <c r="F248" s="18">
        <f>VLOOKUP(3209,季財報!A:H,6)</f>
        <v>0</v>
      </c>
      <c r="G248" s="18">
        <f>VLOOKUP(3209,季財報!A:H,7)</f>
        <v>0</v>
      </c>
      <c r="N248" s="20">
        <f t="shared" si="3"/>
        <v>2</v>
      </c>
    </row>
    <row r="249" spans="1:19">
      <c r="A249" s="307" t="str">
        <f>HYPERLINK("http://www.wantgoo.com/stock/chart.aspx?stockno=2227","2227")</f>
        <v>2227</v>
      </c>
      <c r="C249" s="18">
        <f>VLOOKUP(2227,季財報!A:H,3)</f>
        <v>0</v>
      </c>
      <c r="D249" s="18">
        <f>VLOOKUP(2227,季財報!A:H,4)</f>
        <v>0</v>
      </c>
      <c r="E249" s="18">
        <f>VLOOKUP(2227,季財報!A:H,5)</f>
        <v>0</v>
      </c>
      <c r="F249" s="18">
        <f>VLOOKUP(2227,季財報!A:H,6)</f>
        <v>0</v>
      </c>
      <c r="G249" s="18">
        <f>VLOOKUP(2227,季財報!A:H,7)</f>
        <v>0</v>
      </c>
      <c r="N249" s="20">
        <f t="shared" si="3"/>
        <v>0</v>
      </c>
    </row>
    <row r="250" spans="1:19">
      <c r="A250" s="308" t="str">
        <f>HYPERLINK("http://www.wantgoo.com/stock/chart.aspx?stockno=3048","3048")</f>
        <v>3048</v>
      </c>
      <c r="C250" s="18">
        <f>VLOOKUP(3048,季財報!A:H,3)</f>
        <v>0</v>
      </c>
      <c r="D250" s="18">
        <f>VLOOKUP(3048,季財報!A:H,4)</f>
        <v>1</v>
      </c>
      <c r="E250" s="18">
        <f>VLOOKUP(3048,季財報!A:H,5)</f>
        <v>1</v>
      </c>
      <c r="F250" s="18">
        <f>VLOOKUP(3048,季財報!A:H,6)</f>
        <v>0</v>
      </c>
      <c r="G250" s="18">
        <f>VLOOKUP(3048,季財報!A:H,7)</f>
        <v>0</v>
      </c>
      <c r="N250" s="20">
        <f t="shared" si="3"/>
        <v>2</v>
      </c>
    </row>
    <row r="251" spans="1:19">
      <c r="A251" s="307" t="str">
        <f>HYPERLINK("http://www.wantgoo.com/stock/chart.aspx?stockno=2325","2325")</f>
        <v>2325</v>
      </c>
      <c r="C251" s="18">
        <f>VLOOKUP(2325,季財報!A:H,3)</f>
        <v>0</v>
      </c>
      <c r="D251" s="18">
        <f>VLOOKUP(2325,季財報!A:H,4)</f>
        <v>0</v>
      </c>
      <c r="E251" s="18">
        <f>VLOOKUP(2325,季財報!A:H,5)</f>
        <v>0</v>
      </c>
      <c r="F251" s="18">
        <f>VLOOKUP(2325,季財報!A:H,6)</f>
        <v>1</v>
      </c>
      <c r="G251" s="18">
        <f>VLOOKUP(2325,季財報!A:H,7)</f>
        <v>0</v>
      </c>
      <c r="N251" s="20">
        <f t="shared" si="3"/>
        <v>1</v>
      </c>
    </row>
    <row r="252" spans="1:19">
      <c r="A252" s="308" t="str">
        <f>HYPERLINK("http://www.wantgoo.com/stock/chart.aspx?stockno=2732","2732")</f>
        <v>2732</v>
      </c>
      <c r="C252" s="18">
        <f>VLOOKUP(2732,季財報!A:H,3)</f>
        <v>0</v>
      </c>
      <c r="D252" s="18">
        <f>VLOOKUP(2732,季財報!A:H,4)</f>
        <v>1</v>
      </c>
      <c r="E252" s="18">
        <f>VLOOKUP(2732,季財報!A:H,5)</f>
        <v>2</v>
      </c>
      <c r="F252" s="18">
        <f>VLOOKUP(2732,季財報!A:H,6)</f>
        <v>1</v>
      </c>
      <c r="G252" s="18">
        <f>VLOOKUP(2732,季財報!A:H,7)</f>
        <v>0</v>
      </c>
      <c r="N252" s="20">
        <f t="shared" si="3"/>
        <v>4</v>
      </c>
    </row>
    <row r="253" spans="1:19">
      <c r="A253" s="308" t="str">
        <f>HYPERLINK("http://www.wantgoo.com/stock/chart.aspx?stockno=6609","6609")</f>
        <v>6609</v>
      </c>
      <c r="C253" s="18">
        <f>VLOOKUP(6609,季財報!A:H,3)</f>
        <v>1</v>
      </c>
      <c r="D253" s="18">
        <f>VLOOKUP(6609,季財報!A:H,4)</f>
        <v>1</v>
      </c>
      <c r="E253" s="18">
        <f>VLOOKUP(6609,季財報!A:H,5)</f>
        <v>0</v>
      </c>
      <c r="F253" s="18">
        <f>VLOOKUP(6609,季財報!A:H,6)</f>
        <v>0</v>
      </c>
      <c r="G253" s="18">
        <f>VLOOKUP(6609,季財報!A:H,7)</f>
        <v>0</v>
      </c>
      <c r="N253" s="20">
        <f t="shared" si="3"/>
        <v>2</v>
      </c>
    </row>
    <row r="254" spans="1:19">
      <c r="A254" s="307" t="str">
        <f>HYPERLINK("http://www.wantgoo.com/stock/chart.aspx?stockno=2520","2520")</f>
        <v>2520</v>
      </c>
      <c r="C254" s="18">
        <f>VLOOKUP(2520,季財報!A:H,3)</f>
        <v>0</v>
      </c>
      <c r="D254" s="18">
        <f>VLOOKUP(2520,季財報!A:H,4)</f>
        <v>1</v>
      </c>
      <c r="E254" s="18">
        <f>VLOOKUP(2520,季財報!A:H,5)</f>
        <v>2</v>
      </c>
      <c r="F254" s="18">
        <f>VLOOKUP(2520,季財報!A:H,6)</f>
        <v>0</v>
      </c>
      <c r="G254" s="18">
        <f>VLOOKUP(2520,季財報!A:H,7)</f>
        <v>0</v>
      </c>
      <c r="N254" s="20">
        <f t="shared" si="3"/>
        <v>3</v>
      </c>
    </row>
    <row r="255" spans="1:19">
      <c r="A255" s="307" t="str">
        <f>HYPERLINK("http://www.wantgoo.com/stock/chart.aspx?stockno=3006","3006")</f>
        <v>3006</v>
      </c>
      <c r="C255" s="18">
        <f>VLOOKUP(3006,季財報!A:H,3)</f>
        <v>0</v>
      </c>
      <c r="D255" s="18">
        <f>VLOOKUP(3006,季財報!A:H,4)</f>
        <v>1</v>
      </c>
      <c r="E255" s="18">
        <f>VLOOKUP(3006,季財報!A:H,5)</f>
        <v>0</v>
      </c>
      <c r="F255" s="18">
        <f>VLOOKUP(3006,季財報!A:H,6)</f>
        <v>1</v>
      </c>
      <c r="G255" s="18">
        <f>VLOOKUP(3006,季財報!A:H,7)</f>
        <v>0</v>
      </c>
      <c r="N255" s="20">
        <f t="shared" si="3"/>
        <v>2</v>
      </c>
    </row>
    <row r="256" spans="1:19">
      <c r="A256" s="307" t="str">
        <f>HYPERLINK("http://www.wantgoo.com/stock/chart.aspx?stockno=2640","2640")</f>
        <v>2640</v>
      </c>
      <c r="C256" s="18">
        <f>VLOOKUP(2640,季財報!A:H,3)</f>
        <v>0</v>
      </c>
      <c r="D256" s="18">
        <f>VLOOKUP(2640,季財報!A:H,4)</f>
        <v>0</v>
      </c>
      <c r="E256" s="18">
        <f>VLOOKUP(2640,季財報!A:H,5)</f>
        <v>0</v>
      </c>
      <c r="F256" s="18">
        <f>VLOOKUP(2640,季財報!A:H,6)</f>
        <v>0</v>
      </c>
      <c r="G256" s="18">
        <f>VLOOKUP(2640,季財報!A:H,7)</f>
        <v>0</v>
      </c>
      <c r="N256" s="20">
        <f t="shared" si="3"/>
        <v>0</v>
      </c>
    </row>
    <row r="257" spans="1:14">
      <c r="A257" s="308" t="str">
        <f>HYPERLINK("http://www.wantgoo.com/stock/chart.aspx?stockno=3551","3551")</f>
        <v>3551</v>
      </c>
      <c r="C257" s="18">
        <f>VLOOKUP(3551,季財報!A:H,3)</f>
        <v>0</v>
      </c>
      <c r="D257" s="18">
        <f>VLOOKUP(3551,季財報!A:H,4)</f>
        <v>1</v>
      </c>
      <c r="E257" s="18">
        <f>VLOOKUP(3551,季財報!A:H,5)</f>
        <v>0</v>
      </c>
      <c r="F257" s="18">
        <f>VLOOKUP(3551,季財報!A:H,6)</f>
        <v>0</v>
      </c>
      <c r="G257" s="18">
        <f>VLOOKUP(3551,季財報!A:H,7)</f>
        <v>0</v>
      </c>
      <c r="N257" s="20">
        <f t="shared" si="3"/>
        <v>1</v>
      </c>
    </row>
    <row r="258" spans="1:14">
      <c r="A258" s="307" t="str">
        <f>HYPERLINK("http://www.wantgoo.com/stock/chart.aspx?stockno=6179","6179")</f>
        <v>6179</v>
      </c>
      <c r="C258" s="18">
        <f>VLOOKUP(6179,季財報!A:H,3)</f>
        <v>0</v>
      </c>
      <c r="D258" s="18">
        <f>VLOOKUP(6179,季財報!A:H,4)</f>
        <v>1</v>
      </c>
      <c r="E258" s="18">
        <f>VLOOKUP(6179,季財報!A:H,5)</f>
        <v>0</v>
      </c>
      <c r="F258" s="18">
        <f>VLOOKUP(6179,季財報!A:H,6)</f>
        <v>0</v>
      </c>
      <c r="G258" s="18">
        <f>VLOOKUP(6179,季財報!A:H,7)</f>
        <v>0</v>
      </c>
      <c r="N258" s="20">
        <f t="shared" si="3"/>
        <v>1</v>
      </c>
    </row>
    <row r="259" spans="1:14">
      <c r="A259" s="308" t="str">
        <f>HYPERLINK("http://www.wantgoo.com/stock/chart.aspx?stockno=8933","8933")</f>
        <v>8933</v>
      </c>
      <c r="C259" s="18">
        <f>VLOOKUP(8933,季財報!A:H,3)</f>
        <v>1</v>
      </c>
      <c r="D259" s="18">
        <f>VLOOKUP(8933,季財報!A:H,4)</f>
        <v>1</v>
      </c>
      <c r="E259" s="18">
        <f>VLOOKUP(8933,季財報!A:H,5)</f>
        <v>2</v>
      </c>
      <c r="F259" s="18">
        <f>VLOOKUP(8933,季財報!A:H,6)</f>
        <v>0</v>
      </c>
      <c r="G259" s="18">
        <f>VLOOKUP(8933,季財報!A:H,7)</f>
        <v>0</v>
      </c>
      <c r="N259" s="20">
        <f t="shared" si="3"/>
        <v>4</v>
      </c>
    </row>
    <row r="260" spans="1:14">
      <c r="A260" s="307" t="str">
        <f>HYPERLINK("http://www.wantgoo.com/stock/chart.aspx?stockno=3144","3144")</f>
        <v>3144</v>
      </c>
      <c r="C260" s="18">
        <f>VLOOKUP(3144,季財報!A:H,3)</f>
        <v>0</v>
      </c>
      <c r="D260" s="18">
        <f>VLOOKUP(3144,季財報!A:H,4)</f>
        <v>1</v>
      </c>
      <c r="E260" s="18">
        <f>VLOOKUP(3144,季財報!A:H,5)</f>
        <v>0</v>
      </c>
      <c r="F260" s="18">
        <f>VLOOKUP(3144,季財報!A:H,6)</f>
        <v>1</v>
      </c>
      <c r="G260" s="18">
        <f>VLOOKUP(3144,季財報!A:H,7)</f>
        <v>0</v>
      </c>
      <c r="N260" s="20">
        <f t="shared" ref="N260:N323" si="4">SUM(C260:M260)</f>
        <v>2</v>
      </c>
    </row>
    <row r="261" spans="1:14">
      <c r="A261" s="307" t="str">
        <f>HYPERLINK("http://www.wantgoo.com/stock/chart.aspx?stockno=5347","5347")</f>
        <v>5347</v>
      </c>
      <c r="C261" s="18">
        <f>VLOOKUP(5347,季財報!A:H,3)</f>
        <v>0</v>
      </c>
      <c r="D261" s="18">
        <f>VLOOKUP(5347,季財報!A:H,4)</f>
        <v>0</v>
      </c>
      <c r="E261" s="18">
        <f>VLOOKUP(5347,季財報!A:H,5)</f>
        <v>0</v>
      </c>
      <c r="F261" s="18">
        <f>VLOOKUP(5347,季財報!A:H,6)</f>
        <v>1</v>
      </c>
      <c r="G261" s="18">
        <f>VLOOKUP(5347,季財報!A:H,7)</f>
        <v>0</v>
      </c>
      <c r="N261" s="20">
        <f t="shared" si="4"/>
        <v>1</v>
      </c>
    </row>
    <row r="262" spans="1:14">
      <c r="A262" s="307" t="str">
        <f>HYPERLINK("http://www.wantgoo.com/stock/chart.aspx?stockno=8081","8081")</f>
        <v>8081</v>
      </c>
      <c r="C262" s="18">
        <f>VLOOKUP(8081,季財報!A:H,3)</f>
        <v>0</v>
      </c>
      <c r="D262" s="18">
        <f>VLOOKUP(8081,季財報!A:H,4)</f>
        <v>1</v>
      </c>
      <c r="E262" s="18">
        <f>VLOOKUP(8081,季財報!A:H,5)</f>
        <v>0</v>
      </c>
      <c r="F262" s="18">
        <f>VLOOKUP(8081,季財報!A:H,6)</f>
        <v>1</v>
      </c>
      <c r="G262" s="18">
        <f>VLOOKUP(8081,季財報!A:H,7)</f>
        <v>0</v>
      </c>
      <c r="N262" s="20">
        <f t="shared" si="4"/>
        <v>2</v>
      </c>
    </row>
    <row r="263" spans="1:14">
      <c r="A263" s="307" t="str">
        <f>HYPERLINK("http://www.wantgoo.com/stock/chart.aspx?stockno=8416","8416")</f>
        <v>8416</v>
      </c>
      <c r="C263" s="18">
        <f>VLOOKUP(8416,季財報!A:H,3)</f>
        <v>0</v>
      </c>
      <c r="D263" s="18">
        <f>VLOOKUP(8416,季財報!A:H,4)</f>
        <v>0</v>
      </c>
      <c r="E263" s="18">
        <f>VLOOKUP(8416,季財報!A:H,5)</f>
        <v>0</v>
      </c>
      <c r="F263" s="18">
        <f>VLOOKUP(8416,季財報!A:H,6)</f>
        <v>1</v>
      </c>
      <c r="G263" s="18">
        <f>VLOOKUP(8416,季財報!A:H,7)</f>
        <v>0</v>
      </c>
      <c r="N263" s="20">
        <f t="shared" si="4"/>
        <v>1</v>
      </c>
    </row>
    <row r="264" spans="1:14">
      <c r="A264" s="307" t="str">
        <f>HYPERLINK("http://www.wantgoo.com/stock/chart.aspx?stockno=2355","2355")</f>
        <v>2355</v>
      </c>
      <c r="C264" s="18">
        <f>VLOOKUP(2355,季財報!A:H,3)</f>
        <v>1</v>
      </c>
      <c r="D264" s="18">
        <f>VLOOKUP(2355,季財報!A:H,4)</f>
        <v>1</v>
      </c>
      <c r="E264" s="18">
        <f>VLOOKUP(2355,季財報!A:H,5)</f>
        <v>0</v>
      </c>
      <c r="F264" s="18">
        <f>VLOOKUP(2355,季財報!A:H,6)</f>
        <v>1</v>
      </c>
      <c r="G264" s="18">
        <f>VLOOKUP(2355,季財報!A:H,7)</f>
        <v>0</v>
      </c>
      <c r="N264" s="20">
        <f t="shared" si="4"/>
        <v>3</v>
      </c>
    </row>
    <row r="265" spans="1:14">
      <c r="A265" s="308" t="str">
        <f>HYPERLINK("http://www.wantgoo.com/stock/chart.aspx?stockno=3130","3130")</f>
        <v>3130</v>
      </c>
      <c r="C265" s="18">
        <f>VLOOKUP(3130,季財報!A:H,3)</f>
        <v>0</v>
      </c>
      <c r="D265" s="18">
        <f>VLOOKUP(3130,季財報!A:H,4)</f>
        <v>0</v>
      </c>
      <c r="E265" s="18">
        <f>VLOOKUP(3130,季財報!A:H,5)</f>
        <v>1</v>
      </c>
      <c r="F265" s="18">
        <f>VLOOKUP(3130,季財報!A:H,6)</f>
        <v>0</v>
      </c>
      <c r="G265" s="18">
        <f>VLOOKUP(3130,季財報!A:H,7)</f>
        <v>1</v>
      </c>
      <c r="N265" s="20">
        <f t="shared" si="4"/>
        <v>2</v>
      </c>
    </row>
    <row r="266" spans="1:14">
      <c r="A266" s="308" t="str">
        <f>HYPERLINK("http://www.wantgoo.com/stock/chart.aspx?stockno=5013","5013")</f>
        <v>5013</v>
      </c>
      <c r="C266" s="18">
        <f>VLOOKUP(5013,季財報!A:H,3)</f>
        <v>0</v>
      </c>
      <c r="D266" s="18">
        <f>VLOOKUP(5013,季財報!A:H,4)</f>
        <v>1</v>
      </c>
      <c r="E266" s="18">
        <f>VLOOKUP(5013,季財報!A:H,5)</f>
        <v>0</v>
      </c>
      <c r="F266" s="18">
        <f>VLOOKUP(5013,季財報!A:H,6)</f>
        <v>1</v>
      </c>
      <c r="G266" s="18">
        <f>VLOOKUP(5013,季財報!A:H,7)</f>
        <v>0</v>
      </c>
      <c r="N266" s="20">
        <f t="shared" si="4"/>
        <v>2</v>
      </c>
    </row>
    <row r="267" spans="1:14">
      <c r="A267" s="308" t="str">
        <f>HYPERLINK("http://www.wantgoo.com/stock/chart.aspx?stockno=6266","6266")</f>
        <v>6266</v>
      </c>
      <c r="C267" s="18">
        <f>VLOOKUP(6266,季財報!A:H,3)</f>
        <v>0</v>
      </c>
      <c r="D267" s="18">
        <f>VLOOKUP(6266,季財報!A:H,4)</f>
        <v>1</v>
      </c>
      <c r="E267" s="18">
        <f>VLOOKUP(6266,季財報!A:H,5)</f>
        <v>2</v>
      </c>
      <c r="F267" s="18">
        <f>VLOOKUP(6266,季財報!A:H,6)</f>
        <v>1</v>
      </c>
      <c r="G267" s="18">
        <f>VLOOKUP(6266,季財報!A:H,7)</f>
        <v>0</v>
      </c>
      <c r="N267" s="20">
        <f t="shared" si="4"/>
        <v>4</v>
      </c>
    </row>
    <row r="268" spans="1:14">
      <c r="A268" s="308" t="str">
        <f>HYPERLINK("http://www.wantgoo.com/stock/chart.aspx?stockno=9930","9930")</f>
        <v>9930</v>
      </c>
      <c r="C268" s="18">
        <f>VLOOKUP(9930,季財報!A:H,3)</f>
        <v>0</v>
      </c>
      <c r="D268" s="18">
        <f>VLOOKUP(9930,季財報!A:H,4)</f>
        <v>1</v>
      </c>
      <c r="E268" s="18">
        <f>VLOOKUP(9930,季財報!A:H,5)</f>
        <v>1</v>
      </c>
      <c r="F268" s="18">
        <f>VLOOKUP(9930,季財報!A:H,6)</f>
        <v>1</v>
      </c>
      <c r="G268" s="18">
        <f>VLOOKUP(9930,季財報!A:H,7)</f>
        <v>0</v>
      </c>
      <c r="N268" s="20">
        <f t="shared" si="4"/>
        <v>3</v>
      </c>
    </row>
    <row r="269" spans="1:14">
      <c r="A269" s="307" t="str">
        <f>HYPERLINK("http://www.wantgoo.com/stock/chart.aspx?stockno=2511","2511")</f>
        <v>2511</v>
      </c>
      <c r="C269" s="18">
        <f>VLOOKUP(2511,季財報!A:H,3)</f>
        <v>0</v>
      </c>
      <c r="D269" s="18">
        <f>VLOOKUP(2511,季財報!A:H,4)</f>
        <v>0</v>
      </c>
      <c r="E269" s="18">
        <f>VLOOKUP(2511,季財報!A:H,5)</f>
        <v>0</v>
      </c>
      <c r="F269" s="18">
        <f>VLOOKUP(2511,季財報!A:H,6)</f>
        <v>0</v>
      </c>
      <c r="G269" s="18">
        <f>VLOOKUP(2511,季財報!A:H,7)</f>
        <v>0</v>
      </c>
      <c r="N269" s="20">
        <f t="shared" si="4"/>
        <v>0</v>
      </c>
    </row>
    <row r="270" spans="1:14">
      <c r="A270" s="307" t="str">
        <f>HYPERLINK("http://www.wantgoo.com/stock/chart.aspx?stockno=4938","4938")</f>
        <v>4938</v>
      </c>
      <c r="C270" s="18">
        <f>VLOOKUP(4938,季財報!A:H,3)</f>
        <v>0</v>
      </c>
      <c r="D270" s="18">
        <f>VLOOKUP(4938,季財報!A:H,4)</f>
        <v>0</v>
      </c>
      <c r="E270" s="18">
        <f>VLOOKUP(4938,季財報!A:H,5)</f>
        <v>1</v>
      </c>
      <c r="F270" s="18">
        <f>VLOOKUP(4938,季財報!A:H,6)</f>
        <v>0</v>
      </c>
      <c r="G270" s="18">
        <f>VLOOKUP(4938,季財報!A:H,7)</f>
        <v>0</v>
      </c>
      <c r="N270" s="20">
        <f t="shared" si="4"/>
        <v>1</v>
      </c>
    </row>
    <row r="271" spans="1:14">
      <c r="A271" s="307" t="str">
        <f>HYPERLINK("http://www.wantgoo.com/stock/chart.aspx?stockno=8427","8427")</f>
        <v>8427</v>
      </c>
      <c r="C271" s="18">
        <f>VLOOKUP(8427,季財報!A:H,3)</f>
        <v>0</v>
      </c>
      <c r="D271" s="18">
        <f>VLOOKUP(8427,季財報!A:H,4)</f>
        <v>1</v>
      </c>
      <c r="E271" s="18">
        <f>VLOOKUP(8427,季財報!A:H,5)</f>
        <v>0</v>
      </c>
      <c r="F271" s="18">
        <f>VLOOKUP(8427,季財報!A:H,6)</f>
        <v>0</v>
      </c>
      <c r="G271" s="18">
        <f>VLOOKUP(8427,季財報!A:H,7)</f>
        <v>0</v>
      </c>
      <c r="N271" s="20">
        <f t="shared" si="4"/>
        <v>1</v>
      </c>
    </row>
    <row r="272" spans="1:14">
      <c r="A272" s="307" t="str">
        <f>HYPERLINK("http://www.wantgoo.com/stock/chart.aspx?stockno=9927","9927")</f>
        <v>9927</v>
      </c>
      <c r="C272" s="18">
        <f>VLOOKUP(9927,季財報!A:H,3)</f>
        <v>0</v>
      </c>
      <c r="D272" s="18">
        <f>VLOOKUP(9927,季財報!A:H,4)</f>
        <v>0</v>
      </c>
      <c r="E272" s="18">
        <f>VLOOKUP(9927,季財報!A:H,5)</f>
        <v>2</v>
      </c>
      <c r="F272" s="18">
        <f>VLOOKUP(9927,季財報!A:H,6)</f>
        <v>1</v>
      </c>
      <c r="G272" s="18">
        <f>VLOOKUP(9927,季財報!A:H,7)</f>
        <v>0</v>
      </c>
      <c r="N272" s="20">
        <f t="shared" si="4"/>
        <v>3</v>
      </c>
    </row>
    <row r="273" spans="1:14">
      <c r="A273" s="307" t="str">
        <f>HYPERLINK("http://www.wantgoo.com/stock/chart.aspx?stockno=5288","5288")</f>
        <v>5288</v>
      </c>
      <c r="C273" s="18">
        <f>VLOOKUP(5288,季財報!A:H,3)</f>
        <v>1</v>
      </c>
      <c r="D273" s="18">
        <f>VLOOKUP(5288,季財報!A:H,4)</f>
        <v>1</v>
      </c>
      <c r="E273" s="18">
        <f>VLOOKUP(5288,季財報!A:H,5)</f>
        <v>1</v>
      </c>
      <c r="F273" s="18">
        <f>VLOOKUP(5288,季財報!A:H,6)</f>
        <v>1</v>
      </c>
      <c r="G273" s="18">
        <f>VLOOKUP(5288,季財報!A:H,7)</f>
        <v>0</v>
      </c>
      <c r="N273" s="20">
        <f t="shared" si="4"/>
        <v>4</v>
      </c>
    </row>
    <row r="274" spans="1:14">
      <c r="A274" s="307" t="str">
        <f>HYPERLINK("http://www.wantgoo.com/stock/chart.aspx?stockno=1530","1530")</f>
        <v>1530</v>
      </c>
      <c r="C274" s="18">
        <f>VLOOKUP(1530,季財報!A:H,3)</f>
        <v>1</v>
      </c>
      <c r="D274" s="18">
        <f>VLOOKUP(1530,季財報!A:H,4)</f>
        <v>1</v>
      </c>
      <c r="E274" s="18">
        <f>VLOOKUP(1530,季財報!A:H,5)</f>
        <v>0</v>
      </c>
      <c r="F274" s="18">
        <f>VLOOKUP(1530,季財報!A:H,6)</f>
        <v>0</v>
      </c>
      <c r="G274" s="18">
        <f>VLOOKUP(1530,季財報!A:H,7)</f>
        <v>0</v>
      </c>
      <c r="N274" s="20">
        <f t="shared" si="4"/>
        <v>2</v>
      </c>
    </row>
    <row r="275" spans="1:14">
      <c r="A275" s="307" t="str">
        <f>HYPERLINK("http://www.wantgoo.com/stock/chart.aspx?stockno=6294","6294")</f>
        <v>6294</v>
      </c>
      <c r="C275" s="18">
        <f>VLOOKUP(6294,季財報!A:H,3)</f>
        <v>0</v>
      </c>
      <c r="D275" s="18">
        <f>VLOOKUP(6294,季財報!A:H,4)</f>
        <v>1</v>
      </c>
      <c r="E275" s="18">
        <f>VLOOKUP(6294,季財報!A:H,5)</f>
        <v>0</v>
      </c>
      <c r="F275" s="18">
        <f>VLOOKUP(6294,季財報!A:H,6)</f>
        <v>1</v>
      </c>
      <c r="G275" s="18">
        <f>VLOOKUP(6294,季財報!A:H,7)</f>
        <v>0</v>
      </c>
      <c r="N275" s="20">
        <f t="shared" si="4"/>
        <v>2</v>
      </c>
    </row>
    <row r="276" spans="1:14">
      <c r="A276" s="307" t="str">
        <f>HYPERLINK("http://www.wantgoo.com/stock/chart.aspx?stockno=6605","6605")</f>
        <v>6605</v>
      </c>
      <c r="C276" s="18">
        <f>VLOOKUP(6605,季財報!A:H,3)</f>
        <v>1</v>
      </c>
      <c r="D276" s="18">
        <f>VLOOKUP(6605,季財報!A:H,4)</f>
        <v>1</v>
      </c>
      <c r="E276" s="18">
        <f>VLOOKUP(6605,季財報!A:H,5)</f>
        <v>1</v>
      </c>
      <c r="F276" s="18">
        <f>VLOOKUP(6605,季財報!A:H,6)</f>
        <v>1</v>
      </c>
      <c r="G276" s="18">
        <f>VLOOKUP(6605,季財報!A:H,7)</f>
        <v>0</v>
      </c>
      <c r="N276" s="20">
        <f t="shared" si="4"/>
        <v>4</v>
      </c>
    </row>
    <row r="277" spans="1:14">
      <c r="A277" s="308" t="str">
        <f>HYPERLINK("http://www.wantgoo.com/stock/chart.aspx?stockno=6234","6234")</f>
        <v>6234</v>
      </c>
      <c r="C277" s="18">
        <f>VLOOKUP(6234,季財報!A:H,3)</f>
        <v>0</v>
      </c>
      <c r="D277" s="18">
        <f>VLOOKUP(6234,季財報!A:H,4)</f>
        <v>0</v>
      </c>
      <c r="E277" s="18">
        <f>VLOOKUP(6234,季財報!A:H,5)</f>
        <v>0</v>
      </c>
      <c r="F277" s="18">
        <f>VLOOKUP(6234,季財報!A:H,6)</f>
        <v>0</v>
      </c>
      <c r="G277" s="18">
        <f>VLOOKUP(6234,季財報!A:H,7)</f>
        <v>1</v>
      </c>
      <c r="N277" s="20">
        <f t="shared" si="4"/>
        <v>1</v>
      </c>
    </row>
    <row r="278" spans="1:14">
      <c r="A278" s="308" t="str">
        <f>HYPERLINK("http://www.wantgoo.com/stock/chart.aspx?stockno=1817","1817")</f>
        <v>1817</v>
      </c>
      <c r="C278" s="18">
        <f>VLOOKUP(1817,季財報!A:H,3)</f>
        <v>1</v>
      </c>
      <c r="D278" s="18">
        <f>VLOOKUP(1817,季財報!A:H,4)</f>
        <v>1</v>
      </c>
      <c r="E278" s="18">
        <f>VLOOKUP(1817,季財報!A:H,5)</f>
        <v>0</v>
      </c>
      <c r="F278" s="18">
        <f>VLOOKUP(1817,季財報!A:H,6)</f>
        <v>1</v>
      </c>
      <c r="G278" s="18">
        <f>VLOOKUP(1817,季財報!A:H,7)</f>
        <v>0</v>
      </c>
      <c r="N278" s="20">
        <f t="shared" si="4"/>
        <v>3</v>
      </c>
    </row>
    <row r="279" spans="1:14">
      <c r="A279" s="308" t="str">
        <f>HYPERLINK("http://www.wantgoo.com/stock/chart.aspx?stockno=6203","6203")</f>
        <v>6203</v>
      </c>
      <c r="C279" s="18">
        <f>VLOOKUP(6203,季財報!A:H,3)</f>
        <v>1</v>
      </c>
      <c r="D279" s="18">
        <f>VLOOKUP(6203,季財報!A:H,4)</f>
        <v>1</v>
      </c>
      <c r="E279" s="18">
        <f>VLOOKUP(6203,季財報!A:H,5)</f>
        <v>2</v>
      </c>
      <c r="F279" s="18">
        <f>VLOOKUP(6203,季財報!A:H,6)</f>
        <v>1</v>
      </c>
      <c r="G279" s="18">
        <f>VLOOKUP(6203,季財報!A:H,7)</f>
        <v>0</v>
      </c>
      <c r="N279" s="20">
        <f t="shared" si="4"/>
        <v>5</v>
      </c>
    </row>
    <row r="280" spans="1:14">
      <c r="A280" s="308" t="str">
        <f>HYPERLINK("http://www.wantgoo.com/stock/chart.aspx?stockno=8213","8213")</f>
        <v>8213</v>
      </c>
      <c r="C280" s="18">
        <f>VLOOKUP(8213,季財報!A:H,3)</f>
        <v>0</v>
      </c>
      <c r="D280" s="18">
        <f>VLOOKUP(8213,季財報!A:H,4)</f>
        <v>1</v>
      </c>
      <c r="E280" s="18">
        <f>VLOOKUP(8213,季財報!A:H,5)</f>
        <v>2</v>
      </c>
      <c r="F280" s="18">
        <f>VLOOKUP(8213,季財報!A:H,6)</f>
        <v>0</v>
      </c>
      <c r="G280" s="18">
        <f>VLOOKUP(8213,季財報!A:H,7)</f>
        <v>0</v>
      </c>
      <c r="N280" s="20">
        <f t="shared" si="4"/>
        <v>3</v>
      </c>
    </row>
    <row r="281" spans="1:14">
      <c r="A281" s="308" t="str">
        <f>HYPERLINK("http://www.wantgoo.com/stock/chart.aspx?stockno=2329","2329")</f>
        <v>2329</v>
      </c>
      <c r="C281" s="18">
        <f>VLOOKUP(2329,季財報!A:H,3)</f>
        <v>0</v>
      </c>
      <c r="D281" s="18">
        <f>VLOOKUP(2329,季財報!A:H,4)</f>
        <v>0</v>
      </c>
      <c r="E281" s="18">
        <f>VLOOKUP(2329,季財報!A:H,5)</f>
        <v>0</v>
      </c>
      <c r="F281" s="18">
        <f>VLOOKUP(2329,季財報!A:H,6)</f>
        <v>1</v>
      </c>
      <c r="G281" s="18">
        <f>VLOOKUP(2329,季財報!A:H,7)</f>
        <v>1</v>
      </c>
      <c r="N281" s="20">
        <f t="shared" si="4"/>
        <v>2</v>
      </c>
    </row>
    <row r="282" spans="1:14">
      <c r="A282" s="308" t="str">
        <f>HYPERLINK("http://www.wantgoo.com/stock/chart.aspx?stockno=8155","8155")</f>
        <v>8155</v>
      </c>
      <c r="C282" s="18">
        <f>VLOOKUP(8155,季財報!A:H,3)</f>
        <v>0</v>
      </c>
      <c r="D282" s="18">
        <f>VLOOKUP(8155,季財報!A:H,4)</f>
        <v>1</v>
      </c>
      <c r="E282" s="18">
        <f>VLOOKUP(8155,季財報!A:H,5)</f>
        <v>1</v>
      </c>
      <c r="F282" s="18">
        <f>VLOOKUP(8155,季財報!A:H,6)</f>
        <v>1</v>
      </c>
      <c r="G282" s="18">
        <f>VLOOKUP(8155,季財報!A:H,7)</f>
        <v>0</v>
      </c>
      <c r="N282" s="20">
        <f t="shared" si="4"/>
        <v>3</v>
      </c>
    </row>
    <row r="283" spans="1:14">
      <c r="A283" s="307" t="str">
        <f>HYPERLINK("http://www.wantgoo.com/stock/chart.aspx?stockno=8091","8091")</f>
        <v>8091</v>
      </c>
      <c r="C283" s="18">
        <f>VLOOKUP(8091,季財報!A:H,3)</f>
        <v>0</v>
      </c>
      <c r="D283" s="18">
        <f>VLOOKUP(8091,季財報!A:H,4)</f>
        <v>0</v>
      </c>
      <c r="E283" s="18">
        <f>VLOOKUP(8091,季財報!A:H,5)</f>
        <v>1</v>
      </c>
      <c r="F283" s="18">
        <f>VLOOKUP(8091,季財報!A:H,6)</f>
        <v>0</v>
      </c>
      <c r="G283" s="18">
        <f>VLOOKUP(8091,季財報!A:H,7)</f>
        <v>0</v>
      </c>
      <c r="N283" s="20">
        <f t="shared" si="4"/>
        <v>1</v>
      </c>
    </row>
    <row r="284" spans="1:14">
      <c r="A284" s="308" t="str">
        <f>HYPERLINK("http://www.wantgoo.com/stock/chart.aspx?stockno=3029","3029")</f>
        <v>3029</v>
      </c>
      <c r="C284" s="18">
        <f>VLOOKUP(3029,季財報!A:H,3)</f>
        <v>0</v>
      </c>
      <c r="D284" s="18">
        <f>VLOOKUP(3029,季財報!A:H,4)</f>
        <v>1</v>
      </c>
      <c r="E284" s="18">
        <f>VLOOKUP(3029,季財報!A:H,5)</f>
        <v>1</v>
      </c>
      <c r="F284" s="18">
        <f>VLOOKUP(3029,季財報!A:H,6)</f>
        <v>0</v>
      </c>
      <c r="G284" s="18">
        <f>VLOOKUP(3029,季財報!A:H,7)</f>
        <v>0</v>
      </c>
      <c r="N284" s="20">
        <f t="shared" si="4"/>
        <v>2</v>
      </c>
    </row>
    <row r="285" spans="1:14">
      <c r="A285" s="307" t="str">
        <f>HYPERLINK("http://www.wantgoo.com/stock/chart.aspx?stockno=9905","9905")</f>
        <v>9905</v>
      </c>
      <c r="C285" s="18">
        <f>VLOOKUP(9905,季財報!A:H,3)</f>
        <v>0</v>
      </c>
      <c r="D285" s="18">
        <f>VLOOKUP(9905,季財報!A:H,4)</f>
        <v>0</v>
      </c>
      <c r="E285" s="18">
        <f>VLOOKUP(9905,季財報!A:H,5)</f>
        <v>0</v>
      </c>
      <c r="F285" s="18">
        <f>VLOOKUP(9905,季財報!A:H,6)</f>
        <v>0</v>
      </c>
      <c r="G285" s="18">
        <f>VLOOKUP(9905,季財報!A:H,7)</f>
        <v>0</v>
      </c>
      <c r="N285" s="20">
        <f t="shared" si="4"/>
        <v>0</v>
      </c>
    </row>
    <row r="286" spans="1:14">
      <c r="A286" s="308" t="str">
        <f>HYPERLINK("http://www.wantgoo.com/stock/chart.aspx?stockno=4733","4733")</f>
        <v>4733</v>
      </c>
      <c r="C286" s="18">
        <f>VLOOKUP(4733,季財報!A:H,3)</f>
        <v>1</v>
      </c>
      <c r="D286" s="18">
        <f>VLOOKUP(4733,季財報!A:H,4)</f>
        <v>1</v>
      </c>
      <c r="E286" s="18">
        <f>VLOOKUP(4733,季財報!A:H,5)</f>
        <v>0</v>
      </c>
      <c r="F286" s="18">
        <f>VLOOKUP(4733,季財報!A:H,6)</f>
        <v>0</v>
      </c>
      <c r="G286" s="18">
        <f>VLOOKUP(4733,季財報!A:H,7)</f>
        <v>0</v>
      </c>
      <c r="N286" s="20">
        <f t="shared" si="4"/>
        <v>2</v>
      </c>
    </row>
    <row r="287" spans="1:14">
      <c r="A287" s="307" t="str">
        <f>HYPERLINK("http://www.wantgoo.com/stock/chart.aspx?stockno=5312","5312")</f>
        <v>5312</v>
      </c>
      <c r="C287" s="18">
        <f>VLOOKUP(5312,季財報!A:H,3)</f>
        <v>1</v>
      </c>
      <c r="D287" s="18">
        <f>VLOOKUP(5312,季財報!A:H,4)</f>
        <v>1</v>
      </c>
      <c r="E287" s="18">
        <f>VLOOKUP(5312,季財報!A:H,5)</f>
        <v>0</v>
      </c>
      <c r="F287" s="18">
        <f>VLOOKUP(5312,季財報!A:H,6)</f>
        <v>1</v>
      </c>
      <c r="G287" s="18">
        <f>VLOOKUP(5312,季財報!A:H,7)</f>
        <v>1</v>
      </c>
      <c r="N287" s="20">
        <f t="shared" si="4"/>
        <v>4</v>
      </c>
    </row>
    <row r="288" spans="1:14">
      <c r="A288" s="307" t="str">
        <f>HYPERLINK("http://www.wantgoo.com/stock/chart.aspx?stockno=6156","6156")</f>
        <v>6156</v>
      </c>
      <c r="C288" s="18">
        <f>VLOOKUP(6156,季財報!A:H,3)</f>
        <v>1</v>
      </c>
      <c r="D288" s="18">
        <f>VLOOKUP(6156,季財報!A:H,4)</f>
        <v>1</v>
      </c>
      <c r="E288" s="18">
        <f>VLOOKUP(6156,季財報!A:H,5)</f>
        <v>0</v>
      </c>
      <c r="F288" s="18">
        <f>VLOOKUP(6156,季財報!A:H,6)</f>
        <v>0</v>
      </c>
      <c r="G288" s="18">
        <f>VLOOKUP(6156,季財報!A:H,7)</f>
        <v>0</v>
      </c>
      <c r="N288" s="20">
        <f t="shared" si="4"/>
        <v>2</v>
      </c>
    </row>
    <row r="289" spans="1:19">
      <c r="A289" s="307" t="str">
        <f>HYPERLINK("http://www.wantgoo.com/stock/chart.aspx?stockno=3675","3675")</f>
        <v>3675</v>
      </c>
      <c r="C289" s="18">
        <f>VLOOKUP(3675,季財報!A:H,3)</f>
        <v>1</v>
      </c>
      <c r="D289" s="18">
        <f>VLOOKUP(3675,季財報!A:H,4)</f>
        <v>1</v>
      </c>
      <c r="E289" s="18">
        <f>VLOOKUP(3675,季財報!A:H,5)</f>
        <v>1</v>
      </c>
      <c r="F289" s="18">
        <f>VLOOKUP(3675,季財報!A:H,6)</f>
        <v>1</v>
      </c>
      <c r="G289" s="18">
        <f>VLOOKUP(3675,季財報!A:H,7)</f>
        <v>0</v>
      </c>
      <c r="N289" s="20">
        <f t="shared" si="4"/>
        <v>4</v>
      </c>
    </row>
    <row r="290" spans="1:19">
      <c r="A290" s="308" t="str">
        <f>HYPERLINK("http://www.wantgoo.com/stock/chart.aspx?stockno=2327","2327")</f>
        <v>2327</v>
      </c>
      <c r="C290" s="18">
        <f>VLOOKUP(2327,季財報!A:H,3)</f>
        <v>1</v>
      </c>
      <c r="D290" s="18">
        <f>VLOOKUP(2327,季財報!A:H,4)</f>
        <v>1</v>
      </c>
      <c r="E290" s="18">
        <f>VLOOKUP(2327,季財報!A:H,5)</f>
        <v>0</v>
      </c>
      <c r="F290" s="18">
        <f>VLOOKUP(2327,季財報!A:H,6)</f>
        <v>1</v>
      </c>
      <c r="G290" s="18">
        <f>VLOOKUP(2327,季財報!A:H,7)</f>
        <v>0</v>
      </c>
      <c r="N290" s="20">
        <f t="shared" si="4"/>
        <v>3</v>
      </c>
    </row>
    <row r="291" spans="1:19" s="317" customFormat="1">
      <c r="A291" s="309" t="str">
        <f>HYPERLINK("http://www.wantgoo.com/stock/chart.aspx?stockno=4935","4935")</f>
        <v>4935</v>
      </c>
      <c r="B291" s="310"/>
      <c r="C291" s="311">
        <f>VLOOKUP(4935,季財報!A:H,3)</f>
        <v>1</v>
      </c>
      <c r="D291" s="311">
        <f>VLOOKUP(4935,季財報!A:H,4)</f>
        <v>1</v>
      </c>
      <c r="E291" s="311">
        <f>VLOOKUP(4935,季財報!A:H,5)</f>
        <v>2</v>
      </c>
      <c r="F291" s="311">
        <f>VLOOKUP(4935,季財報!A:H,6)</f>
        <v>1</v>
      </c>
      <c r="G291" s="311">
        <f>VLOOKUP(4935,季財報!A:H,7)</f>
        <v>1</v>
      </c>
      <c r="H291" s="312"/>
      <c r="I291" s="312"/>
      <c r="J291" s="312"/>
      <c r="K291" s="312"/>
      <c r="L291" s="312"/>
      <c r="M291" s="313"/>
      <c r="N291" s="312">
        <f t="shared" si="4"/>
        <v>6</v>
      </c>
      <c r="O291" s="314"/>
      <c r="P291" s="314"/>
      <c r="Q291" s="314"/>
      <c r="R291" s="314"/>
      <c r="S291" s="315"/>
    </row>
    <row r="292" spans="1:19">
      <c r="A292" s="308" t="str">
        <f>HYPERLINK("http://www.wantgoo.com/stock/chart.aspx?stockno=8039","8039")</f>
        <v>8039</v>
      </c>
      <c r="C292" s="18">
        <f>VLOOKUP(8039,季財報!A:H,3)</f>
        <v>1</v>
      </c>
      <c r="D292" s="18">
        <f>VLOOKUP(8039,季財報!A:H,4)</f>
        <v>1</v>
      </c>
      <c r="E292" s="18">
        <f>VLOOKUP(8039,季財報!A:H,5)</f>
        <v>2</v>
      </c>
      <c r="F292" s="18">
        <f>VLOOKUP(8039,季財報!A:H,6)</f>
        <v>0</v>
      </c>
      <c r="G292" s="18">
        <f>VLOOKUP(8039,季財報!A:H,7)</f>
        <v>1</v>
      </c>
      <c r="N292" s="20">
        <f t="shared" si="4"/>
        <v>5</v>
      </c>
    </row>
    <row r="293" spans="1:19">
      <c r="A293" s="308" t="str">
        <f>HYPERLINK("http://www.wantgoo.com/stock/chart.aspx?stockno=9942","9942")</f>
        <v>9942</v>
      </c>
      <c r="C293" s="18">
        <f>VLOOKUP(9942,季財報!A:H,3)</f>
        <v>0</v>
      </c>
      <c r="D293" s="18">
        <f>VLOOKUP(9942,季財報!A:H,4)</f>
        <v>1</v>
      </c>
      <c r="E293" s="18">
        <f>VLOOKUP(9942,季財報!A:H,5)</f>
        <v>0</v>
      </c>
      <c r="F293" s="18">
        <f>VLOOKUP(9942,季財報!A:H,6)</f>
        <v>1</v>
      </c>
      <c r="G293" s="18">
        <f>VLOOKUP(9942,季財報!A:H,7)</f>
        <v>0</v>
      </c>
      <c r="N293" s="20">
        <f t="shared" si="4"/>
        <v>2</v>
      </c>
    </row>
    <row r="294" spans="1:19">
      <c r="A294" s="307" t="str">
        <f>HYPERLINK("http://www.wantgoo.com/stock/chart.aspx?stockno=1513","1513")</f>
        <v>1513</v>
      </c>
      <c r="C294" s="18">
        <f>VLOOKUP(1513,季財報!A:H,3)</f>
        <v>1</v>
      </c>
      <c r="D294" s="18">
        <f>VLOOKUP(1513,季財報!A:H,4)</f>
        <v>1</v>
      </c>
      <c r="E294" s="18">
        <f>VLOOKUP(1513,季財報!A:H,5)</f>
        <v>0</v>
      </c>
      <c r="F294" s="18">
        <f>VLOOKUP(1513,季財報!A:H,6)</f>
        <v>0</v>
      </c>
      <c r="G294" s="18">
        <f>VLOOKUP(1513,季財報!A:H,7)</f>
        <v>0</v>
      </c>
      <c r="N294" s="20">
        <f t="shared" si="4"/>
        <v>2</v>
      </c>
    </row>
    <row r="295" spans="1:19" s="317" customFormat="1">
      <c r="A295" s="309" t="str">
        <f>HYPERLINK("http://www.wantgoo.com/stock/chart.aspx?stockno=3234","3234")</f>
        <v>3234</v>
      </c>
      <c r="B295" s="310"/>
      <c r="C295" s="311">
        <f>VLOOKUP(3234,季財報!A:H,3)</f>
        <v>1</v>
      </c>
      <c r="D295" s="311">
        <f>VLOOKUP(3234,季財報!A:H,4)</f>
        <v>1</v>
      </c>
      <c r="E295" s="311">
        <f>VLOOKUP(3234,季財報!A:H,5)</f>
        <v>2</v>
      </c>
      <c r="F295" s="311">
        <f>VLOOKUP(3234,季財報!A:H,6)</f>
        <v>1</v>
      </c>
      <c r="G295" s="311">
        <f>VLOOKUP(3234,季財報!A:H,7)</f>
        <v>1</v>
      </c>
      <c r="H295" s="312"/>
      <c r="I295" s="312"/>
      <c r="J295" s="312"/>
      <c r="K295" s="312"/>
      <c r="L295" s="312"/>
      <c r="M295" s="313"/>
      <c r="N295" s="312">
        <f t="shared" si="4"/>
        <v>6</v>
      </c>
      <c r="O295" s="314"/>
      <c r="P295" s="314"/>
      <c r="Q295" s="314"/>
      <c r="R295" s="314"/>
      <c r="S295" s="315"/>
    </row>
    <row r="296" spans="1:19" s="317" customFormat="1">
      <c r="A296" s="309" t="str">
        <f>HYPERLINK("http://www.wantgoo.com/stock/chart.aspx?stockno=8422","8422")</f>
        <v>8422</v>
      </c>
      <c r="B296" s="310"/>
      <c r="C296" s="311">
        <f>VLOOKUP(8422,季財報!A:H,3)</f>
        <v>1</v>
      </c>
      <c r="D296" s="311">
        <f>VLOOKUP(8422,季財報!A:H,4)</f>
        <v>1</v>
      </c>
      <c r="E296" s="311">
        <f>VLOOKUP(8422,季財報!A:H,5)</f>
        <v>2</v>
      </c>
      <c r="F296" s="311">
        <f>VLOOKUP(8422,季財報!A:H,6)</f>
        <v>1</v>
      </c>
      <c r="G296" s="311">
        <f>VLOOKUP(8422,季財報!A:H,7)</f>
        <v>0</v>
      </c>
      <c r="H296" s="312"/>
      <c r="I296" s="312"/>
      <c r="J296" s="312"/>
      <c r="K296" s="312"/>
      <c r="L296" s="312"/>
      <c r="M296" s="313"/>
      <c r="N296" s="312">
        <f t="shared" si="4"/>
        <v>5</v>
      </c>
      <c r="O296" s="314"/>
      <c r="P296" s="314"/>
      <c r="Q296" s="314"/>
      <c r="R296" s="314"/>
      <c r="S296" s="315"/>
    </row>
    <row r="297" spans="1:19" s="317" customFormat="1">
      <c r="A297" s="309" t="str">
        <f>HYPERLINK("http://www.wantgoo.com/stock/chart.aspx?stockno=4126","4126")</f>
        <v>4126</v>
      </c>
      <c r="B297" s="310"/>
      <c r="C297" s="311">
        <f>VLOOKUP(4126,季財報!A:H,3)</f>
        <v>1</v>
      </c>
      <c r="D297" s="311">
        <f>VLOOKUP(4126,季財報!A:H,4)</f>
        <v>1</v>
      </c>
      <c r="E297" s="311">
        <f>VLOOKUP(4126,季財報!A:H,5)</f>
        <v>1</v>
      </c>
      <c r="F297" s="311">
        <f>VLOOKUP(4126,季財報!A:H,6)</f>
        <v>1</v>
      </c>
      <c r="G297" s="311">
        <f>VLOOKUP(4126,季財報!A:H,7)</f>
        <v>0</v>
      </c>
      <c r="H297" s="312"/>
      <c r="I297" s="312"/>
      <c r="J297" s="312"/>
      <c r="K297" s="312"/>
      <c r="L297" s="312"/>
      <c r="M297" s="313"/>
      <c r="N297" s="312">
        <f t="shared" si="4"/>
        <v>4</v>
      </c>
      <c r="O297" s="314"/>
      <c r="P297" s="314"/>
      <c r="Q297" s="314"/>
      <c r="R297" s="314"/>
      <c r="S297" s="315"/>
    </row>
    <row r="298" spans="1:19">
      <c r="A298" s="308" t="str">
        <f>HYPERLINK("http://www.wantgoo.com/stock/chart.aspx?stockno=1603","1603")</f>
        <v>1603</v>
      </c>
      <c r="C298" s="18">
        <f>VLOOKUP(1603,季財報!A:H,3)</f>
        <v>0</v>
      </c>
      <c r="D298" s="18">
        <f>VLOOKUP(1603,季財報!A:H,4)</f>
        <v>1</v>
      </c>
      <c r="E298" s="18">
        <f>VLOOKUP(1603,季財報!A:H,5)</f>
        <v>0</v>
      </c>
      <c r="F298" s="18">
        <f>VLOOKUP(1603,季財報!A:H,6)</f>
        <v>0</v>
      </c>
      <c r="G298" s="18">
        <f>VLOOKUP(1603,季財報!A:H,7)</f>
        <v>0</v>
      </c>
      <c r="N298" s="20">
        <f t="shared" si="4"/>
        <v>1</v>
      </c>
    </row>
    <row r="299" spans="1:19">
      <c r="A299" s="307" t="str">
        <f>HYPERLINK("http://www.wantgoo.com/stock/chart.aspx?stockno=8403","8403")</f>
        <v>8403</v>
      </c>
      <c r="C299" s="18">
        <f>VLOOKUP(8403,季財報!A:H,3)</f>
        <v>0</v>
      </c>
      <c r="D299" s="18">
        <f>VLOOKUP(8403,季財報!A:H,4)</f>
        <v>1</v>
      </c>
      <c r="E299" s="18">
        <f>VLOOKUP(8403,季財報!A:H,5)</f>
        <v>0</v>
      </c>
      <c r="F299" s="18">
        <f>VLOOKUP(8403,季財報!A:H,6)</f>
        <v>0</v>
      </c>
      <c r="G299" s="18">
        <f>VLOOKUP(8403,季財報!A:H,7)</f>
        <v>0</v>
      </c>
      <c r="N299" s="20">
        <f t="shared" si="4"/>
        <v>1</v>
      </c>
    </row>
    <row r="300" spans="1:19">
      <c r="A300" s="308" t="str">
        <f>HYPERLINK("http://www.wantgoo.com/stock/chart.aspx?stockno=2115","2115")</f>
        <v>2115</v>
      </c>
      <c r="C300" s="18">
        <f>VLOOKUP(2115,季財報!A:H,3)</f>
        <v>1</v>
      </c>
      <c r="D300" s="18">
        <f>VLOOKUP(2115,季財報!A:H,4)</f>
        <v>1</v>
      </c>
      <c r="E300" s="18">
        <f>VLOOKUP(2115,季財報!A:H,5)</f>
        <v>0</v>
      </c>
      <c r="F300" s="18">
        <f>VLOOKUP(2115,季財報!A:H,6)</f>
        <v>1</v>
      </c>
      <c r="G300" s="18">
        <f>VLOOKUP(2115,季財報!A:H,7)</f>
        <v>0</v>
      </c>
      <c r="N300" s="20">
        <f t="shared" si="4"/>
        <v>3</v>
      </c>
    </row>
    <row r="301" spans="1:19" s="317" customFormat="1">
      <c r="A301" s="309" t="str">
        <f>HYPERLINK("http://www.wantgoo.com/stock/chart.aspx?stockno=2397","2397")</f>
        <v>2397</v>
      </c>
      <c r="B301" s="310"/>
      <c r="C301" s="311">
        <f>VLOOKUP(2397,季財報!A:H,3)</f>
        <v>1</v>
      </c>
      <c r="D301" s="311">
        <f>VLOOKUP(2397,季財報!A:H,4)</f>
        <v>1</v>
      </c>
      <c r="E301" s="311">
        <f>VLOOKUP(2397,季財報!A:H,5)</f>
        <v>0</v>
      </c>
      <c r="F301" s="311">
        <f>VLOOKUP(2397,季財報!A:H,6)</f>
        <v>1</v>
      </c>
      <c r="G301" s="311">
        <f>VLOOKUP(2397,季財報!A:H,7)</f>
        <v>0</v>
      </c>
      <c r="H301" s="312"/>
      <c r="I301" s="312"/>
      <c r="J301" s="312"/>
      <c r="K301" s="312"/>
      <c r="L301" s="312"/>
      <c r="M301" s="313"/>
      <c r="N301" s="312">
        <f t="shared" si="4"/>
        <v>3</v>
      </c>
      <c r="O301" s="314"/>
      <c r="P301" s="314"/>
      <c r="Q301" s="314"/>
      <c r="R301" s="314"/>
      <c r="S301" s="315"/>
    </row>
    <row r="302" spans="1:19" s="317" customFormat="1">
      <c r="A302" s="309" t="str">
        <f>HYPERLINK("http://www.wantgoo.com/stock/chart.aspx?stockno=9914","9914")</f>
        <v>9914</v>
      </c>
      <c r="B302" s="310"/>
      <c r="C302" s="311">
        <f>VLOOKUP(9914,季財報!A:H,3)</f>
        <v>1</v>
      </c>
      <c r="D302" s="311">
        <f>VLOOKUP(9914,季財報!A:H,4)</f>
        <v>1</v>
      </c>
      <c r="E302" s="311">
        <f>VLOOKUP(9914,季財報!A:H,5)</f>
        <v>1</v>
      </c>
      <c r="F302" s="311">
        <f>VLOOKUP(9914,季財報!A:H,6)</f>
        <v>1</v>
      </c>
      <c r="G302" s="311">
        <f>VLOOKUP(9914,季財報!A:H,7)</f>
        <v>0</v>
      </c>
      <c r="H302" s="312"/>
      <c r="I302" s="312"/>
      <c r="J302" s="312"/>
      <c r="K302" s="312"/>
      <c r="L302" s="312"/>
      <c r="M302" s="313"/>
      <c r="N302" s="312">
        <f t="shared" si="4"/>
        <v>4</v>
      </c>
      <c r="O302" s="314"/>
      <c r="P302" s="314"/>
      <c r="Q302" s="314"/>
      <c r="R302" s="314"/>
      <c r="S302" s="315"/>
    </row>
    <row r="303" spans="1:19">
      <c r="A303" s="307" t="str">
        <f>HYPERLINK("http://www.wantgoo.com/stock/chart.aspx?stockno=4144","4144")</f>
        <v>4144</v>
      </c>
      <c r="C303" s="18">
        <f>VLOOKUP(4144,季財報!A:H,3)</f>
        <v>0</v>
      </c>
      <c r="D303" s="18">
        <f>VLOOKUP(4144,季財報!A:H,4)</f>
        <v>0</v>
      </c>
      <c r="E303" s="18">
        <f>VLOOKUP(4144,季財報!A:H,5)</f>
        <v>2</v>
      </c>
      <c r="F303" s="18">
        <f>VLOOKUP(4144,季財報!A:H,6)</f>
        <v>1</v>
      </c>
      <c r="G303" s="18">
        <f>VLOOKUP(4144,季財報!A:H,7)</f>
        <v>0</v>
      </c>
      <c r="N303" s="20">
        <f t="shared" si="4"/>
        <v>3</v>
      </c>
    </row>
    <row r="304" spans="1:19">
      <c r="A304" s="307" t="str">
        <f>HYPERLINK("http://www.wantgoo.com/stock/chart.aspx?stockno=4510","4510")</f>
        <v>4510</v>
      </c>
      <c r="C304" s="18">
        <f>VLOOKUP(4510,季財報!A:H,3)</f>
        <v>1</v>
      </c>
      <c r="D304" s="18">
        <f>VLOOKUP(4510,季財報!A:H,4)</f>
        <v>1</v>
      </c>
      <c r="E304" s="18">
        <f>VLOOKUP(4510,季財報!A:H,5)</f>
        <v>0</v>
      </c>
      <c r="F304" s="18">
        <f>VLOOKUP(4510,季財報!A:H,6)</f>
        <v>0</v>
      </c>
      <c r="G304" s="18">
        <f>VLOOKUP(4510,季財報!A:H,7)</f>
        <v>0</v>
      </c>
      <c r="N304" s="20">
        <f t="shared" si="4"/>
        <v>2</v>
      </c>
    </row>
    <row r="305" spans="1:14">
      <c r="A305" s="308" t="str">
        <f>HYPERLINK("http://www.wantgoo.com/stock/chart.aspx?stockno=3105","3105")</f>
        <v>3105</v>
      </c>
      <c r="C305" s="18">
        <f>VLOOKUP(3105,季財報!A:H,3)</f>
        <v>1</v>
      </c>
      <c r="D305" s="18">
        <f>VLOOKUP(3105,季財報!A:H,4)</f>
        <v>1</v>
      </c>
      <c r="E305" s="18">
        <f>VLOOKUP(3105,季財報!A:H,5)</f>
        <v>0</v>
      </c>
      <c r="F305" s="18">
        <f>VLOOKUP(3105,季財報!A:H,6)</f>
        <v>1</v>
      </c>
      <c r="G305" s="18">
        <f>VLOOKUP(3105,季財報!A:H,7)</f>
        <v>1</v>
      </c>
      <c r="N305" s="20">
        <f t="shared" si="4"/>
        <v>4</v>
      </c>
    </row>
    <row r="306" spans="1:14">
      <c r="A306" s="308" t="str">
        <f>HYPERLINK("http://www.wantgoo.com/stock/chart.aspx?stockno=3376","3376")</f>
        <v>3376</v>
      </c>
      <c r="C306" s="18">
        <f>VLOOKUP(3376,季財報!A:H,3)</f>
        <v>1</v>
      </c>
      <c r="D306" s="18">
        <f>VLOOKUP(3376,季財報!A:H,4)</f>
        <v>1</v>
      </c>
      <c r="E306" s="18">
        <f>VLOOKUP(3376,季財報!A:H,5)</f>
        <v>0</v>
      </c>
      <c r="F306" s="18">
        <f>VLOOKUP(3376,季財報!A:H,6)</f>
        <v>1</v>
      </c>
      <c r="G306" s="18">
        <f>VLOOKUP(3376,季財報!A:H,7)</f>
        <v>0</v>
      </c>
      <c r="N306" s="20">
        <f t="shared" si="4"/>
        <v>3</v>
      </c>
    </row>
    <row r="307" spans="1:14">
      <c r="A307" s="307" t="str">
        <f>HYPERLINK("http://www.wantgoo.com/stock/chart.aspx?stockno=3689","3689")</f>
        <v>3689</v>
      </c>
      <c r="C307" s="18">
        <f>VLOOKUP(3689,季財報!A:H,3)</f>
        <v>0</v>
      </c>
      <c r="D307" s="18">
        <f>VLOOKUP(3689,季財報!A:H,4)</f>
        <v>0</v>
      </c>
      <c r="E307" s="18">
        <f>VLOOKUP(3689,季財報!A:H,5)</f>
        <v>1</v>
      </c>
      <c r="F307" s="18">
        <f>VLOOKUP(3689,季財報!A:H,6)</f>
        <v>0</v>
      </c>
      <c r="G307" s="18">
        <f>VLOOKUP(3689,季財報!A:H,7)</f>
        <v>0</v>
      </c>
      <c r="N307" s="20">
        <f t="shared" si="4"/>
        <v>1</v>
      </c>
    </row>
    <row r="308" spans="1:14">
      <c r="A308" s="307" t="str">
        <f>HYPERLINK("http://www.wantgoo.com/stock/chart.aspx?stockno=6271","6271")</f>
        <v>6271</v>
      </c>
      <c r="C308" s="18">
        <f>VLOOKUP(6271,季財報!A:H,3)</f>
        <v>0</v>
      </c>
      <c r="D308" s="18">
        <f>VLOOKUP(6271,季財報!A:H,4)</f>
        <v>1</v>
      </c>
      <c r="E308" s="18">
        <f>VLOOKUP(6271,季財報!A:H,5)</f>
        <v>0</v>
      </c>
      <c r="F308" s="18">
        <f>VLOOKUP(6271,季財報!A:H,6)</f>
        <v>1</v>
      </c>
      <c r="G308" s="18">
        <f>VLOOKUP(6271,季財報!A:H,7)</f>
        <v>0</v>
      </c>
      <c r="N308" s="20">
        <f t="shared" si="4"/>
        <v>2</v>
      </c>
    </row>
    <row r="309" spans="1:14">
      <c r="A309" s="308" t="str">
        <f>HYPERLINK("http://www.wantgoo.com/stock/chart.aspx?stockno=1722","1722")</f>
        <v>1722</v>
      </c>
      <c r="C309" s="18">
        <f>VLOOKUP(1722,季財報!A:H,3)</f>
        <v>0</v>
      </c>
      <c r="D309" s="18">
        <f>VLOOKUP(1722,季財報!A:H,4)</f>
        <v>1</v>
      </c>
      <c r="E309" s="18">
        <f>VLOOKUP(1722,季財報!A:H,5)</f>
        <v>1</v>
      </c>
      <c r="F309" s="18">
        <f>VLOOKUP(1722,季財報!A:H,6)</f>
        <v>1</v>
      </c>
      <c r="G309" s="18">
        <f>VLOOKUP(1722,季財報!A:H,7)</f>
        <v>0</v>
      </c>
      <c r="N309" s="20">
        <f t="shared" si="4"/>
        <v>3</v>
      </c>
    </row>
    <row r="310" spans="1:14">
      <c r="A310" s="308" t="str">
        <f>HYPERLINK("http://www.wantgoo.com/stock/chart.aspx?stockno=2543","2543")</f>
        <v>2543</v>
      </c>
      <c r="C310" s="18">
        <f>VLOOKUP(2543,季財報!A:H,3)</f>
        <v>0</v>
      </c>
      <c r="D310" s="18">
        <f>VLOOKUP(2543,季財報!A:H,4)</f>
        <v>1</v>
      </c>
      <c r="E310" s="18">
        <f>VLOOKUP(2543,季財報!A:H,5)</f>
        <v>0</v>
      </c>
      <c r="F310" s="18">
        <f>VLOOKUP(2543,季財報!A:H,6)</f>
        <v>0</v>
      </c>
      <c r="G310" s="18">
        <f>VLOOKUP(2543,季財報!A:H,7)</f>
        <v>0</v>
      </c>
      <c r="N310" s="20">
        <f t="shared" si="4"/>
        <v>1</v>
      </c>
    </row>
    <row r="311" spans="1:14">
      <c r="A311" s="308" t="str">
        <f>HYPERLINK("http://www.wantgoo.com/stock/chart.aspx?stockno=1616","1616")</f>
        <v>1616</v>
      </c>
      <c r="C311" s="18">
        <f>VLOOKUP(1616,季財報!A:H,3)</f>
        <v>0</v>
      </c>
      <c r="D311" s="18">
        <f>VLOOKUP(1616,季財報!A:H,4)</f>
        <v>0</v>
      </c>
      <c r="E311" s="18">
        <f>VLOOKUP(1616,季財報!A:H,5)</f>
        <v>1</v>
      </c>
      <c r="F311" s="18">
        <f>VLOOKUP(1616,季財報!A:H,6)</f>
        <v>0</v>
      </c>
      <c r="G311" s="18">
        <f>VLOOKUP(1616,季財報!A:H,7)</f>
        <v>0</v>
      </c>
      <c r="N311" s="20">
        <f t="shared" si="4"/>
        <v>1</v>
      </c>
    </row>
    <row r="312" spans="1:14">
      <c r="A312" s="308" t="str">
        <f>HYPERLINK("http://www.wantgoo.com/stock/chart.aspx?stockno=2471","2471")</f>
        <v>2471</v>
      </c>
      <c r="C312" s="18">
        <f>VLOOKUP(2471,季財報!A:H,3)</f>
        <v>0</v>
      </c>
      <c r="D312" s="18">
        <f>VLOOKUP(2471,季財報!A:H,4)</f>
        <v>1</v>
      </c>
      <c r="E312" s="18">
        <f>VLOOKUP(2471,季財報!A:H,5)</f>
        <v>2</v>
      </c>
      <c r="F312" s="18">
        <f>VLOOKUP(2471,季財報!A:H,6)</f>
        <v>0</v>
      </c>
      <c r="G312" s="18">
        <f>VLOOKUP(2471,季財報!A:H,7)</f>
        <v>0</v>
      </c>
      <c r="N312" s="20">
        <f t="shared" si="4"/>
        <v>3</v>
      </c>
    </row>
    <row r="313" spans="1:14">
      <c r="A313" s="307" t="str">
        <f>HYPERLINK("http://www.wantgoo.com/stock/chart.aspx?stockno=4907","4907")</f>
        <v>4907</v>
      </c>
      <c r="C313" s="18">
        <f>VLOOKUP(4907,季財報!A:H,3)</f>
        <v>1</v>
      </c>
      <c r="D313" s="18">
        <f>VLOOKUP(4907,季財報!A:H,4)</f>
        <v>1</v>
      </c>
      <c r="E313" s="18">
        <f>VLOOKUP(4907,季財報!A:H,5)</f>
        <v>1</v>
      </c>
      <c r="F313" s="18">
        <f>VLOOKUP(4907,季財報!A:H,6)</f>
        <v>1</v>
      </c>
      <c r="G313" s="18">
        <f>VLOOKUP(4907,季財報!A:H,7)</f>
        <v>0</v>
      </c>
      <c r="N313" s="20">
        <f t="shared" si="4"/>
        <v>4</v>
      </c>
    </row>
    <row r="314" spans="1:14">
      <c r="A314" s="307" t="str">
        <f>HYPERLINK("http://www.wantgoo.com/stock/chart.aspx?stockno=3036","3036")</f>
        <v>3036</v>
      </c>
      <c r="C314" s="18">
        <f>VLOOKUP(3036,季財報!A:H,3)</f>
        <v>0</v>
      </c>
      <c r="D314" s="18">
        <f>VLOOKUP(3036,季財報!A:H,4)</f>
        <v>1</v>
      </c>
      <c r="E314" s="18">
        <f>VLOOKUP(3036,季財報!A:H,5)</f>
        <v>0</v>
      </c>
      <c r="F314" s="18">
        <f>VLOOKUP(3036,季財報!A:H,6)</f>
        <v>0</v>
      </c>
      <c r="G314" s="18">
        <f>VLOOKUP(3036,季財報!A:H,7)</f>
        <v>0</v>
      </c>
      <c r="N314" s="20">
        <f t="shared" si="4"/>
        <v>1</v>
      </c>
    </row>
    <row r="315" spans="1:14">
      <c r="A315" s="308" t="str">
        <f>HYPERLINK("http://www.wantgoo.com/stock/chart.aspx?stockno=6201","6201")</f>
        <v>6201</v>
      </c>
      <c r="C315" s="18">
        <f>VLOOKUP(6201,季財報!A:H,3)</f>
        <v>1</v>
      </c>
      <c r="D315" s="18">
        <f>VLOOKUP(6201,季財報!A:H,4)</f>
        <v>1</v>
      </c>
      <c r="E315" s="18">
        <f>VLOOKUP(6201,季財報!A:H,5)</f>
        <v>0</v>
      </c>
      <c r="F315" s="18">
        <f>VLOOKUP(6201,季財報!A:H,6)</f>
        <v>1</v>
      </c>
      <c r="G315" s="18">
        <f>VLOOKUP(6201,季財報!A:H,7)</f>
        <v>0</v>
      </c>
      <c r="N315" s="20">
        <f t="shared" si="4"/>
        <v>3</v>
      </c>
    </row>
    <row r="316" spans="1:14">
      <c r="A316" s="307" t="str">
        <f>HYPERLINK("http://www.wantgoo.com/stock/chart.aspx?stockno=6220","6220")</f>
        <v>6220</v>
      </c>
      <c r="C316" s="18">
        <f>VLOOKUP(6220,季財報!A:H,3)</f>
        <v>1</v>
      </c>
      <c r="D316" s="18">
        <f>VLOOKUP(6220,季財報!A:H,4)</f>
        <v>1</v>
      </c>
      <c r="E316" s="18">
        <f>VLOOKUP(6220,季財報!A:H,5)</f>
        <v>2</v>
      </c>
      <c r="F316" s="18">
        <f>VLOOKUP(6220,季財報!A:H,6)</f>
        <v>0</v>
      </c>
      <c r="G316" s="18">
        <f>VLOOKUP(6220,季財報!A:H,7)</f>
        <v>1</v>
      </c>
      <c r="N316" s="20">
        <f t="shared" si="4"/>
        <v>5</v>
      </c>
    </row>
    <row r="317" spans="1:14">
      <c r="A317" s="308" t="str">
        <f>HYPERLINK("http://www.wantgoo.com/stock/chart.aspx?stockno=2105","2105")</f>
        <v>2105</v>
      </c>
      <c r="C317" s="18">
        <f>VLOOKUP(2105,季財報!A:H,3)</f>
        <v>0</v>
      </c>
      <c r="D317" s="18">
        <f>VLOOKUP(2105,季財報!A:H,4)</f>
        <v>0</v>
      </c>
      <c r="E317" s="18">
        <f>VLOOKUP(2105,季財報!A:H,5)</f>
        <v>0</v>
      </c>
      <c r="F317" s="18">
        <f>VLOOKUP(2105,季財報!A:H,6)</f>
        <v>1</v>
      </c>
      <c r="G317" s="18">
        <f>VLOOKUP(2105,季財報!A:H,7)</f>
        <v>0</v>
      </c>
      <c r="N317" s="20">
        <f t="shared" si="4"/>
        <v>1</v>
      </c>
    </row>
    <row r="318" spans="1:14">
      <c r="A318" s="308" t="str">
        <f>HYPERLINK("http://www.wantgoo.com/stock/chart.aspx?stockno=4550","4550")</f>
        <v>4550</v>
      </c>
      <c r="C318" s="18">
        <f>VLOOKUP(4550,季財報!A:H,3)</f>
        <v>0</v>
      </c>
      <c r="D318" s="18">
        <f>VLOOKUP(4550,季財報!A:H,4)</f>
        <v>0</v>
      </c>
      <c r="E318" s="18">
        <f>VLOOKUP(4550,季財報!A:H,5)</f>
        <v>0</v>
      </c>
      <c r="F318" s="18">
        <f>VLOOKUP(4550,季財報!A:H,6)</f>
        <v>1</v>
      </c>
      <c r="G318" s="18">
        <f>VLOOKUP(4550,季財報!A:H,7)</f>
        <v>0</v>
      </c>
      <c r="N318" s="20">
        <f t="shared" si="4"/>
        <v>1</v>
      </c>
    </row>
    <row r="319" spans="1:14">
      <c r="A319" s="307" t="str">
        <f>HYPERLINK("http://www.wantgoo.com/stock/chart.aspx?stockno=4953","4953")</f>
        <v>4953</v>
      </c>
      <c r="C319" s="18">
        <f>VLOOKUP(4953,季財報!A:H,3)</f>
        <v>0</v>
      </c>
      <c r="D319" s="18">
        <f>VLOOKUP(4953,季財報!A:H,4)</f>
        <v>0</v>
      </c>
      <c r="E319" s="18">
        <f>VLOOKUP(4953,季財報!A:H,5)</f>
        <v>1</v>
      </c>
      <c r="F319" s="18">
        <f>VLOOKUP(4953,季財報!A:H,6)</f>
        <v>0</v>
      </c>
      <c r="G319" s="18">
        <f>VLOOKUP(4953,季財報!A:H,7)</f>
        <v>0</v>
      </c>
      <c r="N319" s="20">
        <f t="shared" si="4"/>
        <v>1</v>
      </c>
    </row>
    <row r="320" spans="1:14">
      <c r="A320" s="307" t="str">
        <f>HYPERLINK("http://www.wantgoo.com/stock/chart.aspx?stockno=5356","5356")</f>
        <v>5356</v>
      </c>
      <c r="C320" s="18">
        <f>VLOOKUP(5356,季財報!A:H,3)</f>
        <v>0</v>
      </c>
      <c r="D320" s="18">
        <f>VLOOKUP(5356,季財報!A:H,4)</f>
        <v>1</v>
      </c>
      <c r="E320" s="18">
        <f>VLOOKUP(5356,季財報!A:H,5)</f>
        <v>0</v>
      </c>
      <c r="F320" s="18">
        <f>VLOOKUP(5356,季財報!A:H,6)</f>
        <v>0</v>
      </c>
      <c r="G320" s="18">
        <f>VLOOKUP(5356,季財報!A:H,7)</f>
        <v>0</v>
      </c>
      <c r="N320" s="20">
        <f t="shared" si="4"/>
        <v>1</v>
      </c>
    </row>
    <row r="321" spans="1:19">
      <c r="A321" s="307" t="str">
        <f>HYPERLINK("http://www.wantgoo.com/stock/chart.aspx?stockno=1762","1762")</f>
        <v>1762</v>
      </c>
      <c r="C321" s="18">
        <f>VLOOKUP(1762,季財報!A:H,3)</f>
        <v>0</v>
      </c>
      <c r="D321" s="18">
        <f>VLOOKUP(1762,季財報!A:H,4)</f>
        <v>1</v>
      </c>
      <c r="E321" s="18">
        <f>VLOOKUP(1762,季財報!A:H,5)</f>
        <v>0</v>
      </c>
      <c r="F321" s="18">
        <f>VLOOKUP(1762,季財報!A:H,6)</f>
        <v>1</v>
      </c>
      <c r="G321" s="18">
        <f>VLOOKUP(1762,季財報!A:H,7)</f>
        <v>0</v>
      </c>
      <c r="N321" s="20">
        <f t="shared" si="4"/>
        <v>2</v>
      </c>
    </row>
    <row r="322" spans="1:19">
      <c r="A322" s="308" t="str">
        <f>HYPERLINK("http://www.wantgoo.com/stock/chart.aspx?stockno=2850","2850")</f>
        <v>2850</v>
      </c>
      <c r="C322" s="18">
        <f>VLOOKUP(2850,季財報!A:H,3)</f>
        <v>0</v>
      </c>
      <c r="D322" s="18">
        <f>VLOOKUP(2850,季財報!A:H,4)</f>
        <v>0</v>
      </c>
      <c r="E322" s="18">
        <f>VLOOKUP(2850,季財報!A:H,5)</f>
        <v>1</v>
      </c>
      <c r="F322" s="18">
        <f>VLOOKUP(2850,季財報!A:H,6)</f>
        <v>0</v>
      </c>
      <c r="G322" s="18">
        <f>VLOOKUP(2850,季財報!A:H,7)</f>
        <v>0</v>
      </c>
      <c r="N322" s="20">
        <f t="shared" si="4"/>
        <v>1</v>
      </c>
    </row>
    <row r="323" spans="1:19">
      <c r="A323" s="308" t="str">
        <f>HYPERLINK("http://www.wantgoo.com/stock/chart.aspx?stockno=3537","3537")</f>
        <v>3537</v>
      </c>
      <c r="C323" s="18">
        <f>VLOOKUP(3537,季財報!A:H,3)</f>
        <v>1</v>
      </c>
      <c r="D323" s="18">
        <f>VLOOKUP(3537,季財報!A:H,4)</f>
        <v>1</v>
      </c>
      <c r="E323" s="18">
        <f>VLOOKUP(3537,季財報!A:H,5)</f>
        <v>0</v>
      </c>
      <c r="F323" s="18">
        <f>VLOOKUP(3537,季財報!A:H,6)</f>
        <v>0</v>
      </c>
      <c r="G323" s="18">
        <f>VLOOKUP(3537,季財報!A:H,7)</f>
        <v>0</v>
      </c>
      <c r="N323" s="20">
        <f t="shared" si="4"/>
        <v>2</v>
      </c>
    </row>
    <row r="324" spans="1:19">
      <c r="A324" s="307" t="str">
        <f>HYPERLINK("http://www.wantgoo.com/stock/chart.aspx?stockno=2515","2515")</f>
        <v>2515</v>
      </c>
      <c r="C324" s="18">
        <f>VLOOKUP(2515,季財報!A:H,3)</f>
        <v>0</v>
      </c>
      <c r="D324" s="18">
        <f>VLOOKUP(2515,季財報!A:H,4)</f>
        <v>0</v>
      </c>
      <c r="E324" s="18">
        <f>VLOOKUP(2515,季財報!A:H,5)</f>
        <v>0</v>
      </c>
      <c r="F324" s="18">
        <f>VLOOKUP(2515,季財報!A:H,6)</f>
        <v>0</v>
      </c>
      <c r="G324" s="18">
        <f>VLOOKUP(2515,季財報!A:H,7)</f>
        <v>0</v>
      </c>
      <c r="N324" s="20">
        <f t="shared" ref="N324:N387" si="5">SUM(C324:M324)</f>
        <v>0</v>
      </c>
    </row>
    <row r="325" spans="1:19">
      <c r="A325" s="307" t="str">
        <f>HYPERLINK("http://www.wantgoo.com/stock/chart.aspx?stockno=2542","2542")</f>
        <v>2542</v>
      </c>
      <c r="C325" s="18">
        <f>VLOOKUP(2542,季財報!A:H,3)</f>
        <v>0</v>
      </c>
      <c r="D325" s="18">
        <f>VLOOKUP(2542,季財報!A:H,4)</f>
        <v>1</v>
      </c>
      <c r="E325" s="18">
        <f>VLOOKUP(2542,季財報!A:H,5)</f>
        <v>0</v>
      </c>
      <c r="F325" s="18">
        <f>VLOOKUP(2542,季財報!A:H,6)</f>
        <v>0</v>
      </c>
      <c r="G325" s="18">
        <f>VLOOKUP(2542,季財報!A:H,7)</f>
        <v>0</v>
      </c>
      <c r="N325" s="20">
        <f t="shared" si="5"/>
        <v>1</v>
      </c>
    </row>
    <row r="326" spans="1:19">
      <c r="A326" s="307" t="str">
        <f>HYPERLINK("http://www.wantgoo.com/stock/chart.aspx?stockno=6279","6279")</f>
        <v>6279</v>
      </c>
      <c r="C326" s="18">
        <f>VLOOKUP(6279,季財報!A:H,3)</f>
        <v>0</v>
      </c>
      <c r="D326" s="18">
        <f>VLOOKUP(6279,季財報!A:H,4)</f>
        <v>1</v>
      </c>
      <c r="E326" s="18">
        <f>VLOOKUP(6279,季財報!A:H,5)</f>
        <v>0</v>
      </c>
      <c r="F326" s="18">
        <f>VLOOKUP(6279,季財報!A:H,6)</f>
        <v>0</v>
      </c>
      <c r="G326" s="18">
        <f>VLOOKUP(6279,季財報!A:H,7)</f>
        <v>0</v>
      </c>
      <c r="N326" s="20">
        <f t="shared" si="5"/>
        <v>1</v>
      </c>
    </row>
    <row r="327" spans="1:19">
      <c r="A327" s="308" t="str">
        <f>HYPERLINK("http://www.wantgoo.com/stock/chart.aspx?stockno=3587","3587")</f>
        <v>3587</v>
      </c>
      <c r="C327" s="18">
        <f>VLOOKUP(3587,季財報!A:H,3)</f>
        <v>0</v>
      </c>
      <c r="D327" s="18">
        <f>VLOOKUP(3587,季財報!A:H,4)</f>
        <v>1</v>
      </c>
      <c r="E327" s="18">
        <f>VLOOKUP(3587,季財報!A:H,5)</f>
        <v>1</v>
      </c>
      <c r="F327" s="18">
        <f>VLOOKUP(3587,季財報!A:H,6)</f>
        <v>1</v>
      </c>
      <c r="G327" s="18">
        <f>VLOOKUP(3587,季財報!A:H,7)</f>
        <v>1</v>
      </c>
      <c r="N327" s="20">
        <f t="shared" si="5"/>
        <v>4</v>
      </c>
    </row>
    <row r="328" spans="1:19">
      <c r="A328" s="307" t="str">
        <f>HYPERLINK("http://www.wantgoo.com/stock/chart.aspx?stockno=1777","1777")</f>
        <v>1777</v>
      </c>
      <c r="C328" s="18">
        <f>VLOOKUP(1777,季財報!A:H,3)</f>
        <v>1</v>
      </c>
      <c r="D328" s="18">
        <f>VLOOKUP(1777,季財報!A:H,4)</f>
        <v>1</v>
      </c>
      <c r="E328" s="18">
        <f>VLOOKUP(1777,季財報!A:H,5)</f>
        <v>1</v>
      </c>
      <c r="F328" s="18">
        <f>VLOOKUP(1777,季財報!A:H,6)</f>
        <v>1</v>
      </c>
      <c r="G328" s="18">
        <f>VLOOKUP(1777,季財報!A:H,7)</f>
        <v>1</v>
      </c>
      <c r="N328" s="20">
        <f t="shared" si="5"/>
        <v>5</v>
      </c>
    </row>
    <row r="329" spans="1:19">
      <c r="A329" s="307" t="str">
        <f>HYPERLINK("http://www.wantgoo.com/stock/chart.aspx?stockno=3217","3217")</f>
        <v>3217</v>
      </c>
      <c r="C329" s="18">
        <f>VLOOKUP(3217,季財報!A:H,3)</f>
        <v>1</v>
      </c>
      <c r="D329" s="18">
        <f>VLOOKUP(3217,季財報!A:H,4)</f>
        <v>1</v>
      </c>
      <c r="E329" s="18">
        <f>VLOOKUP(3217,季財報!A:H,5)</f>
        <v>2</v>
      </c>
      <c r="F329" s="18">
        <f>VLOOKUP(3217,季財報!A:H,6)</f>
        <v>1</v>
      </c>
      <c r="G329" s="18">
        <f>VLOOKUP(3217,季財報!A:H,7)</f>
        <v>0</v>
      </c>
      <c r="N329" s="20">
        <f t="shared" si="5"/>
        <v>5</v>
      </c>
    </row>
    <row r="330" spans="1:19">
      <c r="A330" s="308" t="str">
        <f>HYPERLINK("http://www.wantgoo.com/stock/chart.aspx?stockno=3617","3617")</f>
        <v>3617</v>
      </c>
      <c r="C330" s="18">
        <f>VLOOKUP(3617,季財報!A:H,3)</f>
        <v>1</v>
      </c>
      <c r="D330" s="18">
        <f>VLOOKUP(3617,季財報!A:H,4)</f>
        <v>1</v>
      </c>
      <c r="E330" s="18">
        <f>VLOOKUP(3617,季財報!A:H,5)</f>
        <v>0</v>
      </c>
      <c r="F330" s="18">
        <f>VLOOKUP(3617,季財報!A:H,6)</f>
        <v>1</v>
      </c>
      <c r="G330" s="18">
        <f>VLOOKUP(3617,季財報!A:H,7)</f>
        <v>0</v>
      </c>
      <c r="N330" s="20">
        <f t="shared" si="5"/>
        <v>3</v>
      </c>
    </row>
    <row r="331" spans="1:19" s="317" customFormat="1">
      <c r="A331" s="309" t="str">
        <f>HYPERLINK("http://www.wantgoo.com/stock/chart.aspx?stockno=2377","2377")</f>
        <v>2377</v>
      </c>
      <c r="B331" s="310"/>
      <c r="C331" s="311">
        <f>VLOOKUP(2377,季財報!A:H,3)</f>
        <v>1</v>
      </c>
      <c r="D331" s="311">
        <f>VLOOKUP(2377,季財報!A:H,4)</f>
        <v>1</v>
      </c>
      <c r="E331" s="311">
        <f>VLOOKUP(2377,季財報!A:H,5)</f>
        <v>2</v>
      </c>
      <c r="F331" s="311">
        <f>VLOOKUP(2377,季財報!A:H,6)</f>
        <v>1</v>
      </c>
      <c r="G331" s="311">
        <f>VLOOKUP(2377,季財報!A:H,7)</f>
        <v>0</v>
      </c>
      <c r="H331" s="312"/>
      <c r="I331" s="312"/>
      <c r="J331" s="312"/>
      <c r="K331" s="312"/>
      <c r="L331" s="312"/>
      <c r="M331" s="313"/>
      <c r="N331" s="312">
        <f t="shared" si="5"/>
        <v>5</v>
      </c>
      <c r="O331" s="314"/>
      <c r="P331" s="314"/>
      <c r="Q331" s="314"/>
      <c r="R331" s="314"/>
      <c r="S331" s="315"/>
    </row>
    <row r="332" spans="1:19">
      <c r="A332" s="307" t="str">
        <f>HYPERLINK("http://www.wantgoo.com/stock/chart.aspx?stockno=2539","2539")</f>
        <v>2539</v>
      </c>
      <c r="C332" s="18">
        <f>VLOOKUP(2539,季財報!A:H,3)</f>
        <v>0</v>
      </c>
      <c r="D332" s="18">
        <f>VLOOKUP(2539,季財報!A:H,4)</f>
        <v>0</v>
      </c>
      <c r="E332" s="18">
        <f>VLOOKUP(2539,季財報!A:H,5)</f>
        <v>0</v>
      </c>
      <c r="F332" s="18">
        <f>VLOOKUP(2539,季財報!A:H,6)</f>
        <v>0</v>
      </c>
      <c r="G332" s="18">
        <f>VLOOKUP(2539,季財報!A:H,7)</f>
        <v>0</v>
      </c>
      <c r="N332" s="20">
        <f t="shared" si="5"/>
        <v>0</v>
      </c>
    </row>
    <row r="333" spans="1:19" s="317" customFormat="1">
      <c r="A333" s="309" t="str">
        <f>HYPERLINK("http://www.wantgoo.com/stock/chart.aspx?stockno=4912","4912")</f>
        <v>4912</v>
      </c>
      <c r="B333" s="310"/>
      <c r="C333" s="311">
        <f>VLOOKUP(4912,季財報!A:H,3)</f>
        <v>0</v>
      </c>
      <c r="D333" s="311">
        <f>VLOOKUP(4912,季財報!A:H,4)</f>
        <v>1</v>
      </c>
      <c r="E333" s="311">
        <f>VLOOKUP(4912,季財報!A:H,5)</f>
        <v>0</v>
      </c>
      <c r="F333" s="311">
        <f>VLOOKUP(4912,季財報!A:H,6)</f>
        <v>1</v>
      </c>
      <c r="G333" s="311">
        <f>VLOOKUP(4912,季財報!A:H,7)</f>
        <v>0</v>
      </c>
      <c r="H333" s="312"/>
      <c r="I333" s="312"/>
      <c r="J333" s="312"/>
      <c r="K333" s="312"/>
      <c r="L333" s="312"/>
      <c r="M333" s="313"/>
      <c r="N333" s="312">
        <f t="shared" si="5"/>
        <v>2</v>
      </c>
      <c r="O333" s="314"/>
      <c r="P333" s="314"/>
      <c r="Q333" s="314"/>
      <c r="R333" s="314"/>
      <c r="S333" s="315"/>
    </row>
    <row r="334" spans="1:19">
      <c r="A334" s="307" t="str">
        <f>HYPERLINK("http://www.wantgoo.com/stock/chart.aspx?stockno=1256","1256")</f>
        <v>1256</v>
      </c>
      <c r="C334" s="18">
        <f>VLOOKUP(1256,季財報!A:H,3)</f>
        <v>0</v>
      </c>
      <c r="D334" s="18">
        <f>VLOOKUP(1256,季財報!A:H,4)</f>
        <v>0</v>
      </c>
      <c r="E334" s="18">
        <f>VLOOKUP(1256,季財報!A:H,5)</f>
        <v>0</v>
      </c>
      <c r="F334" s="18">
        <f>VLOOKUP(1256,季財報!A:H,6)</f>
        <v>1</v>
      </c>
      <c r="G334" s="18">
        <f>VLOOKUP(1256,季財報!A:H,7)</f>
        <v>0</v>
      </c>
      <c r="N334" s="20">
        <f t="shared" si="5"/>
        <v>1</v>
      </c>
    </row>
    <row r="335" spans="1:19">
      <c r="A335" s="307" t="str">
        <f>HYPERLINK("http://www.wantgoo.com/stock/chart.aspx?stockno=1339","1339")</f>
        <v>1339</v>
      </c>
      <c r="C335" s="18">
        <f>VLOOKUP(1339,季財報!A:H,3)</f>
        <v>1</v>
      </c>
      <c r="D335" s="18">
        <f>VLOOKUP(1339,季財報!A:H,4)</f>
        <v>1</v>
      </c>
      <c r="E335" s="18">
        <f>VLOOKUP(1339,季財報!A:H,5)</f>
        <v>0</v>
      </c>
      <c r="F335" s="18">
        <f>VLOOKUP(1339,季財報!A:H,6)</f>
        <v>0</v>
      </c>
      <c r="G335" s="18">
        <f>VLOOKUP(1339,季財報!A:H,7)</f>
        <v>1</v>
      </c>
      <c r="N335" s="20">
        <f t="shared" si="5"/>
        <v>3</v>
      </c>
    </row>
    <row r="336" spans="1:19">
      <c r="A336" s="307" t="str">
        <f>HYPERLINK("http://www.wantgoo.com/stock/chart.aspx?stockno=1532","1532")</f>
        <v>1532</v>
      </c>
      <c r="C336" s="18">
        <f>VLOOKUP(1532,季財報!A:H,3)</f>
        <v>0</v>
      </c>
      <c r="D336" s="18">
        <f>VLOOKUP(1532,季財報!A:H,4)</f>
        <v>1</v>
      </c>
      <c r="E336" s="18">
        <f>VLOOKUP(1532,季財報!A:H,5)</f>
        <v>2</v>
      </c>
      <c r="F336" s="18">
        <f>VLOOKUP(1532,季財報!A:H,6)</f>
        <v>1</v>
      </c>
      <c r="G336" s="18">
        <f>VLOOKUP(1532,季財報!A:H,7)</f>
        <v>0</v>
      </c>
      <c r="N336" s="20">
        <f t="shared" si="5"/>
        <v>4</v>
      </c>
    </row>
    <row r="337" spans="1:14">
      <c r="A337" s="308" t="str">
        <f>HYPERLINK("http://www.wantgoo.com/stock/chart.aspx?stockno=2454","2454")</f>
        <v>2454</v>
      </c>
      <c r="C337" s="18">
        <f>VLOOKUP(2454,季財報!A:H,3)</f>
        <v>0</v>
      </c>
      <c r="D337" s="18">
        <f>VLOOKUP(2454,季財報!A:H,4)</f>
        <v>1</v>
      </c>
      <c r="E337" s="18">
        <f>VLOOKUP(2454,季財報!A:H,5)</f>
        <v>0</v>
      </c>
      <c r="F337" s="18">
        <f>VLOOKUP(2454,季財報!A:H,6)</f>
        <v>0</v>
      </c>
      <c r="G337" s="18">
        <f>VLOOKUP(2454,季財報!A:H,7)</f>
        <v>0</v>
      </c>
      <c r="N337" s="20">
        <f t="shared" si="5"/>
        <v>1</v>
      </c>
    </row>
    <row r="338" spans="1:14">
      <c r="A338" s="307" t="str">
        <f>HYPERLINK("http://www.wantgoo.com/stock/chart.aspx?stockno=3010","3010")</f>
        <v>3010</v>
      </c>
      <c r="C338" s="18">
        <f>VLOOKUP(3010,季財報!A:H,3)</f>
        <v>0</v>
      </c>
      <c r="D338" s="18">
        <f>VLOOKUP(3010,季財報!A:H,4)</f>
        <v>0</v>
      </c>
      <c r="E338" s="18">
        <f>VLOOKUP(3010,季財報!A:H,5)</f>
        <v>1</v>
      </c>
      <c r="F338" s="18">
        <f>VLOOKUP(3010,季財報!A:H,6)</f>
        <v>0</v>
      </c>
      <c r="G338" s="18">
        <f>VLOOKUP(3010,季財報!A:H,7)</f>
        <v>0</v>
      </c>
      <c r="N338" s="20">
        <f t="shared" si="5"/>
        <v>1</v>
      </c>
    </row>
    <row r="339" spans="1:14">
      <c r="A339" s="308" t="str">
        <f>HYPERLINK("http://www.wantgoo.com/stock/chart.aspx?stockno=3598","3598")</f>
        <v>3598</v>
      </c>
      <c r="C339" s="18">
        <f>VLOOKUP(3598,季財報!A:H,3)</f>
        <v>0</v>
      </c>
      <c r="D339" s="18">
        <f>VLOOKUP(3598,季財報!A:H,4)</f>
        <v>1</v>
      </c>
      <c r="E339" s="18">
        <f>VLOOKUP(3598,季財報!A:H,5)</f>
        <v>0</v>
      </c>
      <c r="F339" s="18">
        <f>VLOOKUP(3598,季財報!A:H,6)</f>
        <v>1</v>
      </c>
      <c r="G339" s="18">
        <f>VLOOKUP(3598,季財報!A:H,7)</f>
        <v>0</v>
      </c>
      <c r="N339" s="20">
        <f t="shared" si="5"/>
        <v>2</v>
      </c>
    </row>
    <row r="340" spans="1:14">
      <c r="A340" s="307" t="str">
        <f>HYPERLINK("http://www.wantgoo.com/stock/chart.aspx?stockno=6115","6115")</f>
        <v>6115</v>
      </c>
      <c r="C340" s="18">
        <f>VLOOKUP(6115,季財報!A:H,3)</f>
        <v>1</v>
      </c>
      <c r="D340" s="18">
        <f>VLOOKUP(6115,季財報!A:H,4)</f>
        <v>1</v>
      </c>
      <c r="E340" s="18">
        <f>VLOOKUP(6115,季財報!A:H,5)</f>
        <v>2</v>
      </c>
      <c r="F340" s="18">
        <f>VLOOKUP(6115,季財報!A:H,6)</f>
        <v>1</v>
      </c>
      <c r="G340" s="18">
        <f>VLOOKUP(6115,季財報!A:H,7)</f>
        <v>0</v>
      </c>
      <c r="N340" s="20">
        <f t="shared" si="5"/>
        <v>5</v>
      </c>
    </row>
    <row r="341" spans="1:14">
      <c r="A341" s="307" t="str">
        <f>HYPERLINK("http://www.wantgoo.com/stock/chart.aspx?stockno=3118","3118")</f>
        <v>3118</v>
      </c>
      <c r="C341" s="18">
        <f>VLOOKUP(3118,季財報!A:H,3)</f>
        <v>0</v>
      </c>
      <c r="D341" s="18">
        <f>VLOOKUP(3118,季財報!A:H,4)</f>
        <v>1</v>
      </c>
      <c r="E341" s="18">
        <f>VLOOKUP(3118,季財報!A:H,5)</f>
        <v>1</v>
      </c>
      <c r="F341" s="18">
        <f>VLOOKUP(3118,季財報!A:H,6)</f>
        <v>1</v>
      </c>
      <c r="G341" s="18">
        <f>VLOOKUP(3118,季財報!A:H,7)</f>
        <v>0</v>
      </c>
      <c r="N341" s="20">
        <f t="shared" si="5"/>
        <v>3</v>
      </c>
    </row>
    <row r="342" spans="1:14">
      <c r="A342" s="308" t="str">
        <f>HYPERLINK("http://www.wantgoo.com/stock/chart.aspx?stockno=5471","5471")</f>
        <v>5471</v>
      </c>
      <c r="C342" s="18">
        <f>VLOOKUP(5471,季財報!A:H,3)</f>
        <v>0</v>
      </c>
      <c r="D342" s="18">
        <f>VLOOKUP(5471,季財報!A:H,4)</f>
        <v>0</v>
      </c>
      <c r="E342" s="18">
        <f>VLOOKUP(5471,季財報!A:H,5)</f>
        <v>0</v>
      </c>
      <c r="F342" s="18">
        <f>VLOOKUP(5471,季財報!A:H,6)</f>
        <v>1</v>
      </c>
      <c r="G342" s="18">
        <f>VLOOKUP(5471,季財報!A:H,7)</f>
        <v>0</v>
      </c>
      <c r="N342" s="20">
        <f t="shared" si="5"/>
        <v>1</v>
      </c>
    </row>
    <row r="343" spans="1:14">
      <c r="A343" s="307" t="str">
        <f>HYPERLINK("http://www.wantgoo.com/stock/chart.aspx?stockno=3131","3131")</f>
        <v>3131</v>
      </c>
      <c r="C343" s="18">
        <f>VLOOKUP(3131,季財報!A:H,3)</f>
        <v>0</v>
      </c>
      <c r="D343" s="18">
        <f>VLOOKUP(3131,季財報!A:H,4)</f>
        <v>1</v>
      </c>
      <c r="E343" s="18">
        <f>VLOOKUP(3131,季財報!A:H,5)</f>
        <v>0</v>
      </c>
      <c r="F343" s="18">
        <f>VLOOKUP(3131,季財報!A:H,6)</f>
        <v>0</v>
      </c>
      <c r="G343" s="18">
        <f>VLOOKUP(3131,季財報!A:H,7)</f>
        <v>0</v>
      </c>
      <c r="N343" s="20">
        <f t="shared" si="5"/>
        <v>1</v>
      </c>
    </row>
    <row r="344" spans="1:14">
      <c r="A344" s="308" t="str">
        <f>HYPERLINK("http://www.wantgoo.com/stock/chart.aspx?stockno=4153","4153")</f>
        <v>4153</v>
      </c>
      <c r="C344" s="18">
        <f>VLOOKUP(4153,季財報!A:H,3)</f>
        <v>1</v>
      </c>
      <c r="D344" s="18">
        <f>VLOOKUP(4153,季財報!A:H,4)</f>
        <v>1</v>
      </c>
      <c r="E344" s="18">
        <f>VLOOKUP(4153,季財報!A:H,5)</f>
        <v>0</v>
      </c>
      <c r="F344" s="18">
        <f>VLOOKUP(4153,季財報!A:H,6)</f>
        <v>1</v>
      </c>
      <c r="G344" s="18">
        <f>VLOOKUP(4153,季財報!A:H,7)</f>
        <v>0</v>
      </c>
      <c r="N344" s="20">
        <f t="shared" si="5"/>
        <v>3</v>
      </c>
    </row>
    <row r="345" spans="1:14">
      <c r="A345" s="308" t="str">
        <f>HYPERLINK("http://www.wantgoo.com/stock/chart.aspx?stockno=6109","6109")</f>
        <v>6109</v>
      </c>
      <c r="C345" s="18">
        <f>VLOOKUP(6109,季財報!A:H,3)</f>
        <v>1</v>
      </c>
      <c r="D345" s="18">
        <f>VLOOKUP(6109,季財報!A:H,4)</f>
        <v>1</v>
      </c>
      <c r="E345" s="18">
        <f>VLOOKUP(6109,季財報!A:H,5)</f>
        <v>0</v>
      </c>
      <c r="F345" s="18">
        <f>VLOOKUP(6109,季財報!A:H,6)</f>
        <v>0</v>
      </c>
      <c r="G345" s="18">
        <f>VLOOKUP(6109,季財報!A:H,7)</f>
        <v>0</v>
      </c>
      <c r="N345" s="20">
        <f t="shared" si="5"/>
        <v>2</v>
      </c>
    </row>
    <row r="346" spans="1:14">
      <c r="A346" s="307" t="str">
        <f>HYPERLINK("http://www.wantgoo.com/stock/chart.aspx?stockno=1535","1535")</f>
        <v>1535</v>
      </c>
      <c r="C346" s="18">
        <f>VLOOKUP(1535,季財報!A:H,3)</f>
        <v>0</v>
      </c>
      <c r="D346" s="18">
        <f>VLOOKUP(1535,季財報!A:H,4)</f>
        <v>1</v>
      </c>
      <c r="E346" s="18">
        <f>VLOOKUP(1535,季財報!A:H,5)</f>
        <v>0</v>
      </c>
      <c r="F346" s="18">
        <f>VLOOKUP(1535,季財報!A:H,6)</f>
        <v>0</v>
      </c>
      <c r="G346" s="18">
        <f>VLOOKUP(1535,季財報!A:H,7)</f>
        <v>0</v>
      </c>
      <c r="N346" s="20">
        <f t="shared" si="5"/>
        <v>1</v>
      </c>
    </row>
    <row r="347" spans="1:14">
      <c r="A347" s="308" t="str">
        <f>HYPERLINK("http://www.wantgoo.com/stock/chart.aspx?stockno=2387","2387")</f>
        <v>2387</v>
      </c>
      <c r="C347" s="18">
        <f>VLOOKUP(2387,季財報!A:H,3)</f>
        <v>1</v>
      </c>
      <c r="D347" s="18">
        <f>VLOOKUP(2387,季財報!A:H,4)</f>
        <v>1</v>
      </c>
      <c r="E347" s="18">
        <f>VLOOKUP(2387,季財報!A:H,5)</f>
        <v>1</v>
      </c>
      <c r="F347" s="18">
        <f>VLOOKUP(2387,季財報!A:H,6)</f>
        <v>1</v>
      </c>
      <c r="G347" s="18">
        <f>VLOOKUP(2387,季財報!A:H,7)</f>
        <v>0</v>
      </c>
      <c r="N347" s="20">
        <f t="shared" si="5"/>
        <v>4</v>
      </c>
    </row>
    <row r="348" spans="1:14">
      <c r="A348" s="308" t="str">
        <f>HYPERLINK("http://www.wantgoo.com/stock/chart.aspx?stockno=2449","2449")</f>
        <v>2449</v>
      </c>
      <c r="C348" s="18">
        <f>VLOOKUP(2449,季財報!A:H,3)</f>
        <v>0</v>
      </c>
      <c r="D348" s="18">
        <f>VLOOKUP(2449,季財報!A:H,4)</f>
        <v>0</v>
      </c>
      <c r="E348" s="18">
        <f>VLOOKUP(2449,季財報!A:H,5)</f>
        <v>0</v>
      </c>
      <c r="F348" s="18">
        <f>VLOOKUP(2449,季財報!A:H,6)</f>
        <v>1</v>
      </c>
      <c r="G348" s="18">
        <f>VLOOKUP(2449,季財報!A:H,7)</f>
        <v>0</v>
      </c>
      <c r="N348" s="20">
        <f t="shared" si="5"/>
        <v>1</v>
      </c>
    </row>
    <row r="349" spans="1:14">
      <c r="A349" s="308" t="str">
        <f>HYPERLINK("http://www.wantgoo.com/stock/chart.aspx?stockno=6221","6221")</f>
        <v>6221</v>
      </c>
      <c r="C349" s="18">
        <f>VLOOKUP(6221,季財報!A:H,3)</f>
        <v>0</v>
      </c>
      <c r="D349" s="18">
        <f>VLOOKUP(6221,季財報!A:H,4)</f>
        <v>1</v>
      </c>
      <c r="E349" s="18">
        <f>VLOOKUP(6221,季財報!A:H,5)</f>
        <v>1</v>
      </c>
      <c r="F349" s="18">
        <f>VLOOKUP(6221,季財報!A:H,6)</f>
        <v>0</v>
      </c>
      <c r="G349" s="18">
        <f>VLOOKUP(6221,季財報!A:H,7)</f>
        <v>0</v>
      </c>
      <c r="N349" s="20">
        <f t="shared" si="5"/>
        <v>2</v>
      </c>
    </row>
    <row r="350" spans="1:14">
      <c r="A350" s="308" t="str">
        <f>HYPERLINK("http://www.wantgoo.com/stock/chart.aspx?stockno=8435","8435")</f>
        <v>8435</v>
      </c>
      <c r="C350" s="18">
        <f>VLOOKUP(8435,季財報!A:H,3)</f>
        <v>0</v>
      </c>
      <c r="D350" s="18">
        <f>VLOOKUP(8435,季財報!A:H,4)</f>
        <v>1</v>
      </c>
      <c r="E350" s="18">
        <f>VLOOKUP(8435,季財報!A:H,5)</f>
        <v>0</v>
      </c>
      <c r="F350" s="18">
        <f>VLOOKUP(8435,季財報!A:H,6)</f>
        <v>1</v>
      </c>
      <c r="G350" s="18">
        <f>VLOOKUP(8435,季財報!A:H,7)</f>
        <v>0</v>
      </c>
      <c r="N350" s="20">
        <f t="shared" si="5"/>
        <v>2</v>
      </c>
    </row>
    <row r="351" spans="1:14">
      <c r="A351" s="308" t="str">
        <f>HYPERLINK("http://www.wantgoo.com/stock/chart.aspx?stockno=5251","5251")</f>
        <v>5251</v>
      </c>
      <c r="C351" s="18">
        <f>VLOOKUP(5251,季財報!A:H,3)</f>
        <v>0</v>
      </c>
      <c r="D351" s="18">
        <f>VLOOKUP(5251,季財報!A:H,4)</f>
        <v>1</v>
      </c>
      <c r="E351" s="18">
        <f>VLOOKUP(5251,季財報!A:H,5)</f>
        <v>0</v>
      </c>
      <c r="F351" s="18">
        <f>VLOOKUP(5251,季財報!A:H,6)</f>
        <v>1</v>
      </c>
      <c r="G351" s="18">
        <f>VLOOKUP(5251,季財報!A:H,7)</f>
        <v>0</v>
      </c>
      <c r="N351" s="20">
        <f t="shared" si="5"/>
        <v>2</v>
      </c>
    </row>
    <row r="352" spans="1:14">
      <c r="A352" s="308" t="str">
        <f>HYPERLINK("http://www.wantgoo.com/stock/chart.aspx?stockno=5403","5403")</f>
        <v>5403</v>
      </c>
      <c r="C352" s="18">
        <f>VLOOKUP(5403,季財報!A:H,3)</f>
        <v>0</v>
      </c>
      <c r="D352" s="18">
        <f>VLOOKUP(5403,季財報!A:H,4)</f>
        <v>0</v>
      </c>
      <c r="E352" s="18">
        <f>VLOOKUP(5403,季財報!A:H,5)</f>
        <v>0</v>
      </c>
      <c r="F352" s="18">
        <f>VLOOKUP(5403,季財報!A:H,6)</f>
        <v>1</v>
      </c>
      <c r="G352" s="18">
        <f>VLOOKUP(5403,季財報!A:H,7)</f>
        <v>0</v>
      </c>
      <c r="N352" s="20">
        <f t="shared" si="5"/>
        <v>1</v>
      </c>
    </row>
    <row r="353" spans="1:19">
      <c r="A353" s="307" t="str">
        <f>HYPERLINK("http://www.wantgoo.com/stock/chart.aspx?stockno=1507","1507")</f>
        <v>1507</v>
      </c>
      <c r="C353" s="18">
        <f>VLOOKUP(1507,季財報!A:H,3)</f>
        <v>0</v>
      </c>
      <c r="D353" s="18">
        <f>VLOOKUP(1507,季財報!A:H,4)</f>
        <v>1</v>
      </c>
      <c r="E353" s="18">
        <f>VLOOKUP(1507,季財報!A:H,5)</f>
        <v>1</v>
      </c>
      <c r="F353" s="18">
        <f>VLOOKUP(1507,季財報!A:H,6)</f>
        <v>0</v>
      </c>
      <c r="G353" s="18">
        <f>VLOOKUP(1507,季財報!A:H,7)</f>
        <v>0</v>
      </c>
      <c r="N353" s="20">
        <f t="shared" si="5"/>
        <v>2</v>
      </c>
    </row>
    <row r="354" spans="1:19" s="317" customFormat="1">
      <c r="A354" s="309" t="str">
        <f>HYPERLINK("http://www.wantgoo.com/stock/chart.aspx?stockno=4103","4103")</f>
        <v>4103</v>
      </c>
      <c r="B354" s="310"/>
      <c r="C354" s="311">
        <f>VLOOKUP(4103,季財報!A:H,3)</f>
        <v>1</v>
      </c>
      <c r="D354" s="311">
        <f>VLOOKUP(4103,季財報!A:H,4)</f>
        <v>1</v>
      </c>
      <c r="E354" s="311">
        <f>VLOOKUP(4103,季財報!A:H,5)</f>
        <v>1</v>
      </c>
      <c r="F354" s="311">
        <f>VLOOKUP(4103,季財報!A:H,6)</f>
        <v>0</v>
      </c>
      <c r="G354" s="311">
        <f>VLOOKUP(4103,季財報!A:H,7)</f>
        <v>0</v>
      </c>
      <c r="H354" s="312"/>
      <c r="I354" s="312"/>
      <c r="J354" s="312"/>
      <c r="K354" s="312"/>
      <c r="L354" s="312"/>
      <c r="M354" s="313"/>
      <c r="N354" s="312">
        <f t="shared" si="5"/>
        <v>3</v>
      </c>
      <c r="O354" s="314"/>
      <c r="P354" s="314"/>
      <c r="Q354" s="314"/>
      <c r="R354" s="314"/>
      <c r="S354" s="315"/>
    </row>
    <row r="355" spans="1:19">
      <c r="A355" s="308" t="str">
        <f>HYPERLINK("http://www.wantgoo.com/stock/chart.aspx?stockno=4745","4745")</f>
        <v>4745</v>
      </c>
      <c r="C355" s="18">
        <f>VLOOKUP(4745,季財報!A:H,3)</f>
        <v>0</v>
      </c>
      <c r="D355" s="18">
        <f>VLOOKUP(4745,季財報!A:H,4)</f>
        <v>0</v>
      </c>
      <c r="E355" s="18">
        <f>VLOOKUP(4745,季財報!A:H,5)</f>
        <v>0</v>
      </c>
      <c r="F355" s="18">
        <f>VLOOKUP(4745,季財報!A:H,6)</f>
        <v>0</v>
      </c>
      <c r="G355" s="18">
        <f>VLOOKUP(4745,季財報!A:H,7)</f>
        <v>0</v>
      </c>
      <c r="N355" s="20">
        <f t="shared" si="5"/>
        <v>0</v>
      </c>
    </row>
    <row r="356" spans="1:19">
      <c r="A356" s="308" t="str">
        <f>HYPERLINK("http://www.wantgoo.com/stock/chart.aspx?stockno=5009","5009")</f>
        <v>5009</v>
      </c>
      <c r="C356" s="18">
        <f>VLOOKUP(5009,季財報!A:H,3)</f>
        <v>1</v>
      </c>
      <c r="D356" s="18">
        <f>VLOOKUP(5009,季財報!A:H,4)</f>
        <v>1</v>
      </c>
      <c r="E356" s="18">
        <f>VLOOKUP(5009,季財報!A:H,5)</f>
        <v>0</v>
      </c>
      <c r="F356" s="18">
        <f>VLOOKUP(5009,季財報!A:H,6)</f>
        <v>1</v>
      </c>
      <c r="G356" s="18">
        <f>VLOOKUP(5009,季財報!A:H,7)</f>
        <v>0</v>
      </c>
      <c r="N356" s="20">
        <f t="shared" si="5"/>
        <v>3</v>
      </c>
    </row>
    <row r="357" spans="1:19">
      <c r="A357" s="307" t="str">
        <f>HYPERLINK("http://www.wantgoo.com/stock/chart.aspx?stockno=3390","3390")</f>
        <v>3390</v>
      </c>
      <c r="C357" s="18">
        <f>VLOOKUP(3390,季財報!A:H,3)</f>
        <v>0</v>
      </c>
      <c r="D357" s="18">
        <f>VLOOKUP(3390,季財報!A:H,4)</f>
        <v>1</v>
      </c>
      <c r="E357" s="18">
        <f>VLOOKUP(3390,季財報!A:H,5)</f>
        <v>0</v>
      </c>
      <c r="F357" s="18">
        <f>VLOOKUP(3390,季財報!A:H,6)</f>
        <v>1</v>
      </c>
      <c r="G357" s="18">
        <f>VLOOKUP(3390,季財報!A:H,7)</f>
        <v>0</v>
      </c>
      <c r="N357" s="20">
        <f t="shared" si="5"/>
        <v>2</v>
      </c>
    </row>
    <row r="358" spans="1:19">
      <c r="A358" s="307" t="str">
        <f>HYPERLINK("http://www.wantgoo.com/stock/chart.aspx?stockno=2459","2459")</f>
        <v>2459</v>
      </c>
      <c r="C358" s="18">
        <f>VLOOKUP(2459,季財報!A:H,3)</f>
        <v>0</v>
      </c>
      <c r="D358" s="18">
        <f>VLOOKUP(2459,季財報!A:H,4)</f>
        <v>1</v>
      </c>
      <c r="E358" s="18">
        <f>VLOOKUP(2459,季財報!A:H,5)</f>
        <v>0</v>
      </c>
      <c r="F358" s="18">
        <f>VLOOKUP(2459,季財報!A:H,6)</f>
        <v>0</v>
      </c>
      <c r="G358" s="18">
        <f>VLOOKUP(2459,季財報!A:H,7)</f>
        <v>0</v>
      </c>
      <c r="N358" s="20">
        <f t="shared" si="5"/>
        <v>1</v>
      </c>
    </row>
    <row r="359" spans="1:19">
      <c r="A359" s="307" t="str">
        <f>HYPERLINK("http://www.wantgoo.com/stock/chart.aspx?stockno=3533","3533")</f>
        <v>3533</v>
      </c>
      <c r="C359" s="18">
        <f>VLOOKUP(3533,季財報!A:H,3)</f>
        <v>1</v>
      </c>
      <c r="D359" s="18">
        <f>VLOOKUP(3533,季財報!A:H,4)</f>
        <v>1</v>
      </c>
      <c r="E359" s="18">
        <f>VLOOKUP(3533,季財報!A:H,5)</f>
        <v>2</v>
      </c>
      <c r="F359" s="18">
        <f>VLOOKUP(3533,季財報!A:H,6)</f>
        <v>1</v>
      </c>
      <c r="G359" s="18">
        <f>VLOOKUP(3533,季財報!A:H,7)</f>
        <v>0</v>
      </c>
      <c r="N359" s="20">
        <f t="shared" si="5"/>
        <v>5</v>
      </c>
    </row>
    <row r="360" spans="1:19" s="317" customFormat="1">
      <c r="A360" s="309" t="str">
        <f>HYPERLINK("http://www.wantgoo.com/stock/chart.aspx?stockno=8114","8114")</f>
        <v>8114</v>
      </c>
      <c r="B360" s="310"/>
      <c r="C360" s="311">
        <f>VLOOKUP(8114,季財報!A:H,3)</f>
        <v>1</v>
      </c>
      <c r="D360" s="311">
        <f>VLOOKUP(8114,季財報!A:H,4)</f>
        <v>1</v>
      </c>
      <c r="E360" s="311">
        <f>VLOOKUP(8114,季財報!A:H,5)</f>
        <v>1</v>
      </c>
      <c r="F360" s="311">
        <f>VLOOKUP(8114,季財報!A:H,6)</f>
        <v>1</v>
      </c>
      <c r="G360" s="311">
        <f>VLOOKUP(8114,季財報!A:H,7)</f>
        <v>0</v>
      </c>
      <c r="H360" s="312"/>
      <c r="I360" s="312"/>
      <c r="J360" s="312"/>
      <c r="K360" s="312"/>
      <c r="L360" s="312"/>
      <c r="M360" s="313"/>
      <c r="N360" s="312">
        <f t="shared" si="5"/>
        <v>4</v>
      </c>
      <c r="O360" s="314"/>
      <c r="P360" s="314"/>
      <c r="Q360" s="314"/>
      <c r="R360" s="314"/>
      <c r="S360" s="315"/>
    </row>
    <row r="361" spans="1:19">
      <c r="A361" s="307" t="str">
        <f>HYPERLINK("http://www.wantgoo.com/stock/chart.aspx?stockno=3114","3114")</f>
        <v>3114</v>
      </c>
      <c r="C361" s="18">
        <f>VLOOKUP(3114,季財報!A:H,3)</f>
        <v>1</v>
      </c>
      <c r="D361" s="18">
        <f>VLOOKUP(3114,季財報!A:H,4)</f>
        <v>1</v>
      </c>
      <c r="E361" s="18">
        <f>VLOOKUP(3114,季財報!A:H,5)</f>
        <v>0</v>
      </c>
      <c r="F361" s="18">
        <f>VLOOKUP(3114,季財報!A:H,6)</f>
        <v>1</v>
      </c>
      <c r="G361" s="18">
        <f>VLOOKUP(3114,季財報!A:H,7)</f>
        <v>1</v>
      </c>
      <c r="N361" s="20">
        <f t="shared" si="5"/>
        <v>4</v>
      </c>
    </row>
    <row r="362" spans="1:19">
      <c r="A362" s="308" t="str">
        <f>HYPERLINK("http://www.wantgoo.com/stock/chart.aspx?stockno=3257","3257")</f>
        <v>3257</v>
      </c>
      <c r="C362" s="18">
        <f>VLOOKUP(3257,季財報!A:H,3)</f>
        <v>0</v>
      </c>
      <c r="D362" s="18">
        <f>VLOOKUP(3257,季財報!A:H,4)</f>
        <v>1</v>
      </c>
      <c r="E362" s="18">
        <f>VLOOKUP(3257,季財報!A:H,5)</f>
        <v>0</v>
      </c>
      <c r="F362" s="18">
        <f>VLOOKUP(3257,季財報!A:H,6)</f>
        <v>1</v>
      </c>
      <c r="G362" s="18">
        <f>VLOOKUP(3257,季財報!A:H,7)</f>
        <v>0</v>
      </c>
      <c r="N362" s="20">
        <f t="shared" si="5"/>
        <v>2</v>
      </c>
    </row>
    <row r="363" spans="1:19">
      <c r="A363" s="308" t="str">
        <f>HYPERLINK("http://www.wantgoo.com/stock/chart.aspx?stockno=6803","6803")</f>
        <v>6803</v>
      </c>
      <c r="C363" s="18">
        <f>VLOOKUP(6803,季財報!A:H,3)</f>
        <v>1</v>
      </c>
      <c r="D363" s="18">
        <f>VLOOKUP(6803,季財報!A:H,4)</f>
        <v>1</v>
      </c>
      <c r="E363" s="18">
        <f>VLOOKUP(6803,季財報!A:H,5)</f>
        <v>0</v>
      </c>
      <c r="F363" s="18">
        <f>VLOOKUP(6803,季財報!A:H,6)</f>
        <v>1</v>
      </c>
      <c r="G363" s="18">
        <f>VLOOKUP(6803,季財報!A:H,7)</f>
        <v>0</v>
      </c>
      <c r="N363" s="20">
        <f t="shared" si="5"/>
        <v>3</v>
      </c>
    </row>
    <row r="364" spans="1:19">
      <c r="A364" s="307" t="str">
        <f>HYPERLINK("http://www.wantgoo.com/stock/chart.aspx?stockno=8215","8215")</f>
        <v>8215</v>
      </c>
      <c r="C364" s="18">
        <f>VLOOKUP(8215,季財報!A:H,3)</f>
        <v>0</v>
      </c>
      <c r="D364" s="18">
        <f>VLOOKUP(8215,季財報!A:H,4)</f>
        <v>0</v>
      </c>
      <c r="E364" s="18">
        <f>VLOOKUP(8215,季財報!A:H,5)</f>
        <v>2</v>
      </c>
      <c r="F364" s="18">
        <f>VLOOKUP(8215,季財報!A:H,6)</f>
        <v>0</v>
      </c>
      <c r="G364" s="18">
        <f>VLOOKUP(8215,季財報!A:H,7)</f>
        <v>0</v>
      </c>
      <c r="N364" s="20">
        <f t="shared" si="5"/>
        <v>2</v>
      </c>
    </row>
    <row r="365" spans="1:19">
      <c r="A365" s="308" t="str">
        <f>HYPERLINK("http://www.wantgoo.com/stock/chart.aspx?stockno=2637","2637")</f>
        <v>2637</v>
      </c>
      <c r="C365" s="18">
        <f>VLOOKUP(2637,季財報!A:H,3)</f>
        <v>1</v>
      </c>
      <c r="D365" s="18">
        <f>VLOOKUP(2637,季財報!A:H,4)</f>
        <v>1</v>
      </c>
      <c r="E365" s="18">
        <f>VLOOKUP(2637,季財報!A:H,5)</f>
        <v>2</v>
      </c>
      <c r="F365" s="18">
        <f>VLOOKUP(2637,季財報!A:H,6)</f>
        <v>1</v>
      </c>
      <c r="G365" s="18">
        <f>VLOOKUP(2637,季財報!A:H,7)</f>
        <v>1</v>
      </c>
      <c r="N365" s="20">
        <f t="shared" si="5"/>
        <v>6</v>
      </c>
    </row>
    <row r="366" spans="1:19">
      <c r="A366" s="307" t="str">
        <f>HYPERLINK("http://www.wantgoo.com/stock/chart.aspx?stockno=1723","1723")</f>
        <v>1723</v>
      </c>
      <c r="C366" s="18">
        <f>VLOOKUP(1723,季財報!A:H,3)</f>
        <v>0</v>
      </c>
      <c r="D366" s="18">
        <f>VLOOKUP(1723,季財報!A:H,4)</f>
        <v>0</v>
      </c>
      <c r="E366" s="18">
        <f>VLOOKUP(1723,季財報!A:H,5)</f>
        <v>0</v>
      </c>
      <c r="F366" s="18">
        <f>VLOOKUP(1723,季財報!A:H,6)</f>
        <v>1</v>
      </c>
      <c r="G366" s="18">
        <f>VLOOKUP(1723,季財報!A:H,7)</f>
        <v>0</v>
      </c>
      <c r="N366" s="20">
        <f t="shared" si="5"/>
        <v>1</v>
      </c>
    </row>
    <row r="367" spans="1:19">
      <c r="A367" s="308" t="str">
        <f>HYPERLINK("http://www.wantgoo.com/stock/chart.aspx?stockno=8147","8147")</f>
        <v>8147</v>
      </c>
      <c r="C367" s="18">
        <f>VLOOKUP(8147,季財報!A:H,3)</f>
        <v>0</v>
      </c>
      <c r="D367" s="18">
        <f>VLOOKUP(8147,季財報!A:H,4)</f>
        <v>1</v>
      </c>
      <c r="E367" s="18">
        <f>VLOOKUP(8147,季財報!A:H,5)</f>
        <v>0</v>
      </c>
      <c r="F367" s="18">
        <f>VLOOKUP(8147,季財報!A:H,6)</f>
        <v>1</v>
      </c>
      <c r="G367" s="18">
        <f>VLOOKUP(8147,季財報!A:H,7)</f>
        <v>0</v>
      </c>
      <c r="N367" s="20">
        <f t="shared" si="5"/>
        <v>2</v>
      </c>
    </row>
    <row r="368" spans="1:19">
      <c r="A368" s="308" t="str">
        <f>HYPERLINK("http://www.wantgoo.com/stock/chart.aspx?stockno=6155","6155")</f>
        <v>6155</v>
      </c>
      <c r="C368" s="18">
        <f>VLOOKUP(6155,季財報!A:H,3)</f>
        <v>1</v>
      </c>
      <c r="D368" s="18">
        <f>VLOOKUP(6155,季財報!A:H,4)</f>
        <v>1</v>
      </c>
      <c r="E368" s="18">
        <f>VLOOKUP(6155,季財報!A:H,5)</f>
        <v>1</v>
      </c>
      <c r="F368" s="18">
        <f>VLOOKUP(6155,季財報!A:H,6)</f>
        <v>1</v>
      </c>
      <c r="G368" s="18">
        <f>VLOOKUP(6155,季財報!A:H,7)</f>
        <v>0</v>
      </c>
      <c r="N368" s="20">
        <f t="shared" si="5"/>
        <v>4</v>
      </c>
    </row>
    <row r="369" spans="1:19">
      <c r="A369" s="307" t="str">
        <f>HYPERLINK("http://www.wantgoo.com/stock/chart.aspx?stockno=8021","8021")</f>
        <v>8021</v>
      </c>
      <c r="C369" s="18">
        <f>VLOOKUP(8021,季財報!A:H,3)</f>
        <v>0</v>
      </c>
      <c r="D369" s="18">
        <f>VLOOKUP(8021,季財報!A:H,4)</f>
        <v>1</v>
      </c>
      <c r="E369" s="18">
        <f>VLOOKUP(8021,季財報!A:H,5)</f>
        <v>1</v>
      </c>
      <c r="F369" s="18">
        <f>VLOOKUP(8021,季財報!A:H,6)</f>
        <v>1</v>
      </c>
      <c r="G369" s="18">
        <f>VLOOKUP(8021,季財報!A:H,7)</f>
        <v>1</v>
      </c>
      <c r="N369" s="20">
        <f t="shared" si="5"/>
        <v>4</v>
      </c>
    </row>
    <row r="370" spans="1:19">
      <c r="A370" s="308" t="str">
        <f>HYPERLINK("http://www.wantgoo.com/stock/chart.aspx?stockno=3611","3611")</f>
        <v>3611</v>
      </c>
      <c r="C370" s="18">
        <f>VLOOKUP(3611,季財報!A:H,3)</f>
        <v>1</v>
      </c>
      <c r="D370" s="18">
        <f>VLOOKUP(3611,季財報!A:H,4)</f>
        <v>1</v>
      </c>
      <c r="E370" s="18">
        <f>VLOOKUP(3611,季財報!A:H,5)</f>
        <v>0</v>
      </c>
      <c r="F370" s="18">
        <f>VLOOKUP(3611,季財報!A:H,6)</f>
        <v>1</v>
      </c>
      <c r="G370" s="18">
        <f>VLOOKUP(3611,季財報!A:H,7)</f>
        <v>0</v>
      </c>
      <c r="N370" s="20">
        <f t="shared" si="5"/>
        <v>3</v>
      </c>
    </row>
    <row r="371" spans="1:19" s="317" customFormat="1">
      <c r="A371" s="309" t="str">
        <f>HYPERLINK("http://www.wantgoo.com/stock/chart.aspx?stockno=2059","2059")</f>
        <v>2059</v>
      </c>
      <c r="B371" s="310"/>
      <c r="C371" s="311">
        <f>VLOOKUP(2059,季財報!A:H,3)</f>
        <v>1</v>
      </c>
      <c r="D371" s="311">
        <f>VLOOKUP(2059,季財報!A:H,4)</f>
        <v>1</v>
      </c>
      <c r="E371" s="311">
        <f>VLOOKUP(2059,季財報!A:H,5)</f>
        <v>1</v>
      </c>
      <c r="F371" s="311">
        <f>VLOOKUP(2059,季財報!A:H,6)</f>
        <v>1</v>
      </c>
      <c r="G371" s="311">
        <f>VLOOKUP(2059,季財報!A:H,7)</f>
        <v>0</v>
      </c>
      <c r="H371" s="312"/>
      <c r="I371" s="312"/>
      <c r="J371" s="312"/>
      <c r="K371" s="312"/>
      <c r="L371" s="312"/>
      <c r="M371" s="313"/>
      <c r="N371" s="312">
        <f t="shared" si="5"/>
        <v>4</v>
      </c>
      <c r="O371" s="314"/>
      <c r="P371" s="314"/>
      <c r="Q371" s="314"/>
      <c r="R371" s="314"/>
      <c r="S371" s="315"/>
    </row>
    <row r="372" spans="1:19">
      <c r="A372" s="307" t="str">
        <f>HYPERLINK("http://www.wantgoo.com/stock/chart.aspx?stockno=2464","2464")</f>
        <v>2464</v>
      </c>
      <c r="C372" s="18">
        <f>VLOOKUP(2464,季財報!A:H,3)</f>
        <v>1</v>
      </c>
      <c r="D372" s="18">
        <f>VLOOKUP(2464,季財報!A:H,4)</f>
        <v>1</v>
      </c>
      <c r="E372" s="18">
        <f>VLOOKUP(2464,季財報!A:H,5)</f>
        <v>0</v>
      </c>
      <c r="F372" s="18">
        <f>VLOOKUP(2464,季財報!A:H,6)</f>
        <v>0</v>
      </c>
      <c r="G372" s="18">
        <f>VLOOKUP(2464,季財報!A:H,7)</f>
        <v>1</v>
      </c>
      <c r="N372" s="20">
        <f t="shared" si="5"/>
        <v>3</v>
      </c>
    </row>
    <row r="373" spans="1:19">
      <c r="A373" s="308" t="str">
        <f>HYPERLINK("http://www.wantgoo.com/stock/chart.aspx?stockno=2433","2433")</f>
        <v>2433</v>
      </c>
      <c r="C373" s="18">
        <f>VLOOKUP(2433,季財報!A:H,3)</f>
        <v>0</v>
      </c>
      <c r="D373" s="18">
        <f>VLOOKUP(2433,季財報!A:H,4)</f>
        <v>1</v>
      </c>
      <c r="E373" s="18">
        <f>VLOOKUP(2433,季財報!A:H,5)</f>
        <v>2</v>
      </c>
      <c r="F373" s="18">
        <f>VLOOKUP(2433,季財報!A:H,6)</f>
        <v>1</v>
      </c>
      <c r="G373" s="18">
        <f>VLOOKUP(2433,季財報!A:H,7)</f>
        <v>0</v>
      </c>
      <c r="N373" s="20">
        <f t="shared" si="5"/>
        <v>4</v>
      </c>
    </row>
    <row r="374" spans="1:19">
      <c r="A374" s="307" t="str">
        <f>HYPERLINK("http://www.wantgoo.com/stock/chart.aspx?stockno=8043","8043")</f>
        <v>8043</v>
      </c>
      <c r="C374" s="18">
        <f>VLOOKUP(8043,季財報!A:H,3)</f>
        <v>0</v>
      </c>
      <c r="D374" s="18">
        <f>VLOOKUP(8043,季財報!A:H,4)</f>
        <v>1</v>
      </c>
      <c r="E374" s="18">
        <f>VLOOKUP(8043,季財報!A:H,5)</f>
        <v>1</v>
      </c>
      <c r="F374" s="18">
        <f>VLOOKUP(8043,季財報!A:H,6)</f>
        <v>1</v>
      </c>
      <c r="G374" s="18">
        <f>VLOOKUP(8043,季財報!A:H,7)</f>
        <v>0</v>
      </c>
      <c r="N374" s="20">
        <f t="shared" si="5"/>
        <v>3</v>
      </c>
    </row>
    <row r="375" spans="1:19">
      <c r="A375" s="307" t="str">
        <f>HYPERLINK("http://www.wantgoo.com/stock/chart.aspx?stockno=8079","8079")</f>
        <v>8079</v>
      </c>
      <c r="C375" s="18">
        <f>VLOOKUP(8079,季財報!A:H,3)</f>
        <v>0</v>
      </c>
      <c r="D375" s="18">
        <f>VLOOKUP(8079,季財報!A:H,4)</f>
        <v>1</v>
      </c>
      <c r="E375" s="18">
        <f>VLOOKUP(8079,季財報!A:H,5)</f>
        <v>1</v>
      </c>
      <c r="F375" s="18">
        <f>VLOOKUP(8079,季財報!A:H,6)</f>
        <v>1</v>
      </c>
      <c r="G375" s="18">
        <f>VLOOKUP(8079,季財報!A:H,7)</f>
        <v>0</v>
      </c>
      <c r="N375" s="20">
        <f t="shared" si="5"/>
        <v>3</v>
      </c>
    </row>
    <row r="376" spans="1:19">
      <c r="A376" s="307" t="str">
        <f>HYPERLINK("http://www.wantgoo.com/stock/chart.aspx?stockno=9951","9951")</f>
        <v>9951</v>
      </c>
      <c r="C376" s="18">
        <f>VLOOKUP(9951,季財報!A:H,3)</f>
        <v>1</v>
      </c>
      <c r="D376" s="18">
        <f>VLOOKUP(9951,季財報!A:H,4)</f>
        <v>1</v>
      </c>
      <c r="E376" s="18">
        <f>VLOOKUP(9951,季財報!A:H,5)</f>
        <v>0</v>
      </c>
      <c r="F376" s="18">
        <f>VLOOKUP(9951,季財報!A:H,6)</f>
        <v>1</v>
      </c>
      <c r="G376" s="18">
        <f>VLOOKUP(9951,季財報!A:H,7)</f>
        <v>0</v>
      </c>
      <c r="N376" s="20">
        <f t="shared" si="5"/>
        <v>3</v>
      </c>
    </row>
    <row r="377" spans="1:19">
      <c r="A377" s="307" t="str">
        <f>HYPERLINK("http://www.wantgoo.com/stock/chart.aspx?stockno=1730","1730")</f>
        <v>1730</v>
      </c>
      <c r="C377" s="18">
        <f>VLOOKUP(1730,季財報!A:H,3)</f>
        <v>1</v>
      </c>
      <c r="D377" s="18">
        <f>VLOOKUP(1730,季財報!A:H,4)</f>
        <v>1</v>
      </c>
      <c r="E377" s="18">
        <f>VLOOKUP(1730,季財報!A:H,5)</f>
        <v>2</v>
      </c>
      <c r="F377" s="18">
        <f>VLOOKUP(1730,季財報!A:H,6)</f>
        <v>1</v>
      </c>
      <c r="G377" s="18">
        <f>VLOOKUP(1730,季財報!A:H,7)</f>
        <v>1</v>
      </c>
      <c r="N377" s="20">
        <f t="shared" si="5"/>
        <v>6</v>
      </c>
    </row>
    <row r="378" spans="1:19">
      <c r="A378" s="308" t="str">
        <f>HYPERLINK("http://www.wantgoo.com/stock/chart.aspx?stockno=1735","1735")</f>
        <v>1735</v>
      </c>
      <c r="C378" s="18">
        <f>VLOOKUP(1735,季財報!A:H,3)</f>
        <v>0</v>
      </c>
      <c r="D378" s="18">
        <f>VLOOKUP(1735,季財報!A:H,4)</f>
        <v>1</v>
      </c>
      <c r="E378" s="18">
        <f>VLOOKUP(1735,季財報!A:H,5)</f>
        <v>0</v>
      </c>
      <c r="F378" s="18">
        <f>VLOOKUP(1735,季財報!A:H,6)</f>
        <v>1</v>
      </c>
      <c r="G378" s="18">
        <f>VLOOKUP(1735,季財報!A:H,7)</f>
        <v>0</v>
      </c>
      <c r="N378" s="20">
        <f t="shared" si="5"/>
        <v>2</v>
      </c>
    </row>
    <row r="379" spans="1:19">
      <c r="A379" s="307" t="str">
        <f>HYPERLINK("http://www.wantgoo.com/stock/chart.aspx?stockno=1787","1787")</f>
        <v>1787</v>
      </c>
      <c r="C379" s="18">
        <f>VLOOKUP(1787,季財報!A:H,3)</f>
        <v>1</v>
      </c>
      <c r="D379" s="18">
        <f>VLOOKUP(1787,季財報!A:H,4)</f>
        <v>1</v>
      </c>
      <c r="E379" s="18">
        <f>VLOOKUP(1787,季財報!A:H,5)</f>
        <v>1</v>
      </c>
      <c r="F379" s="18">
        <f>VLOOKUP(1787,季財報!A:H,6)</f>
        <v>1</v>
      </c>
      <c r="G379" s="18">
        <f>VLOOKUP(1787,季財報!A:H,7)</f>
        <v>1</v>
      </c>
      <c r="N379" s="20">
        <f t="shared" si="5"/>
        <v>5</v>
      </c>
    </row>
    <row r="380" spans="1:19">
      <c r="A380" s="307" t="str">
        <f>HYPERLINK("http://www.wantgoo.com/stock/chart.aspx?stockno=1595","1595")</f>
        <v>1595</v>
      </c>
      <c r="C380" s="18">
        <f>VLOOKUP(1595,季財報!A:H,3)</f>
        <v>0</v>
      </c>
      <c r="D380" s="18">
        <f>VLOOKUP(1595,季財報!A:H,4)</f>
        <v>1</v>
      </c>
      <c r="E380" s="18">
        <f>VLOOKUP(1595,季財報!A:H,5)</f>
        <v>0</v>
      </c>
      <c r="F380" s="18">
        <f>VLOOKUP(1595,季財報!A:H,6)</f>
        <v>1</v>
      </c>
      <c r="G380" s="18">
        <f>VLOOKUP(1595,季財報!A:H,7)</f>
        <v>0</v>
      </c>
      <c r="N380" s="20">
        <f t="shared" si="5"/>
        <v>2</v>
      </c>
    </row>
    <row r="381" spans="1:19">
      <c r="A381" s="307" t="str">
        <f>HYPERLINK("http://www.wantgoo.com/stock/chart.aspx?stockno=2636","2636")</f>
        <v>2636</v>
      </c>
      <c r="C381" s="18">
        <f>VLOOKUP(2636,季財報!A:H,3)</f>
        <v>0</v>
      </c>
      <c r="D381" s="18">
        <f>VLOOKUP(2636,季財報!A:H,4)</f>
        <v>0</v>
      </c>
      <c r="E381" s="18">
        <f>VLOOKUP(2636,季財報!A:H,5)</f>
        <v>1</v>
      </c>
      <c r="F381" s="18">
        <f>VLOOKUP(2636,季財報!A:H,6)</f>
        <v>1</v>
      </c>
      <c r="G381" s="18">
        <f>VLOOKUP(2636,季財報!A:H,7)</f>
        <v>0</v>
      </c>
      <c r="N381" s="20">
        <f t="shared" si="5"/>
        <v>2</v>
      </c>
    </row>
    <row r="382" spans="1:19">
      <c r="A382" s="308" t="str">
        <f>HYPERLINK("http://www.wantgoo.com/stock/chart.aspx?stockno=3437","3437")</f>
        <v>3437</v>
      </c>
      <c r="C382" s="18">
        <f>VLOOKUP(3437,季財報!A:H,3)</f>
        <v>0</v>
      </c>
      <c r="D382" s="18">
        <f>VLOOKUP(3437,季財報!A:H,4)</f>
        <v>1</v>
      </c>
      <c r="E382" s="18">
        <f>VLOOKUP(3437,季財報!A:H,5)</f>
        <v>0</v>
      </c>
      <c r="F382" s="18">
        <f>VLOOKUP(3437,季財報!A:H,6)</f>
        <v>1</v>
      </c>
      <c r="G382" s="18">
        <f>VLOOKUP(3437,季財報!A:H,7)</f>
        <v>0</v>
      </c>
      <c r="N382" s="20">
        <f t="shared" si="5"/>
        <v>2</v>
      </c>
    </row>
    <row r="383" spans="1:19">
      <c r="A383" s="307" t="str">
        <f>HYPERLINK("http://www.wantgoo.com/stock/chart.aspx?stockno=2385","2385")</f>
        <v>2385</v>
      </c>
      <c r="C383" s="18">
        <f>VLOOKUP(2385,季財報!A:H,3)</f>
        <v>0</v>
      </c>
      <c r="D383" s="18">
        <f>VLOOKUP(2385,季財報!A:H,4)</f>
        <v>0</v>
      </c>
      <c r="E383" s="18">
        <f>VLOOKUP(2385,季財報!A:H,5)</f>
        <v>0</v>
      </c>
      <c r="F383" s="18">
        <f>VLOOKUP(2385,季財報!A:H,6)</f>
        <v>1</v>
      </c>
      <c r="G383" s="18">
        <f>VLOOKUP(2385,季財報!A:H,7)</f>
        <v>0</v>
      </c>
      <c r="N383" s="20">
        <f t="shared" si="5"/>
        <v>1</v>
      </c>
    </row>
    <row r="384" spans="1:19">
      <c r="A384" s="307" t="str">
        <f>HYPERLINK("http://www.wantgoo.com/stock/chart.aspx?stockno=8354","8354")</f>
        <v>8354</v>
      </c>
      <c r="C384" s="18">
        <f>VLOOKUP(8354,季財報!A:H,3)</f>
        <v>1</v>
      </c>
      <c r="D384" s="18">
        <f>VLOOKUP(8354,季財報!A:H,4)</f>
        <v>1</v>
      </c>
      <c r="E384" s="18">
        <f>VLOOKUP(8354,季財報!A:H,5)</f>
        <v>0</v>
      </c>
      <c r="F384" s="18">
        <f>VLOOKUP(8354,季財報!A:H,6)</f>
        <v>1</v>
      </c>
      <c r="G384" s="18">
        <f>VLOOKUP(8354,季財報!A:H,7)</f>
        <v>0</v>
      </c>
      <c r="N384" s="20">
        <f t="shared" si="5"/>
        <v>3</v>
      </c>
    </row>
    <row r="385" spans="1:19">
      <c r="A385" s="307" t="str">
        <f>HYPERLINK("http://www.wantgoo.com/stock/chart.aspx?stockno=3332","3332")</f>
        <v>3332</v>
      </c>
      <c r="C385" s="18">
        <f>VLOOKUP(3332,季財報!A:H,3)</f>
        <v>1</v>
      </c>
      <c r="D385" s="18">
        <f>VLOOKUP(3332,季財報!A:H,4)</f>
        <v>1</v>
      </c>
      <c r="E385" s="18">
        <f>VLOOKUP(3332,季財報!A:H,5)</f>
        <v>1</v>
      </c>
      <c r="F385" s="18">
        <f>VLOOKUP(3332,季財報!A:H,6)</f>
        <v>1</v>
      </c>
      <c r="G385" s="18">
        <f>VLOOKUP(3332,季財報!A:H,7)</f>
        <v>0</v>
      </c>
      <c r="N385" s="20">
        <f t="shared" si="5"/>
        <v>4</v>
      </c>
    </row>
    <row r="386" spans="1:19">
      <c r="A386" s="308" t="str">
        <f>HYPERLINK("http://www.wantgoo.com/stock/chart.aspx?stockno=4947","4947")</f>
        <v>4947</v>
      </c>
      <c r="C386" s="18">
        <f>VLOOKUP(4947,季財報!A:H,3)</f>
        <v>1</v>
      </c>
      <c r="D386" s="18">
        <f>VLOOKUP(4947,季財報!A:H,4)</f>
        <v>1</v>
      </c>
      <c r="E386" s="18">
        <f>VLOOKUP(4947,季財報!A:H,5)</f>
        <v>1</v>
      </c>
      <c r="F386" s="18">
        <f>VLOOKUP(4947,季財報!A:H,6)</f>
        <v>0</v>
      </c>
      <c r="G386" s="18">
        <f>VLOOKUP(4947,季財報!A:H,7)</f>
        <v>1</v>
      </c>
      <c r="N386" s="20">
        <f t="shared" si="5"/>
        <v>4</v>
      </c>
    </row>
    <row r="387" spans="1:19" s="317" customFormat="1">
      <c r="A387" s="309" t="str">
        <f>HYPERLINK("http://www.wantgoo.com/stock/chart.aspx?stockno=9904","9904")</f>
        <v>9904</v>
      </c>
      <c r="B387" s="310"/>
      <c r="C387" s="311">
        <f>VLOOKUP(9904,季財報!A:H,3)</f>
        <v>0</v>
      </c>
      <c r="D387" s="311">
        <f>VLOOKUP(9904,季財報!A:H,4)</f>
        <v>1</v>
      </c>
      <c r="E387" s="311">
        <f>VLOOKUP(9904,季財報!A:H,5)</f>
        <v>0</v>
      </c>
      <c r="F387" s="311">
        <f>VLOOKUP(9904,季財報!A:H,6)</f>
        <v>1</v>
      </c>
      <c r="G387" s="311">
        <f>VLOOKUP(9904,季財報!A:H,7)</f>
        <v>1</v>
      </c>
      <c r="H387" s="312"/>
      <c r="I387" s="312"/>
      <c r="J387" s="312"/>
      <c r="K387" s="312"/>
      <c r="L387" s="312"/>
      <c r="M387" s="313"/>
      <c r="N387" s="312">
        <f t="shared" si="5"/>
        <v>3</v>
      </c>
      <c r="O387" s="314"/>
      <c r="P387" s="314"/>
      <c r="Q387" s="314"/>
      <c r="R387" s="314"/>
      <c r="S387" s="315"/>
    </row>
    <row r="388" spans="1:19" s="317" customFormat="1">
      <c r="A388" s="309" t="str">
        <f>HYPERLINK("http://www.wantgoo.com/stock/chart.aspx?stockno=2455","2455")</f>
        <v>2455</v>
      </c>
      <c r="B388" s="310"/>
      <c r="C388" s="311">
        <f>VLOOKUP(2455,季財報!A:H,3)</f>
        <v>0</v>
      </c>
      <c r="D388" s="311">
        <f>VLOOKUP(2455,季財報!A:H,4)</f>
        <v>1</v>
      </c>
      <c r="E388" s="311">
        <f>VLOOKUP(2455,季財報!A:H,5)</f>
        <v>0</v>
      </c>
      <c r="F388" s="311">
        <f>VLOOKUP(2455,季財報!A:H,6)</f>
        <v>1</v>
      </c>
      <c r="G388" s="311">
        <f>VLOOKUP(2455,季財報!A:H,7)</f>
        <v>0</v>
      </c>
      <c r="H388" s="312"/>
      <c r="I388" s="312"/>
      <c r="J388" s="312"/>
      <c r="K388" s="312"/>
      <c r="L388" s="312"/>
      <c r="M388" s="313"/>
      <c r="N388" s="312">
        <f t="shared" ref="N388:N451" si="6">SUM(C388:M388)</f>
        <v>2</v>
      </c>
      <c r="O388" s="314"/>
      <c r="P388" s="314"/>
      <c r="Q388" s="314"/>
      <c r="R388" s="314"/>
      <c r="S388" s="315"/>
    </row>
    <row r="389" spans="1:19" s="317" customFormat="1">
      <c r="A389" s="309" t="str">
        <f>HYPERLINK("http://www.wantgoo.com/stock/chart.aspx?stockno=3023","3023")</f>
        <v>3023</v>
      </c>
      <c r="B389" s="310"/>
      <c r="C389" s="311">
        <f>VLOOKUP(3023,季財報!A:H,3)</f>
        <v>1</v>
      </c>
      <c r="D389" s="311">
        <f>VLOOKUP(3023,季財報!A:H,4)</f>
        <v>1</v>
      </c>
      <c r="E389" s="311">
        <f>VLOOKUP(3023,季財報!A:H,5)</f>
        <v>0</v>
      </c>
      <c r="F389" s="311">
        <f>VLOOKUP(3023,季財報!A:H,6)</f>
        <v>1</v>
      </c>
      <c r="G389" s="311">
        <f>VLOOKUP(3023,季財報!A:H,7)</f>
        <v>0</v>
      </c>
      <c r="H389" s="312"/>
      <c r="I389" s="312"/>
      <c r="J389" s="312"/>
      <c r="K389" s="312"/>
      <c r="L389" s="312"/>
      <c r="M389" s="313"/>
      <c r="N389" s="312">
        <f t="shared" si="6"/>
        <v>3</v>
      </c>
      <c r="O389" s="314"/>
      <c r="P389" s="314"/>
      <c r="Q389" s="314"/>
      <c r="R389" s="314"/>
      <c r="S389" s="315"/>
    </row>
    <row r="390" spans="1:19">
      <c r="A390" s="308" t="str">
        <f>HYPERLINK("http://www.wantgoo.com/stock/chart.aspx?stockno=2608","2608")</f>
        <v>2608</v>
      </c>
      <c r="C390" s="18">
        <f>VLOOKUP(2608,季財報!A:H,3)</f>
        <v>0</v>
      </c>
      <c r="D390" s="18">
        <f>VLOOKUP(2608,季財報!A:H,4)</f>
        <v>1</v>
      </c>
      <c r="E390" s="18">
        <f>VLOOKUP(2608,季財報!A:H,5)</f>
        <v>0</v>
      </c>
      <c r="F390" s="18">
        <f>VLOOKUP(2608,季財報!A:H,6)</f>
        <v>1</v>
      </c>
      <c r="G390" s="18">
        <f>VLOOKUP(2608,季財報!A:H,7)</f>
        <v>1</v>
      </c>
      <c r="N390" s="20">
        <f t="shared" si="6"/>
        <v>3</v>
      </c>
    </row>
    <row r="391" spans="1:19">
      <c r="A391" s="308" t="str">
        <f>HYPERLINK("http://www.wantgoo.com/stock/chart.aspx?stockno=3691","3691")</f>
        <v>3691</v>
      </c>
      <c r="C391" s="18">
        <f>VLOOKUP(3691,季財報!A:H,3)</f>
        <v>1</v>
      </c>
      <c r="D391" s="18">
        <f>VLOOKUP(3691,季財報!A:H,4)</f>
        <v>1</v>
      </c>
      <c r="E391" s="18">
        <f>VLOOKUP(3691,季財報!A:H,5)</f>
        <v>0</v>
      </c>
      <c r="F391" s="18">
        <f>VLOOKUP(3691,季財報!A:H,6)</f>
        <v>1</v>
      </c>
      <c r="G391" s="18">
        <f>VLOOKUP(3691,季財報!A:H,7)</f>
        <v>0</v>
      </c>
      <c r="N391" s="20">
        <f t="shared" si="6"/>
        <v>3</v>
      </c>
    </row>
    <row r="392" spans="1:19">
      <c r="A392" s="307" t="str">
        <f>HYPERLINK("http://www.wantgoo.com/stock/chart.aspx?stockno=3645","3645")</f>
        <v>3645</v>
      </c>
      <c r="C392" s="18">
        <f>VLOOKUP(3645,季財報!A:H,3)</f>
        <v>0</v>
      </c>
      <c r="D392" s="18">
        <f>VLOOKUP(3645,季財報!A:H,4)</f>
        <v>1</v>
      </c>
      <c r="E392" s="18">
        <f>VLOOKUP(3645,季財報!A:H,5)</f>
        <v>1</v>
      </c>
      <c r="F392" s="18">
        <f>VLOOKUP(3645,季財報!A:H,6)</f>
        <v>0</v>
      </c>
      <c r="G392" s="18">
        <f>VLOOKUP(3645,季財報!A:H,7)</f>
        <v>0</v>
      </c>
      <c r="N392" s="20">
        <f t="shared" si="6"/>
        <v>2</v>
      </c>
    </row>
    <row r="393" spans="1:19">
      <c r="A393" s="307" t="str">
        <f>HYPERLINK("http://www.wantgoo.com/stock/chart.aspx?stockno=3628","3628")</f>
        <v>3628</v>
      </c>
      <c r="C393" s="18">
        <f>VLOOKUP(3628,季財報!A:H,3)</f>
        <v>0</v>
      </c>
      <c r="D393" s="18">
        <f>VLOOKUP(3628,季財報!A:H,4)</f>
        <v>0</v>
      </c>
      <c r="E393" s="18">
        <f>VLOOKUP(3628,季財報!A:H,5)</f>
        <v>0</v>
      </c>
      <c r="F393" s="18">
        <f>VLOOKUP(3628,季財報!A:H,6)</f>
        <v>0</v>
      </c>
      <c r="G393" s="18">
        <f>VLOOKUP(3628,季財報!A:H,7)</f>
        <v>0</v>
      </c>
      <c r="N393" s="20">
        <f t="shared" si="6"/>
        <v>0</v>
      </c>
    </row>
    <row r="394" spans="1:19">
      <c r="A394" s="307" t="str">
        <f>HYPERLINK("http://www.wantgoo.com/stock/chart.aspx?stockno=4720","4720")</f>
        <v>4720</v>
      </c>
      <c r="C394" s="18">
        <f>VLOOKUP(4720,季財報!A:H,3)</f>
        <v>1</v>
      </c>
      <c r="D394" s="18">
        <f>VLOOKUP(4720,季財報!A:H,4)</f>
        <v>1</v>
      </c>
      <c r="E394" s="18">
        <f>VLOOKUP(4720,季財報!A:H,5)</f>
        <v>1</v>
      </c>
      <c r="F394" s="18">
        <f>VLOOKUP(4720,季財報!A:H,6)</f>
        <v>0</v>
      </c>
      <c r="G394" s="18">
        <f>VLOOKUP(4720,季財報!A:H,7)</f>
        <v>0</v>
      </c>
      <c r="N394" s="20">
        <f t="shared" si="6"/>
        <v>3</v>
      </c>
    </row>
    <row r="395" spans="1:19">
      <c r="A395" s="308" t="str">
        <f>HYPERLINK("http://www.wantgoo.com/stock/chart.aspx?stockno=3042","3042")</f>
        <v>3042</v>
      </c>
      <c r="C395" s="18">
        <f>VLOOKUP(3042,季財報!A:H,3)</f>
        <v>1</v>
      </c>
      <c r="D395" s="18">
        <f>VLOOKUP(3042,季財報!A:H,4)</f>
        <v>1</v>
      </c>
      <c r="E395" s="18">
        <f>VLOOKUP(3042,季財報!A:H,5)</f>
        <v>1</v>
      </c>
      <c r="F395" s="18">
        <f>VLOOKUP(3042,季財報!A:H,6)</f>
        <v>1</v>
      </c>
      <c r="G395" s="18">
        <f>VLOOKUP(3042,季財報!A:H,7)</f>
        <v>0</v>
      </c>
      <c r="N395" s="20">
        <f t="shared" si="6"/>
        <v>4</v>
      </c>
    </row>
    <row r="396" spans="1:19">
      <c r="A396" s="308" t="str">
        <f>HYPERLINK("http://www.wantgoo.com/stock/chart.aspx?stockno=2204","2204")</f>
        <v>2204</v>
      </c>
      <c r="C396" s="18">
        <f>VLOOKUP(2204,季財報!A:H,3)</f>
        <v>0</v>
      </c>
      <c r="D396" s="18">
        <f>VLOOKUP(2204,季財報!A:H,4)</f>
        <v>1</v>
      </c>
      <c r="E396" s="18">
        <f>VLOOKUP(2204,季財報!A:H,5)</f>
        <v>1</v>
      </c>
      <c r="F396" s="18">
        <f>VLOOKUP(2204,季財報!A:H,6)</f>
        <v>1</v>
      </c>
      <c r="G396" s="18">
        <f>VLOOKUP(2204,季財報!A:H,7)</f>
        <v>0</v>
      </c>
      <c r="N396" s="20">
        <f t="shared" si="6"/>
        <v>3</v>
      </c>
    </row>
    <row r="397" spans="1:19">
      <c r="A397" s="308" t="str">
        <f>HYPERLINK("http://www.wantgoo.com/stock/chart.aspx?stockno=3491","3491")</f>
        <v>3491</v>
      </c>
      <c r="C397" s="18">
        <f>VLOOKUP(3491,季財報!A:H,3)</f>
        <v>1</v>
      </c>
      <c r="D397" s="18">
        <f>VLOOKUP(3491,季財報!A:H,4)</f>
        <v>1</v>
      </c>
      <c r="E397" s="18">
        <f>VLOOKUP(3491,季財報!A:H,5)</f>
        <v>1</v>
      </c>
      <c r="F397" s="18">
        <f>VLOOKUP(3491,季財報!A:H,6)</f>
        <v>1</v>
      </c>
      <c r="G397" s="18">
        <f>VLOOKUP(3491,季財報!A:H,7)</f>
        <v>1</v>
      </c>
      <c r="N397" s="20">
        <f t="shared" si="6"/>
        <v>5</v>
      </c>
    </row>
    <row r="398" spans="1:19">
      <c r="A398" s="308" t="str">
        <f>HYPERLINK("http://www.wantgoo.com/stock/chart.aspx?stockno=6151","6151")</f>
        <v>6151</v>
      </c>
      <c r="C398" s="18">
        <f>VLOOKUP(6151,季財報!A:H,3)</f>
        <v>1</v>
      </c>
      <c r="D398" s="18">
        <f>VLOOKUP(6151,季財報!A:H,4)</f>
        <v>1</v>
      </c>
      <c r="E398" s="18">
        <f>VLOOKUP(6151,季財報!A:H,5)</f>
        <v>0</v>
      </c>
      <c r="F398" s="18">
        <f>VLOOKUP(6151,季財報!A:H,6)</f>
        <v>0</v>
      </c>
      <c r="G398" s="18">
        <f>VLOOKUP(6151,季財報!A:H,7)</f>
        <v>0</v>
      </c>
      <c r="N398" s="20">
        <f t="shared" si="6"/>
        <v>2</v>
      </c>
    </row>
    <row r="399" spans="1:19">
      <c r="A399" s="308" t="str">
        <f>HYPERLINK("http://www.wantgoo.com/stock/chart.aspx?stockno=4535","4535")</f>
        <v>4535</v>
      </c>
      <c r="C399" s="18">
        <f>VLOOKUP(4535,季財報!A:H,3)</f>
        <v>1</v>
      </c>
      <c r="D399" s="18">
        <f>VLOOKUP(4535,季財報!A:H,4)</f>
        <v>1</v>
      </c>
      <c r="E399" s="18">
        <f>VLOOKUP(4535,季財報!A:H,5)</f>
        <v>1</v>
      </c>
      <c r="F399" s="18">
        <f>VLOOKUP(4535,季財報!A:H,6)</f>
        <v>1</v>
      </c>
      <c r="G399" s="18">
        <f>VLOOKUP(4535,季財報!A:H,7)</f>
        <v>0</v>
      </c>
      <c r="N399" s="20">
        <f t="shared" si="6"/>
        <v>4</v>
      </c>
    </row>
    <row r="400" spans="1:19">
      <c r="A400" s="307" t="str">
        <f>HYPERLINK("http://www.wantgoo.com/stock/chart.aspx?stockno=3662","3662")</f>
        <v>3662</v>
      </c>
      <c r="C400" s="18">
        <f>VLOOKUP(3662,季財報!A:H,3)</f>
        <v>0</v>
      </c>
      <c r="D400" s="18">
        <f>VLOOKUP(3662,季財報!A:H,4)</f>
        <v>0</v>
      </c>
      <c r="E400" s="18">
        <f>VLOOKUP(3662,季財報!A:H,5)</f>
        <v>1</v>
      </c>
      <c r="F400" s="18">
        <f>VLOOKUP(3662,季財報!A:H,6)</f>
        <v>0</v>
      </c>
      <c r="G400" s="18">
        <f>VLOOKUP(3662,季財報!A:H,7)</f>
        <v>0</v>
      </c>
      <c r="N400" s="20">
        <f t="shared" si="6"/>
        <v>1</v>
      </c>
    </row>
    <row r="401" spans="1:19">
      <c r="A401" s="308" t="str">
        <f>HYPERLINK("http://www.wantgoo.com/stock/chart.aspx?stockno=2311","2311")</f>
        <v>2311</v>
      </c>
      <c r="C401" s="18">
        <f>VLOOKUP(2311,季財報!A:H,3)</f>
        <v>0</v>
      </c>
      <c r="D401" s="18">
        <f>VLOOKUP(2311,季財報!A:H,4)</f>
        <v>1</v>
      </c>
      <c r="E401" s="18">
        <f>VLOOKUP(2311,季財報!A:H,5)</f>
        <v>0</v>
      </c>
      <c r="F401" s="18">
        <f>VLOOKUP(2311,季財報!A:H,6)</f>
        <v>1</v>
      </c>
      <c r="G401" s="18">
        <f>VLOOKUP(2311,季財報!A:H,7)</f>
        <v>0</v>
      </c>
      <c r="N401" s="20">
        <f t="shared" si="6"/>
        <v>2</v>
      </c>
    </row>
    <row r="402" spans="1:19">
      <c r="A402" s="307" t="str">
        <f>HYPERLINK("http://www.wantgoo.com/stock/chart.aspx?stockno=6174","6174")</f>
        <v>6174</v>
      </c>
      <c r="C402" s="18">
        <f>VLOOKUP(6174,季財報!A:H,3)</f>
        <v>0</v>
      </c>
      <c r="D402" s="18">
        <f>VLOOKUP(6174,季財報!A:H,4)</f>
        <v>1</v>
      </c>
      <c r="E402" s="18">
        <f>VLOOKUP(6174,季財報!A:H,5)</f>
        <v>2</v>
      </c>
      <c r="F402" s="18">
        <f>VLOOKUP(6174,季財報!A:H,6)</f>
        <v>1</v>
      </c>
      <c r="G402" s="18">
        <f>VLOOKUP(6174,季財報!A:H,7)</f>
        <v>0</v>
      </c>
      <c r="N402" s="20">
        <f t="shared" si="6"/>
        <v>4</v>
      </c>
    </row>
    <row r="403" spans="1:19">
      <c r="A403" s="307" t="str">
        <f>HYPERLINK("http://www.wantgoo.com/stock/chart.aspx?stockno=6286","6286")</f>
        <v>6286</v>
      </c>
      <c r="C403" s="18">
        <f>VLOOKUP(6286,季財報!A:H,3)</f>
        <v>1</v>
      </c>
      <c r="D403" s="18">
        <f>VLOOKUP(6286,季財報!A:H,4)</f>
        <v>1</v>
      </c>
      <c r="E403" s="18">
        <f>VLOOKUP(6286,季財報!A:H,5)</f>
        <v>2</v>
      </c>
      <c r="F403" s="18">
        <f>VLOOKUP(6286,季財報!A:H,6)</f>
        <v>1</v>
      </c>
      <c r="G403" s="18">
        <f>VLOOKUP(6286,季財報!A:H,7)</f>
        <v>1</v>
      </c>
      <c r="N403" s="20">
        <f t="shared" si="6"/>
        <v>6</v>
      </c>
    </row>
    <row r="404" spans="1:19">
      <c r="A404" s="308" t="str">
        <f>HYPERLINK("http://www.wantgoo.com/stock/chart.aspx?stockno=8042","8042")</f>
        <v>8042</v>
      </c>
      <c r="C404" s="18">
        <f>VLOOKUP(8042,季財報!A:H,3)</f>
        <v>0</v>
      </c>
      <c r="D404" s="18">
        <f>VLOOKUP(8042,季財報!A:H,4)</f>
        <v>0</v>
      </c>
      <c r="E404" s="18">
        <f>VLOOKUP(8042,季財報!A:H,5)</f>
        <v>2</v>
      </c>
      <c r="F404" s="18">
        <f>VLOOKUP(8042,季財報!A:H,6)</f>
        <v>0</v>
      </c>
      <c r="G404" s="18">
        <f>VLOOKUP(8042,季財報!A:H,7)</f>
        <v>0</v>
      </c>
      <c r="N404" s="20">
        <f t="shared" si="6"/>
        <v>2</v>
      </c>
    </row>
    <row r="405" spans="1:19">
      <c r="A405" s="308" t="str">
        <f>HYPERLINK("http://www.wantgoo.com/stock/chart.aspx?stockno=2331","2331")</f>
        <v>2331</v>
      </c>
      <c r="C405" s="18">
        <f>VLOOKUP(2331,季財報!A:H,3)</f>
        <v>1</v>
      </c>
      <c r="D405" s="18">
        <f>VLOOKUP(2331,季財報!A:H,4)</f>
        <v>1</v>
      </c>
      <c r="E405" s="18">
        <f>VLOOKUP(2331,季財報!A:H,5)</f>
        <v>1</v>
      </c>
      <c r="F405" s="18">
        <f>VLOOKUP(2331,季財報!A:H,6)</f>
        <v>1</v>
      </c>
      <c r="G405" s="18">
        <f>VLOOKUP(2331,季財報!A:H,7)</f>
        <v>0</v>
      </c>
      <c r="N405" s="20">
        <f t="shared" si="6"/>
        <v>4</v>
      </c>
    </row>
    <row r="406" spans="1:19">
      <c r="A406" s="308" t="str">
        <f>HYPERLINK("http://www.wantgoo.com/stock/chart.aspx?stockno=2476","2476")</f>
        <v>2476</v>
      </c>
      <c r="C406" s="18">
        <f>VLOOKUP(2476,季財報!A:H,3)</f>
        <v>1</v>
      </c>
      <c r="D406" s="18">
        <f>VLOOKUP(2476,季財報!A:H,4)</f>
        <v>1</v>
      </c>
      <c r="E406" s="18">
        <f>VLOOKUP(2476,季財報!A:H,5)</f>
        <v>0</v>
      </c>
      <c r="F406" s="18">
        <f>VLOOKUP(2476,季財報!A:H,6)</f>
        <v>1</v>
      </c>
      <c r="G406" s="18">
        <f>VLOOKUP(2476,季財報!A:H,7)</f>
        <v>0</v>
      </c>
      <c r="N406" s="20">
        <f t="shared" si="6"/>
        <v>3</v>
      </c>
    </row>
    <row r="407" spans="1:19">
      <c r="A407" s="308" t="str">
        <f>HYPERLINK("http://www.wantgoo.com/stock/chart.aspx?stockno=2340","2340")</f>
        <v>2340</v>
      </c>
      <c r="C407" s="18">
        <f>VLOOKUP(2340,季財報!A:H,3)</f>
        <v>1</v>
      </c>
      <c r="D407" s="18">
        <f>VLOOKUP(2340,季財報!A:H,4)</f>
        <v>1</v>
      </c>
      <c r="E407" s="18">
        <f>VLOOKUP(2340,季財報!A:H,5)</f>
        <v>0</v>
      </c>
      <c r="F407" s="18">
        <f>VLOOKUP(2340,季財報!A:H,6)</f>
        <v>1</v>
      </c>
      <c r="G407" s="18">
        <f>VLOOKUP(2340,季財報!A:H,7)</f>
        <v>0</v>
      </c>
      <c r="N407" s="20">
        <f t="shared" si="6"/>
        <v>3</v>
      </c>
    </row>
    <row r="408" spans="1:19">
      <c r="A408" s="307" t="str">
        <f>HYPERLINK("http://www.wantgoo.com/stock/chart.aspx?stockno=1709","1709")</f>
        <v>1709</v>
      </c>
      <c r="C408" s="18">
        <f>VLOOKUP(1709,季財報!A:H,3)</f>
        <v>1</v>
      </c>
      <c r="D408" s="18">
        <f>VLOOKUP(1709,季財報!A:H,4)</f>
        <v>1</v>
      </c>
      <c r="E408" s="18">
        <f>VLOOKUP(1709,季財報!A:H,5)</f>
        <v>0</v>
      </c>
      <c r="F408" s="18">
        <f>VLOOKUP(1709,季財報!A:H,6)</f>
        <v>0</v>
      </c>
      <c r="G408" s="18">
        <f>VLOOKUP(1709,季財報!A:H,7)</f>
        <v>0</v>
      </c>
      <c r="N408" s="20">
        <f t="shared" si="6"/>
        <v>2</v>
      </c>
    </row>
    <row r="409" spans="1:19">
      <c r="A409" s="308" t="str">
        <f>HYPERLINK("http://www.wantgoo.com/stock/chart.aspx?stockno=4528","4528")</f>
        <v>4528</v>
      </c>
      <c r="C409" s="18">
        <f>VLOOKUP(4528,季財報!A:H,3)</f>
        <v>0</v>
      </c>
      <c r="D409" s="18">
        <f>VLOOKUP(4528,季財報!A:H,4)</f>
        <v>1</v>
      </c>
      <c r="E409" s="18">
        <f>VLOOKUP(4528,季財報!A:H,5)</f>
        <v>0</v>
      </c>
      <c r="F409" s="18">
        <f>VLOOKUP(4528,季財報!A:H,6)</f>
        <v>1</v>
      </c>
      <c r="G409" s="18">
        <f>VLOOKUP(4528,季財報!A:H,7)</f>
        <v>0</v>
      </c>
      <c r="N409" s="20">
        <f t="shared" si="6"/>
        <v>2</v>
      </c>
    </row>
    <row r="410" spans="1:19">
      <c r="A410" s="308" t="str">
        <f>HYPERLINK("http://www.wantgoo.com/stock/chart.aspx?stockno=6281","6281")</f>
        <v>6281</v>
      </c>
      <c r="C410" s="18">
        <f>VLOOKUP(6281,季財報!A:H,3)</f>
        <v>0</v>
      </c>
      <c r="D410" s="18">
        <f>VLOOKUP(6281,季財報!A:H,4)</f>
        <v>0</v>
      </c>
      <c r="E410" s="18">
        <f>VLOOKUP(6281,季財報!A:H,5)</f>
        <v>0</v>
      </c>
      <c r="F410" s="18">
        <f>VLOOKUP(6281,季財報!A:H,6)</f>
        <v>0</v>
      </c>
      <c r="G410" s="18">
        <f>VLOOKUP(6281,季財報!A:H,7)</f>
        <v>0</v>
      </c>
      <c r="N410" s="20">
        <f t="shared" si="6"/>
        <v>0</v>
      </c>
    </row>
    <row r="411" spans="1:19">
      <c r="A411" s="307" t="str">
        <f>HYPERLINK("http://www.wantgoo.com/stock/chart.aspx?stockno=1515","1515")</f>
        <v>1515</v>
      </c>
      <c r="C411" s="18">
        <f>VLOOKUP(1515,季財報!A:H,3)</f>
        <v>1</v>
      </c>
      <c r="D411" s="18">
        <f>VLOOKUP(1515,季財報!A:H,4)</f>
        <v>1</v>
      </c>
      <c r="E411" s="18">
        <f>VLOOKUP(1515,季財報!A:H,5)</f>
        <v>2</v>
      </c>
      <c r="F411" s="18">
        <f>VLOOKUP(1515,季財報!A:H,6)</f>
        <v>1</v>
      </c>
      <c r="G411" s="18">
        <f>VLOOKUP(1515,季財報!A:H,7)</f>
        <v>0</v>
      </c>
      <c r="N411" s="20">
        <f t="shared" si="6"/>
        <v>5</v>
      </c>
    </row>
    <row r="412" spans="1:19">
      <c r="A412" s="307" t="str">
        <f>HYPERLINK("http://www.wantgoo.com/stock/chart.aspx?stockno=1231","1231")</f>
        <v>1231</v>
      </c>
      <c r="C412" s="18">
        <f>VLOOKUP(1231,季財報!A:H,3)</f>
        <v>0</v>
      </c>
      <c r="D412" s="18">
        <f>VLOOKUP(1231,季財報!A:H,4)</f>
        <v>1</v>
      </c>
      <c r="E412" s="18">
        <f>VLOOKUP(1231,季財報!A:H,5)</f>
        <v>0</v>
      </c>
      <c r="F412" s="18">
        <f>VLOOKUP(1231,季財報!A:H,6)</f>
        <v>0</v>
      </c>
      <c r="G412" s="18">
        <f>VLOOKUP(1231,季財報!A:H,7)</f>
        <v>0</v>
      </c>
      <c r="N412" s="20">
        <f t="shared" si="6"/>
        <v>1</v>
      </c>
    </row>
    <row r="413" spans="1:19">
      <c r="A413" s="308" t="str">
        <f>HYPERLINK("http://www.wantgoo.com/stock/chart.aspx?stockno=3416","3416")</f>
        <v>3416</v>
      </c>
      <c r="C413" s="18">
        <f>VLOOKUP(3416,季財報!A:H,3)</f>
        <v>0</v>
      </c>
      <c r="D413" s="18">
        <f>VLOOKUP(3416,季財報!A:H,4)</f>
        <v>1</v>
      </c>
      <c r="E413" s="18">
        <f>VLOOKUP(3416,季財報!A:H,5)</f>
        <v>0</v>
      </c>
      <c r="F413" s="18">
        <f>VLOOKUP(3416,季財報!A:H,6)</f>
        <v>1</v>
      </c>
      <c r="G413" s="18">
        <f>VLOOKUP(3416,季財報!A:H,7)</f>
        <v>0</v>
      </c>
      <c r="N413" s="20">
        <f t="shared" si="6"/>
        <v>2</v>
      </c>
    </row>
    <row r="414" spans="1:19">
      <c r="A414" s="308" t="str">
        <f>HYPERLINK("http://www.wantgoo.com/stock/chart.aspx?stockno=1338","1338")</f>
        <v>1338</v>
      </c>
      <c r="C414" s="18">
        <f>VLOOKUP(1338,季財報!A:H,3)</f>
        <v>0</v>
      </c>
      <c r="D414" s="18">
        <f>VLOOKUP(1338,季財報!A:H,4)</f>
        <v>1</v>
      </c>
      <c r="E414" s="18">
        <f>VLOOKUP(1338,季財報!A:H,5)</f>
        <v>0</v>
      </c>
      <c r="F414" s="18">
        <f>VLOOKUP(1338,季財報!A:H,6)</f>
        <v>1</v>
      </c>
      <c r="G414" s="18">
        <f>VLOOKUP(1338,季財報!A:H,7)</f>
        <v>0</v>
      </c>
      <c r="N414" s="20">
        <f t="shared" si="6"/>
        <v>2</v>
      </c>
    </row>
    <row r="415" spans="1:19" s="317" customFormat="1">
      <c r="A415" s="309" t="str">
        <f>HYPERLINK("http://www.wantgoo.com/stock/chart.aspx?stockno=4426","4426")</f>
        <v>4426</v>
      </c>
      <c r="B415" s="310"/>
      <c r="C415" s="311">
        <f>VLOOKUP(4426,季財報!A:H,3)</f>
        <v>1</v>
      </c>
      <c r="D415" s="311">
        <f>VLOOKUP(4426,季財報!A:H,4)</f>
        <v>1</v>
      </c>
      <c r="E415" s="311">
        <f>VLOOKUP(4426,季財報!A:H,5)</f>
        <v>0</v>
      </c>
      <c r="F415" s="311">
        <f>VLOOKUP(4426,季財報!A:H,6)</f>
        <v>1</v>
      </c>
      <c r="G415" s="311">
        <f>VLOOKUP(4426,季財報!A:H,7)</f>
        <v>1</v>
      </c>
      <c r="H415" s="312"/>
      <c r="I415" s="312"/>
      <c r="J415" s="312"/>
      <c r="K415" s="312"/>
      <c r="L415" s="312"/>
      <c r="M415" s="313"/>
      <c r="N415" s="312">
        <f t="shared" si="6"/>
        <v>4</v>
      </c>
      <c r="O415" s="314"/>
      <c r="P415" s="314"/>
      <c r="Q415" s="314"/>
      <c r="R415" s="314"/>
      <c r="S415" s="315"/>
    </row>
    <row r="416" spans="1:19">
      <c r="A416" s="308" t="str">
        <f>HYPERLINK("http://www.wantgoo.com/stock/chart.aspx?stockno=2313","2313")</f>
        <v>2313</v>
      </c>
      <c r="C416" s="18">
        <f>VLOOKUP(2313,季財報!A:H,3)</f>
        <v>1</v>
      </c>
      <c r="D416" s="18">
        <f>VLOOKUP(2313,季財報!A:H,4)</f>
        <v>1</v>
      </c>
      <c r="E416" s="18">
        <f>VLOOKUP(2313,季財報!A:H,5)</f>
        <v>2</v>
      </c>
      <c r="F416" s="18">
        <f>VLOOKUP(2313,季財報!A:H,6)</f>
        <v>1</v>
      </c>
      <c r="G416" s="18">
        <f>VLOOKUP(2313,季財報!A:H,7)</f>
        <v>1</v>
      </c>
      <c r="N416" s="20">
        <f t="shared" si="6"/>
        <v>6</v>
      </c>
    </row>
    <row r="417" spans="1:19">
      <c r="A417" s="308" t="str">
        <f>HYPERLINK("http://www.wantgoo.com/stock/chart.aspx?stockno=3003","3003")</f>
        <v>3003</v>
      </c>
      <c r="C417" s="18">
        <f>VLOOKUP(3003,季財報!A:H,3)</f>
        <v>1</v>
      </c>
      <c r="D417" s="18">
        <f>VLOOKUP(3003,季財報!A:H,4)</f>
        <v>1</v>
      </c>
      <c r="E417" s="18">
        <f>VLOOKUP(3003,季財報!A:H,5)</f>
        <v>0</v>
      </c>
      <c r="F417" s="18">
        <f>VLOOKUP(3003,季財報!A:H,6)</f>
        <v>0</v>
      </c>
      <c r="G417" s="18">
        <f>VLOOKUP(3003,季財報!A:H,7)</f>
        <v>0</v>
      </c>
      <c r="N417" s="20">
        <f t="shared" si="6"/>
        <v>2</v>
      </c>
    </row>
    <row r="418" spans="1:19">
      <c r="A418" s="308" t="str">
        <f>HYPERLINK("http://www.wantgoo.com/stock/chart.aspx?stockno=2916","2916")</f>
        <v>2916</v>
      </c>
      <c r="C418" s="18">
        <f>VLOOKUP(2916,季財報!A:H,3)</f>
        <v>0</v>
      </c>
      <c r="D418" s="18">
        <f>VLOOKUP(2916,季財報!A:H,4)</f>
        <v>1</v>
      </c>
      <c r="E418" s="18">
        <f>VLOOKUP(2916,季財報!A:H,5)</f>
        <v>0</v>
      </c>
      <c r="F418" s="18">
        <f>VLOOKUP(2916,季財報!A:H,6)</f>
        <v>0</v>
      </c>
      <c r="G418" s="18">
        <f>VLOOKUP(2916,季財報!A:H,7)</f>
        <v>0</v>
      </c>
      <c r="N418" s="20">
        <f t="shared" si="6"/>
        <v>1</v>
      </c>
    </row>
    <row r="419" spans="1:19" s="317" customFormat="1">
      <c r="A419" s="309" t="str">
        <f>HYPERLINK("http://www.wantgoo.com/stock/chart.aspx?stockno=2228","2228")</f>
        <v>2228</v>
      </c>
      <c r="B419" s="310"/>
      <c r="C419" s="311">
        <f>VLOOKUP(2228,季財報!A:H,3)</f>
        <v>1</v>
      </c>
      <c r="D419" s="311">
        <f>VLOOKUP(2228,季財報!A:H,4)</f>
        <v>1</v>
      </c>
      <c r="E419" s="311">
        <f>VLOOKUP(2228,季財報!A:H,5)</f>
        <v>1</v>
      </c>
      <c r="F419" s="311">
        <f>VLOOKUP(2228,季財報!A:H,6)</f>
        <v>1</v>
      </c>
      <c r="G419" s="311">
        <f>VLOOKUP(2228,季財報!A:H,7)</f>
        <v>0</v>
      </c>
      <c r="H419" s="312"/>
      <c r="I419" s="312"/>
      <c r="J419" s="312"/>
      <c r="K419" s="312"/>
      <c r="L419" s="312"/>
      <c r="M419" s="313"/>
      <c r="N419" s="312">
        <f t="shared" si="6"/>
        <v>4</v>
      </c>
      <c r="O419" s="314"/>
      <c r="P419" s="314"/>
      <c r="Q419" s="314"/>
      <c r="R419" s="314"/>
      <c r="S419" s="315"/>
    </row>
    <row r="420" spans="1:19">
      <c r="A420" s="307" t="str">
        <f>HYPERLINK("http://www.wantgoo.com/stock/chart.aspx?stockno=6136","6136")</f>
        <v>6136</v>
      </c>
      <c r="C420" s="18">
        <f>VLOOKUP(6136,季財報!A:H,3)</f>
        <v>0</v>
      </c>
      <c r="D420" s="18">
        <f>VLOOKUP(6136,季財報!A:H,4)</f>
        <v>1</v>
      </c>
      <c r="E420" s="18">
        <f>VLOOKUP(6136,季財報!A:H,5)</f>
        <v>1</v>
      </c>
      <c r="F420" s="18">
        <f>VLOOKUP(6136,季財報!A:H,6)</f>
        <v>1</v>
      </c>
      <c r="G420" s="18">
        <f>VLOOKUP(6136,季財報!A:H,7)</f>
        <v>1</v>
      </c>
      <c r="N420" s="20">
        <f t="shared" si="6"/>
        <v>4</v>
      </c>
    </row>
    <row r="421" spans="1:19" s="317" customFormat="1">
      <c r="A421" s="309" t="str">
        <f>HYPERLINK("http://www.wantgoo.com/stock/chart.aspx?stockno=8433","8433")</f>
        <v>8433</v>
      </c>
      <c r="B421" s="310"/>
      <c r="C421" s="311">
        <f>VLOOKUP(8433,季財報!A:H,3)</f>
        <v>1</v>
      </c>
      <c r="D421" s="311">
        <f>VLOOKUP(8433,季財報!A:H,4)</f>
        <v>1</v>
      </c>
      <c r="E421" s="311">
        <f>VLOOKUP(8433,季財報!A:H,5)</f>
        <v>0</v>
      </c>
      <c r="F421" s="311">
        <f>VLOOKUP(8433,季財報!A:H,6)</f>
        <v>1</v>
      </c>
      <c r="G421" s="311">
        <f>VLOOKUP(8433,季財報!A:H,7)</f>
        <v>1</v>
      </c>
      <c r="H421" s="312"/>
      <c r="I421" s="312"/>
      <c r="J421" s="312"/>
      <c r="K421" s="312"/>
      <c r="L421" s="312"/>
      <c r="M421" s="313"/>
      <c r="N421" s="312">
        <f t="shared" si="6"/>
        <v>4</v>
      </c>
      <c r="O421" s="314"/>
      <c r="P421" s="314"/>
      <c r="Q421" s="314"/>
      <c r="R421" s="314"/>
      <c r="S421" s="315"/>
    </row>
    <row r="422" spans="1:19">
      <c r="A422" s="307" t="str">
        <f>HYPERLINK("http://www.wantgoo.com/stock/chart.aspx?stockno=3596","3596")</f>
        <v>3596</v>
      </c>
      <c r="C422" s="18">
        <f>VLOOKUP(3596,季財報!A:H,3)</f>
        <v>1</v>
      </c>
      <c r="D422" s="18">
        <f>VLOOKUP(3596,季財報!A:H,4)</f>
        <v>1</v>
      </c>
      <c r="E422" s="18">
        <f>VLOOKUP(3596,季財報!A:H,5)</f>
        <v>1</v>
      </c>
      <c r="F422" s="18">
        <f>VLOOKUP(3596,季財報!A:H,6)</f>
        <v>0</v>
      </c>
      <c r="G422" s="18">
        <f>VLOOKUP(3596,季財報!A:H,7)</f>
        <v>0</v>
      </c>
      <c r="N422" s="20">
        <f t="shared" si="6"/>
        <v>3</v>
      </c>
    </row>
    <row r="423" spans="1:19">
      <c r="A423" s="307" t="str">
        <f>HYPERLINK("http://www.wantgoo.com/stock/chart.aspx?stockno=6457","6457")</f>
        <v>6457</v>
      </c>
      <c r="C423" s="18">
        <f>VLOOKUP(6457,季財報!A:H,3)</f>
        <v>1</v>
      </c>
      <c r="D423" s="18">
        <f>VLOOKUP(6457,季財報!A:H,4)</f>
        <v>1</v>
      </c>
      <c r="E423" s="18">
        <f>VLOOKUP(6457,季財報!A:H,5)</f>
        <v>0</v>
      </c>
      <c r="F423" s="18">
        <f>VLOOKUP(6457,季財報!A:H,6)</f>
        <v>1</v>
      </c>
      <c r="G423" s="18">
        <f>VLOOKUP(6457,季財報!A:H,7)</f>
        <v>0</v>
      </c>
      <c r="N423" s="20">
        <f t="shared" si="6"/>
        <v>3</v>
      </c>
    </row>
    <row r="424" spans="1:19">
      <c r="A424" s="308" t="str">
        <f>HYPERLINK("http://www.wantgoo.com/stock/chart.aspx?stockno=3388","3388")</f>
        <v>3388</v>
      </c>
      <c r="C424" s="18">
        <f>VLOOKUP(3388,季財報!A:H,3)</f>
        <v>0</v>
      </c>
      <c r="D424" s="18">
        <f>VLOOKUP(3388,季財報!A:H,4)</f>
        <v>1</v>
      </c>
      <c r="E424" s="18">
        <f>VLOOKUP(3388,季財報!A:H,5)</f>
        <v>0</v>
      </c>
      <c r="F424" s="18">
        <f>VLOOKUP(3388,季財報!A:H,6)</f>
        <v>1</v>
      </c>
      <c r="G424" s="18">
        <f>VLOOKUP(3388,季財報!A:H,7)</f>
        <v>0</v>
      </c>
      <c r="N424" s="20">
        <f t="shared" si="6"/>
        <v>2</v>
      </c>
    </row>
    <row r="425" spans="1:19">
      <c r="A425" s="307" t="str">
        <f>HYPERLINK("http://www.wantgoo.com/stock/chart.aspx?stockno=5206","5206")</f>
        <v>5206</v>
      </c>
      <c r="C425" s="18">
        <f>VLOOKUP(5206,季財報!A:H,3)</f>
        <v>1</v>
      </c>
      <c r="D425" s="18">
        <f>VLOOKUP(5206,季財報!A:H,4)</f>
        <v>1</v>
      </c>
      <c r="E425" s="18">
        <f>VLOOKUP(5206,季財報!A:H,5)</f>
        <v>1</v>
      </c>
      <c r="F425" s="18">
        <f>VLOOKUP(5206,季財報!A:H,6)</f>
        <v>1</v>
      </c>
      <c r="G425" s="18">
        <f>VLOOKUP(5206,季財報!A:H,7)</f>
        <v>1</v>
      </c>
      <c r="N425" s="20">
        <f t="shared" si="6"/>
        <v>5</v>
      </c>
    </row>
    <row r="426" spans="1:19">
      <c r="A426" s="307" t="str">
        <f>HYPERLINK("http://www.wantgoo.com/stock/chart.aspx?stockno=4205","4205")</f>
        <v>4205</v>
      </c>
      <c r="C426" s="18">
        <f>VLOOKUP(4205,季財報!A:H,3)</f>
        <v>1</v>
      </c>
      <c r="D426" s="18">
        <f>VLOOKUP(4205,季財報!A:H,4)</f>
        <v>1</v>
      </c>
      <c r="E426" s="18">
        <f>VLOOKUP(4205,季財報!A:H,5)</f>
        <v>0</v>
      </c>
      <c r="F426" s="18">
        <f>VLOOKUP(4205,季財報!A:H,6)</f>
        <v>1</v>
      </c>
      <c r="G426" s="18">
        <f>VLOOKUP(4205,季財報!A:H,7)</f>
        <v>1</v>
      </c>
      <c r="N426" s="20">
        <f t="shared" si="6"/>
        <v>4</v>
      </c>
    </row>
    <row r="427" spans="1:19">
      <c r="A427" s="308" t="str">
        <f>HYPERLINK("http://www.wantgoo.com/stock/chart.aspx?stockno=6240","6240")</f>
        <v>6240</v>
      </c>
      <c r="C427" s="18">
        <f>VLOOKUP(6240,季財報!A:H,3)</f>
        <v>1</v>
      </c>
      <c r="D427" s="18">
        <f>VLOOKUP(6240,季財報!A:H,4)</f>
        <v>1</v>
      </c>
      <c r="E427" s="18">
        <f>VLOOKUP(6240,季財報!A:H,5)</f>
        <v>0</v>
      </c>
      <c r="F427" s="18">
        <f>VLOOKUP(6240,季財報!A:H,6)</f>
        <v>0</v>
      </c>
      <c r="G427" s="18">
        <f>VLOOKUP(6240,季財報!A:H,7)</f>
        <v>0</v>
      </c>
      <c r="N427" s="20">
        <f t="shared" si="6"/>
        <v>2</v>
      </c>
    </row>
    <row r="428" spans="1:19">
      <c r="A428" s="308" t="str">
        <f>HYPERLINK("http://www.wantgoo.com/stock/chart.aspx?stockno=8404","8404")</f>
        <v>8404</v>
      </c>
      <c r="C428" s="18">
        <f>VLOOKUP(8404,季財報!A:H,3)</f>
        <v>0</v>
      </c>
      <c r="D428" s="18">
        <f>VLOOKUP(8404,季財報!A:H,4)</f>
        <v>1</v>
      </c>
      <c r="E428" s="18">
        <f>VLOOKUP(8404,季財報!A:H,5)</f>
        <v>0</v>
      </c>
      <c r="F428" s="18">
        <f>VLOOKUP(8404,季財報!A:H,6)</f>
        <v>1</v>
      </c>
      <c r="G428" s="18">
        <f>VLOOKUP(8404,季財報!A:H,7)</f>
        <v>0</v>
      </c>
      <c r="N428" s="20">
        <f t="shared" si="6"/>
        <v>2</v>
      </c>
    </row>
    <row r="429" spans="1:19">
      <c r="A429" s="307" t="str">
        <f>HYPERLINK("http://www.wantgoo.com/stock/chart.aspx?stockno=4527","4527")</f>
        <v>4527</v>
      </c>
      <c r="C429" s="18">
        <f>VLOOKUP(4527,季財報!A:H,3)</f>
        <v>0</v>
      </c>
      <c r="D429" s="18">
        <f>VLOOKUP(4527,季財報!A:H,4)</f>
        <v>1</v>
      </c>
      <c r="E429" s="18">
        <f>VLOOKUP(4527,季財報!A:H,5)</f>
        <v>0</v>
      </c>
      <c r="F429" s="18">
        <f>VLOOKUP(4527,季財報!A:H,6)</f>
        <v>0</v>
      </c>
      <c r="G429" s="18">
        <f>VLOOKUP(4527,季財報!A:H,7)</f>
        <v>0</v>
      </c>
      <c r="N429" s="20">
        <f t="shared" si="6"/>
        <v>1</v>
      </c>
    </row>
    <row r="430" spans="1:19" s="317" customFormat="1">
      <c r="A430" s="309" t="str">
        <f>HYPERLINK("http://www.wantgoo.com/stock/chart.aspx?stockno=1565","1565")</f>
        <v>1565</v>
      </c>
      <c r="B430" s="310"/>
      <c r="C430" s="311">
        <f>VLOOKUP(1565,季財報!A:H,3)</f>
        <v>1</v>
      </c>
      <c r="D430" s="311">
        <f>VLOOKUP(1565,季財報!A:H,4)</f>
        <v>1</v>
      </c>
      <c r="E430" s="311">
        <f>VLOOKUP(1565,季財報!A:H,5)</f>
        <v>2</v>
      </c>
      <c r="F430" s="311">
        <f>VLOOKUP(1565,季財報!A:H,6)</f>
        <v>1</v>
      </c>
      <c r="G430" s="311">
        <f>VLOOKUP(1565,季財報!A:H,7)</f>
        <v>0</v>
      </c>
      <c r="H430" s="312"/>
      <c r="I430" s="312"/>
      <c r="J430" s="312"/>
      <c r="K430" s="312"/>
      <c r="L430" s="312"/>
      <c r="M430" s="313"/>
      <c r="N430" s="312">
        <f t="shared" si="6"/>
        <v>5</v>
      </c>
      <c r="O430" s="314"/>
      <c r="P430" s="314"/>
      <c r="Q430" s="314"/>
      <c r="R430" s="314"/>
      <c r="S430" s="315"/>
    </row>
    <row r="431" spans="1:19" s="317" customFormat="1">
      <c r="A431" s="309" t="str">
        <f>HYPERLINK("http://www.wantgoo.com/stock/chart.aspx?stockno=1477","1477")</f>
        <v>1477</v>
      </c>
      <c r="B431" s="310"/>
      <c r="C431" s="311">
        <f>VLOOKUP(1477,季財報!A:H,3)</f>
        <v>0</v>
      </c>
      <c r="D431" s="311">
        <f>VLOOKUP(1477,季財報!A:H,4)</f>
        <v>1</v>
      </c>
      <c r="E431" s="311">
        <f>VLOOKUP(1477,季財報!A:H,5)</f>
        <v>2</v>
      </c>
      <c r="F431" s="311">
        <f>VLOOKUP(1477,季財報!A:H,6)</f>
        <v>1</v>
      </c>
      <c r="G431" s="311">
        <f>VLOOKUP(1477,季財報!A:H,7)</f>
        <v>0</v>
      </c>
      <c r="H431" s="312"/>
      <c r="I431" s="312"/>
      <c r="J431" s="312"/>
      <c r="K431" s="312"/>
      <c r="L431" s="312"/>
      <c r="M431" s="313"/>
      <c r="N431" s="312">
        <f t="shared" si="6"/>
        <v>4</v>
      </c>
      <c r="O431" s="314"/>
      <c r="P431" s="314"/>
      <c r="Q431" s="314"/>
      <c r="R431" s="314"/>
      <c r="S431" s="315"/>
    </row>
    <row r="432" spans="1:19">
      <c r="A432" s="308" t="str">
        <f>HYPERLINK("http://www.wantgoo.com/stock/chart.aspx?stockno=5487","5487")</f>
        <v>5487</v>
      </c>
      <c r="C432" s="18">
        <f>VLOOKUP(5487,季財報!A:H,3)</f>
        <v>0</v>
      </c>
      <c r="D432" s="18">
        <f>VLOOKUP(5487,季財報!A:H,4)</f>
        <v>1</v>
      </c>
      <c r="E432" s="18">
        <f>VLOOKUP(5487,季財報!A:H,5)</f>
        <v>0</v>
      </c>
      <c r="F432" s="18">
        <f>VLOOKUP(5487,季財報!A:H,6)</f>
        <v>1</v>
      </c>
      <c r="G432" s="18">
        <f>VLOOKUP(5487,季財報!A:H,7)</f>
        <v>0</v>
      </c>
      <c r="N432" s="20">
        <f t="shared" si="6"/>
        <v>2</v>
      </c>
    </row>
    <row r="433" spans="1:19">
      <c r="A433" s="308" t="str">
        <f>HYPERLINK("http://www.wantgoo.com/stock/chart.aspx?stockno=8401","8401")</f>
        <v>8401</v>
      </c>
      <c r="C433" s="18">
        <f>VLOOKUP(8401,季財報!A:H,3)</f>
        <v>0</v>
      </c>
      <c r="D433" s="18">
        <f>VLOOKUP(8401,季財報!A:H,4)</f>
        <v>0</v>
      </c>
      <c r="E433" s="18">
        <f>VLOOKUP(8401,季財報!A:H,5)</f>
        <v>0</v>
      </c>
      <c r="F433" s="18">
        <f>VLOOKUP(8401,季財報!A:H,6)</f>
        <v>1</v>
      </c>
      <c r="G433" s="18">
        <f>VLOOKUP(8401,季財報!A:H,7)</f>
        <v>0</v>
      </c>
      <c r="N433" s="20">
        <f t="shared" si="6"/>
        <v>1</v>
      </c>
    </row>
    <row r="434" spans="1:19">
      <c r="A434" s="308" t="str">
        <f>HYPERLINK("http://www.wantgoo.com/stock/chart.aspx?stockno=5287","5287")</f>
        <v>5287</v>
      </c>
      <c r="C434" s="18">
        <f>VLOOKUP(5287,季財報!A:H,3)</f>
        <v>0</v>
      </c>
      <c r="D434" s="18">
        <f>VLOOKUP(5287,季財報!A:H,4)</f>
        <v>0</v>
      </c>
      <c r="E434" s="18">
        <f>VLOOKUP(5287,季財報!A:H,5)</f>
        <v>0</v>
      </c>
      <c r="F434" s="18">
        <f>VLOOKUP(5287,季財報!A:H,6)</f>
        <v>1</v>
      </c>
      <c r="G434" s="18">
        <f>VLOOKUP(5287,季財報!A:H,7)</f>
        <v>1</v>
      </c>
      <c r="N434" s="20">
        <f t="shared" si="6"/>
        <v>2</v>
      </c>
    </row>
    <row r="435" spans="1:19">
      <c r="A435" s="308" t="str">
        <f>HYPERLINK("http://www.wantgoo.com/stock/chart.aspx?stockno=6426","6426")</f>
        <v>6426</v>
      </c>
      <c r="C435" s="18">
        <f>VLOOKUP(6426,季財報!A:H,3)</f>
        <v>1</v>
      </c>
      <c r="D435" s="18">
        <f>VLOOKUP(6426,季財報!A:H,4)</f>
        <v>1</v>
      </c>
      <c r="E435" s="18">
        <f>VLOOKUP(6426,季財報!A:H,5)</f>
        <v>0</v>
      </c>
      <c r="F435" s="18">
        <f>VLOOKUP(6426,季財報!A:H,6)</f>
        <v>1</v>
      </c>
      <c r="G435" s="18">
        <f>VLOOKUP(6426,季財報!A:H,7)</f>
        <v>0</v>
      </c>
      <c r="N435" s="20">
        <f t="shared" si="6"/>
        <v>3</v>
      </c>
    </row>
    <row r="436" spans="1:19">
      <c r="A436" s="308" t="str">
        <f>HYPERLINK("http://www.wantgoo.com/stock/chart.aspx?stockno=1104","1104")</f>
        <v>1104</v>
      </c>
      <c r="C436" s="18">
        <f>VLOOKUP(1104,季財報!A:H,3)</f>
        <v>0</v>
      </c>
      <c r="D436" s="18">
        <f>VLOOKUP(1104,季財報!A:H,4)</f>
        <v>0</v>
      </c>
      <c r="E436" s="18">
        <f>VLOOKUP(1104,季財報!A:H,5)</f>
        <v>1</v>
      </c>
      <c r="F436" s="18">
        <f>VLOOKUP(1104,季財報!A:H,6)</f>
        <v>1</v>
      </c>
      <c r="G436" s="18">
        <f>VLOOKUP(1104,季財報!A:H,7)</f>
        <v>0</v>
      </c>
      <c r="N436" s="20">
        <f t="shared" si="6"/>
        <v>2</v>
      </c>
    </row>
    <row r="437" spans="1:19" s="317" customFormat="1">
      <c r="A437" s="309" t="str">
        <f>HYPERLINK("http://www.wantgoo.com/stock/chart.aspx?stockno=3152","3152")</f>
        <v>3152</v>
      </c>
      <c r="B437" s="310"/>
      <c r="C437" s="311">
        <f>VLOOKUP(3152,季財報!A:H,3)</f>
        <v>1</v>
      </c>
      <c r="D437" s="311">
        <f>VLOOKUP(3152,季財報!A:H,4)</f>
        <v>1</v>
      </c>
      <c r="E437" s="311">
        <f>VLOOKUP(3152,季財報!A:H,5)</f>
        <v>1</v>
      </c>
      <c r="F437" s="311">
        <f>VLOOKUP(3152,季財報!A:H,6)</f>
        <v>1</v>
      </c>
      <c r="G437" s="311">
        <f>VLOOKUP(3152,季財報!A:H,7)</f>
        <v>1</v>
      </c>
      <c r="H437" s="312"/>
      <c r="I437" s="312"/>
      <c r="J437" s="312"/>
      <c r="K437" s="312"/>
      <c r="L437" s="312"/>
      <c r="M437" s="313"/>
      <c r="N437" s="312">
        <f t="shared" si="6"/>
        <v>5</v>
      </c>
      <c r="O437" s="314"/>
      <c r="P437" s="314"/>
      <c r="Q437" s="314"/>
      <c r="R437" s="314"/>
      <c r="S437" s="315"/>
    </row>
    <row r="438" spans="1:19">
      <c r="A438" s="308" t="str">
        <f>HYPERLINK("http://www.wantgoo.com/stock/chart.aspx?stockno=2393","2393")</f>
        <v>2393</v>
      </c>
      <c r="C438" s="18">
        <f>VLOOKUP(2393,季財報!A:H,3)</f>
        <v>0</v>
      </c>
      <c r="D438" s="18">
        <f>VLOOKUP(2393,季財報!A:H,4)</f>
        <v>1</v>
      </c>
      <c r="E438" s="18">
        <f>VLOOKUP(2393,季財報!A:H,5)</f>
        <v>0</v>
      </c>
      <c r="F438" s="18">
        <f>VLOOKUP(2393,季財報!A:H,6)</f>
        <v>1</v>
      </c>
      <c r="G438" s="18">
        <f>VLOOKUP(2393,季財報!A:H,7)</f>
        <v>0</v>
      </c>
      <c r="N438" s="20">
        <f t="shared" si="6"/>
        <v>2</v>
      </c>
    </row>
    <row r="439" spans="1:19">
      <c r="A439" s="308" t="str">
        <f>HYPERLINK("http://www.wantgoo.com/stock/chart.aspx?stockno=6261","6261")</f>
        <v>6261</v>
      </c>
      <c r="C439" s="18">
        <f>VLOOKUP(6261,季財報!A:H,3)</f>
        <v>0</v>
      </c>
      <c r="D439" s="18">
        <f>VLOOKUP(6261,季財報!A:H,4)</f>
        <v>0</v>
      </c>
      <c r="E439" s="18">
        <f>VLOOKUP(6261,季財報!A:H,5)</f>
        <v>0</v>
      </c>
      <c r="F439" s="18">
        <f>VLOOKUP(6261,季財報!A:H,6)</f>
        <v>1</v>
      </c>
      <c r="G439" s="18">
        <f>VLOOKUP(6261,季財報!A:H,7)</f>
        <v>0</v>
      </c>
      <c r="N439" s="20">
        <f t="shared" si="6"/>
        <v>1</v>
      </c>
    </row>
    <row r="440" spans="1:19">
      <c r="A440" s="308" t="str">
        <f>HYPERLINK("http://www.wantgoo.com/stock/chart.aspx?stockno=1229","1229")</f>
        <v>1229</v>
      </c>
      <c r="C440" s="18">
        <f>VLOOKUP(1229,季財報!A:H,3)</f>
        <v>0</v>
      </c>
      <c r="D440" s="18">
        <f>VLOOKUP(1229,季財報!A:H,4)</f>
        <v>0</v>
      </c>
      <c r="E440" s="18">
        <f>VLOOKUP(1229,季財報!A:H,5)</f>
        <v>0</v>
      </c>
      <c r="F440" s="18">
        <f>VLOOKUP(1229,季財報!A:H,6)</f>
        <v>1</v>
      </c>
      <c r="G440" s="18">
        <f>VLOOKUP(1229,季財報!A:H,7)</f>
        <v>0</v>
      </c>
      <c r="N440" s="20">
        <f t="shared" si="6"/>
        <v>1</v>
      </c>
    </row>
    <row r="441" spans="1:19">
      <c r="A441" s="308" t="str">
        <f>HYPERLINK("http://www.wantgoo.com/stock/chart.aspx?stockno=1589","1589")</f>
        <v>1589</v>
      </c>
      <c r="C441" s="18">
        <f>VLOOKUP(1589,季財報!A:H,3)</f>
        <v>1</v>
      </c>
      <c r="D441" s="18">
        <f>VLOOKUP(1589,季財報!A:H,4)</f>
        <v>1</v>
      </c>
      <c r="E441" s="18">
        <f>VLOOKUP(1589,季財報!A:H,5)</f>
        <v>0</v>
      </c>
      <c r="F441" s="18">
        <f>VLOOKUP(1589,季財報!A:H,6)</f>
        <v>1</v>
      </c>
      <c r="G441" s="18">
        <f>VLOOKUP(1589,季財報!A:H,7)</f>
        <v>1</v>
      </c>
      <c r="N441" s="20">
        <f t="shared" si="6"/>
        <v>4</v>
      </c>
    </row>
    <row r="442" spans="1:19">
      <c r="A442" s="308" t="str">
        <f>HYPERLINK("http://www.wantgoo.com/stock/chart.aspx?stockno=5432","5432")</f>
        <v>5432</v>
      </c>
      <c r="C442" s="18">
        <f>VLOOKUP(5432,季財報!A:H,3)</f>
        <v>1</v>
      </c>
      <c r="D442" s="18">
        <f>VLOOKUP(5432,季財報!A:H,4)</f>
        <v>1</v>
      </c>
      <c r="E442" s="18">
        <f>VLOOKUP(5432,季財報!A:H,5)</f>
        <v>0</v>
      </c>
      <c r="F442" s="18">
        <f>VLOOKUP(5432,季財報!A:H,6)</f>
        <v>1</v>
      </c>
      <c r="G442" s="18">
        <f>VLOOKUP(5432,季財報!A:H,7)</f>
        <v>0</v>
      </c>
      <c r="N442" s="20">
        <f t="shared" si="6"/>
        <v>3</v>
      </c>
    </row>
    <row r="443" spans="1:19">
      <c r="A443" s="308" t="str">
        <f>HYPERLINK("http://www.wantgoo.com/stock/chart.aspx?stockno=1522","1522")</f>
        <v>1522</v>
      </c>
      <c r="C443" s="18">
        <f>VLOOKUP(1522,季財報!A:H,3)</f>
        <v>1</v>
      </c>
      <c r="D443" s="18">
        <f>VLOOKUP(1522,季財報!A:H,4)</f>
        <v>1</v>
      </c>
      <c r="E443" s="18">
        <f>VLOOKUP(1522,季財報!A:H,5)</f>
        <v>0</v>
      </c>
      <c r="F443" s="18">
        <f>VLOOKUP(1522,季財報!A:H,6)</f>
        <v>1</v>
      </c>
      <c r="G443" s="18">
        <f>VLOOKUP(1522,季財報!A:H,7)</f>
        <v>0</v>
      </c>
      <c r="N443" s="20">
        <f t="shared" si="6"/>
        <v>3</v>
      </c>
    </row>
    <row r="444" spans="1:19">
      <c r="A444" s="307" t="str">
        <f>HYPERLINK("http://www.wantgoo.com/stock/chart.aspx?stockno=6412","6412")</f>
        <v>6412</v>
      </c>
      <c r="C444" s="18">
        <f>VLOOKUP(6412,季財報!A:H,3)</f>
        <v>0</v>
      </c>
      <c r="D444" s="18">
        <f>VLOOKUP(6412,季財報!A:H,4)</f>
        <v>0</v>
      </c>
      <c r="E444" s="18">
        <f>VLOOKUP(6412,季財報!A:H,5)</f>
        <v>0</v>
      </c>
      <c r="F444" s="18">
        <f>VLOOKUP(6412,季財報!A:H,6)</f>
        <v>1</v>
      </c>
      <c r="G444" s="18">
        <f>VLOOKUP(6412,季財報!A:H,7)</f>
        <v>0</v>
      </c>
      <c r="N444" s="20">
        <f t="shared" si="6"/>
        <v>1</v>
      </c>
    </row>
    <row r="445" spans="1:19">
      <c r="A445" s="308" t="str">
        <f>HYPERLINK("http://www.wantgoo.com/stock/chart.aspx?stockno=4163","4163")</f>
        <v>4163</v>
      </c>
      <c r="C445" s="18">
        <f>VLOOKUP(4163,季財報!A:H,3)</f>
        <v>1</v>
      </c>
      <c r="D445" s="18">
        <f>VLOOKUP(4163,季財報!A:H,4)</f>
        <v>1</v>
      </c>
      <c r="E445" s="18">
        <f>VLOOKUP(4163,季財報!A:H,5)</f>
        <v>0</v>
      </c>
      <c r="F445" s="18">
        <f>VLOOKUP(4163,季財報!A:H,6)</f>
        <v>1</v>
      </c>
      <c r="G445" s="18">
        <f>VLOOKUP(4163,季財報!A:H,7)</f>
        <v>0</v>
      </c>
      <c r="N445" s="20">
        <f t="shared" si="6"/>
        <v>3</v>
      </c>
    </row>
    <row r="446" spans="1:19">
      <c r="A446" s="308" t="str">
        <f>HYPERLINK("http://www.wantgoo.com/stock/chart.aspx?stockno=4927","4927")</f>
        <v>4927</v>
      </c>
      <c r="C446" s="18">
        <f>VLOOKUP(4927,季財報!A:H,3)</f>
        <v>1</v>
      </c>
      <c r="D446" s="18">
        <f>VLOOKUP(4927,季財報!A:H,4)</f>
        <v>1</v>
      </c>
      <c r="E446" s="18">
        <f>VLOOKUP(4927,季財報!A:H,5)</f>
        <v>0</v>
      </c>
      <c r="F446" s="18">
        <f>VLOOKUP(4927,季財報!A:H,6)</f>
        <v>0</v>
      </c>
      <c r="G446" s="18">
        <f>VLOOKUP(4927,季財報!A:H,7)</f>
        <v>1</v>
      </c>
      <c r="N446" s="20">
        <f t="shared" si="6"/>
        <v>3</v>
      </c>
    </row>
    <row r="447" spans="1:19">
      <c r="A447" s="307" t="str">
        <f>HYPERLINK("http://www.wantgoo.com/stock/chart.aspx?stockno=2303","2303")</f>
        <v>2303</v>
      </c>
      <c r="C447" s="18">
        <f>VLOOKUP(2303,季財報!A:H,3)</f>
        <v>0</v>
      </c>
      <c r="D447" s="18">
        <f>VLOOKUP(2303,季財報!A:H,4)</f>
        <v>0</v>
      </c>
      <c r="E447" s="18">
        <f>VLOOKUP(2303,季財報!A:H,5)</f>
        <v>0</v>
      </c>
      <c r="F447" s="18">
        <f>VLOOKUP(2303,季財報!A:H,6)</f>
        <v>1</v>
      </c>
      <c r="G447" s="18">
        <f>VLOOKUP(2303,季財報!A:H,7)</f>
        <v>1</v>
      </c>
      <c r="N447" s="20">
        <f t="shared" si="6"/>
        <v>2</v>
      </c>
    </row>
    <row r="448" spans="1:19" s="317" customFormat="1">
      <c r="A448" s="309" t="str">
        <f>HYPERLINK("http://www.wantgoo.com/stock/chart.aspx?stockno=3479","3479")</f>
        <v>3479</v>
      </c>
      <c r="B448" s="310"/>
      <c r="C448" s="311">
        <f>VLOOKUP(3479,季財報!A:H,3)</f>
        <v>1</v>
      </c>
      <c r="D448" s="311">
        <f>VLOOKUP(3479,季財報!A:H,4)</f>
        <v>1</v>
      </c>
      <c r="E448" s="311">
        <f>VLOOKUP(3479,季財報!A:H,5)</f>
        <v>2</v>
      </c>
      <c r="F448" s="311">
        <f>VLOOKUP(3479,季財報!A:H,6)</f>
        <v>1</v>
      </c>
      <c r="G448" s="311">
        <f>VLOOKUP(3479,季財報!A:H,7)</f>
        <v>1</v>
      </c>
      <c r="H448" s="312"/>
      <c r="I448" s="312"/>
      <c r="J448" s="312"/>
      <c r="K448" s="312"/>
      <c r="L448" s="312"/>
      <c r="M448" s="313"/>
      <c r="N448" s="312">
        <f t="shared" si="6"/>
        <v>6</v>
      </c>
      <c r="O448" s="314"/>
      <c r="P448" s="314"/>
      <c r="Q448" s="314"/>
      <c r="R448" s="314"/>
      <c r="S448" s="315"/>
    </row>
    <row r="449" spans="1:19">
      <c r="A449" s="307" t="str">
        <f>HYPERLINK("http://www.wantgoo.com/stock/chart.aspx?stockno=4755","4755")</f>
        <v>4755</v>
      </c>
      <c r="C449" s="18">
        <f>VLOOKUP(4755,季財報!A:H,3)</f>
        <v>1</v>
      </c>
      <c r="D449" s="18">
        <f>VLOOKUP(4755,季財報!A:H,4)</f>
        <v>1</v>
      </c>
      <c r="E449" s="18">
        <f>VLOOKUP(4755,季財報!A:H,5)</f>
        <v>0</v>
      </c>
      <c r="F449" s="18">
        <f>VLOOKUP(4755,季財報!A:H,6)</f>
        <v>1</v>
      </c>
      <c r="G449" s="18">
        <f>VLOOKUP(4755,季財報!A:H,7)</f>
        <v>0</v>
      </c>
      <c r="N449" s="20">
        <f t="shared" si="6"/>
        <v>3</v>
      </c>
    </row>
    <row r="450" spans="1:19">
      <c r="A450" s="307" t="str">
        <f>HYPERLINK("http://www.wantgoo.com/stock/chart.aspx?stockno=6147","6147")</f>
        <v>6147</v>
      </c>
      <c r="C450" s="18">
        <f>VLOOKUP(6147,季財報!A:H,3)</f>
        <v>0</v>
      </c>
      <c r="D450" s="18">
        <f>VLOOKUP(6147,季財報!A:H,4)</f>
        <v>1</v>
      </c>
      <c r="E450" s="18">
        <f>VLOOKUP(6147,季財報!A:H,5)</f>
        <v>2</v>
      </c>
      <c r="F450" s="18">
        <f>VLOOKUP(6147,季財報!A:H,6)</f>
        <v>1</v>
      </c>
      <c r="G450" s="18">
        <f>VLOOKUP(6147,季財報!A:H,7)</f>
        <v>0</v>
      </c>
      <c r="N450" s="20">
        <f t="shared" si="6"/>
        <v>4</v>
      </c>
    </row>
    <row r="451" spans="1:19" s="317" customFormat="1">
      <c r="A451" s="309" t="str">
        <f>HYPERLINK("http://www.wantgoo.com/stock/chart.aspx?stockno=1707","1707")</f>
        <v>1707</v>
      </c>
      <c r="B451" s="310"/>
      <c r="C451" s="311">
        <f>VLOOKUP(1707,季財報!A:H,3)</f>
        <v>0</v>
      </c>
      <c r="D451" s="311">
        <f>VLOOKUP(1707,季財報!A:H,4)</f>
        <v>1</v>
      </c>
      <c r="E451" s="311">
        <f>VLOOKUP(1707,季財報!A:H,5)</f>
        <v>0</v>
      </c>
      <c r="F451" s="311">
        <f>VLOOKUP(1707,季財報!A:H,6)</f>
        <v>0</v>
      </c>
      <c r="G451" s="311">
        <f>VLOOKUP(1707,季財報!A:H,7)</f>
        <v>1</v>
      </c>
      <c r="H451" s="312"/>
      <c r="I451" s="312"/>
      <c r="J451" s="312"/>
      <c r="K451" s="312"/>
      <c r="L451" s="312"/>
      <c r="M451" s="313"/>
      <c r="N451" s="312">
        <f t="shared" si="6"/>
        <v>2</v>
      </c>
      <c r="O451" s="314"/>
      <c r="P451" s="314"/>
      <c r="Q451" s="314"/>
      <c r="R451" s="314"/>
      <c r="S451" s="315"/>
    </row>
    <row r="452" spans="1:19">
      <c r="A452" s="308" t="str">
        <f>HYPERLINK("http://www.wantgoo.com/stock/chart.aspx?stockno=3189","3189")</f>
        <v>3189</v>
      </c>
      <c r="C452" s="18">
        <f>VLOOKUP(3189,季財報!A:H,3)</f>
        <v>0</v>
      </c>
      <c r="D452" s="18">
        <f>VLOOKUP(3189,季財報!A:H,4)</f>
        <v>1</v>
      </c>
      <c r="E452" s="18">
        <f>VLOOKUP(3189,季財報!A:H,5)</f>
        <v>0</v>
      </c>
      <c r="F452" s="18">
        <f>VLOOKUP(3189,季財報!A:H,6)</f>
        <v>1</v>
      </c>
      <c r="G452" s="18">
        <f>VLOOKUP(3189,季財報!A:H,7)</f>
        <v>0</v>
      </c>
      <c r="N452" s="20">
        <f t="shared" ref="N452:N515" si="7">SUM(C452:M452)</f>
        <v>2</v>
      </c>
    </row>
    <row r="453" spans="1:19">
      <c r="A453" s="308" t="str">
        <f>HYPERLINK("http://www.wantgoo.com/stock/chart.aspx?stockno=4736","4736")</f>
        <v>4736</v>
      </c>
      <c r="C453" s="18">
        <f>VLOOKUP(4736,季財報!A:H,3)</f>
        <v>1</v>
      </c>
      <c r="D453" s="18">
        <f>VLOOKUP(4736,季財報!A:H,4)</f>
        <v>1</v>
      </c>
      <c r="E453" s="18">
        <f>VLOOKUP(4736,季財報!A:H,5)</f>
        <v>1</v>
      </c>
      <c r="F453" s="18">
        <f>VLOOKUP(4736,季財報!A:H,6)</f>
        <v>1</v>
      </c>
      <c r="G453" s="18">
        <f>VLOOKUP(4736,季財報!A:H,7)</f>
        <v>1</v>
      </c>
      <c r="N453" s="20">
        <f t="shared" si="7"/>
        <v>5</v>
      </c>
    </row>
    <row r="454" spans="1:19" s="317" customFormat="1">
      <c r="A454" s="309" t="str">
        <f>HYPERLINK("http://www.wantgoo.com/stock/chart.aspx?stockno=3665","3665")</f>
        <v>3665</v>
      </c>
      <c r="B454" s="310"/>
      <c r="C454" s="311">
        <f>VLOOKUP(3665,季財報!A:H,3)</f>
        <v>1</v>
      </c>
      <c r="D454" s="311">
        <f>VLOOKUP(3665,季財報!A:H,4)</f>
        <v>1</v>
      </c>
      <c r="E454" s="311">
        <f>VLOOKUP(3665,季財報!A:H,5)</f>
        <v>0</v>
      </c>
      <c r="F454" s="311">
        <f>VLOOKUP(3665,季財報!A:H,6)</f>
        <v>1</v>
      </c>
      <c r="G454" s="311">
        <f>VLOOKUP(3665,季財報!A:H,7)</f>
        <v>0</v>
      </c>
      <c r="H454" s="312"/>
      <c r="I454" s="312"/>
      <c r="J454" s="312"/>
      <c r="K454" s="312"/>
      <c r="L454" s="312"/>
      <c r="M454" s="313"/>
      <c r="N454" s="312">
        <f t="shared" si="7"/>
        <v>3</v>
      </c>
      <c r="O454" s="314"/>
      <c r="P454" s="314"/>
      <c r="Q454" s="314"/>
      <c r="R454" s="314"/>
      <c r="S454" s="315"/>
    </row>
    <row r="455" spans="1:19">
      <c r="A455" s="308" t="str">
        <f>HYPERLINK("http://www.wantgoo.com/stock/chart.aspx?stockno=6146","6146")</f>
        <v>6146</v>
      </c>
      <c r="C455" s="18">
        <f>VLOOKUP(6146,季財報!A:H,3)</f>
        <v>0</v>
      </c>
      <c r="D455" s="18">
        <f>VLOOKUP(6146,季財報!A:H,4)</f>
        <v>1</v>
      </c>
      <c r="E455" s="18">
        <f>VLOOKUP(6146,季財報!A:H,5)</f>
        <v>0</v>
      </c>
      <c r="F455" s="18">
        <f>VLOOKUP(6146,季財報!A:H,6)</f>
        <v>1</v>
      </c>
      <c r="G455" s="18">
        <f>VLOOKUP(6146,季財報!A:H,7)</f>
        <v>0</v>
      </c>
      <c r="N455" s="20">
        <f t="shared" si="7"/>
        <v>2</v>
      </c>
    </row>
    <row r="456" spans="1:19">
      <c r="A456" s="308" t="str">
        <f>HYPERLINK("http://www.wantgoo.com/stock/chart.aspx?stockno=8349","8349")</f>
        <v>8349</v>
      </c>
      <c r="C456" s="18">
        <f>VLOOKUP(8349,季財報!A:H,3)</f>
        <v>0</v>
      </c>
      <c r="D456" s="18">
        <f>VLOOKUP(8349,季財報!A:H,4)</f>
        <v>1</v>
      </c>
      <c r="E456" s="18">
        <f>VLOOKUP(8349,季財報!A:H,5)</f>
        <v>0</v>
      </c>
      <c r="F456" s="18">
        <f>VLOOKUP(8349,季財報!A:H,6)</f>
        <v>0</v>
      </c>
      <c r="G456" s="18">
        <f>VLOOKUP(8349,季財報!A:H,7)</f>
        <v>0</v>
      </c>
      <c r="N456" s="20">
        <f t="shared" si="7"/>
        <v>1</v>
      </c>
    </row>
    <row r="457" spans="1:19">
      <c r="A457" s="307" t="str">
        <f>HYPERLINK("http://www.wantgoo.com/stock/chart.aspx?stockno=4119","4119")</f>
        <v>4119</v>
      </c>
      <c r="C457" s="18">
        <f>VLOOKUP(4119,季財報!A:H,3)</f>
        <v>0</v>
      </c>
      <c r="D457" s="18">
        <f>VLOOKUP(4119,季財報!A:H,4)</f>
        <v>1</v>
      </c>
      <c r="E457" s="18">
        <f>VLOOKUP(4119,季財報!A:H,5)</f>
        <v>0</v>
      </c>
      <c r="F457" s="18">
        <f>VLOOKUP(4119,季財報!A:H,6)</f>
        <v>1</v>
      </c>
      <c r="G457" s="18">
        <f>VLOOKUP(4119,季財報!A:H,7)</f>
        <v>0</v>
      </c>
      <c r="N457" s="20">
        <f t="shared" si="7"/>
        <v>2</v>
      </c>
    </row>
    <row r="458" spans="1:19">
      <c r="A458" s="308" t="str">
        <f>HYPERLINK("http://www.wantgoo.com/stock/chart.aspx?stockno=8446","8446")</f>
        <v>8446</v>
      </c>
      <c r="C458" s="18">
        <f>VLOOKUP(8446,季財報!A:H,3)</f>
        <v>0</v>
      </c>
      <c r="D458" s="18">
        <f>VLOOKUP(8446,季財報!A:H,4)</f>
        <v>1</v>
      </c>
      <c r="E458" s="18">
        <f>VLOOKUP(8446,季財報!A:H,5)</f>
        <v>0</v>
      </c>
      <c r="F458" s="18">
        <f>VLOOKUP(8446,季財報!A:H,6)</f>
        <v>1</v>
      </c>
      <c r="G458" s="18">
        <f>VLOOKUP(8446,季財報!A:H,7)</f>
        <v>0</v>
      </c>
      <c r="N458" s="20">
        <f t="shared" si="7"/>
        <v>2</v>
      </c>
    </row>
    <row r="459" spans="1:19">
      <c r="A459" s="307" t="str">
        <f>HYPERLINK("http://www.wantgoo.com/stock/chart.aspx?stockno=2480","2480")</f>
        <v>2480</v>
      </c>
      <c r="C459" s="18">
        <f>VLOOKUP(2480,季財報!A:H,3)</f>
        <v>0</v>
      </c>
      <c r="D459" s="18">
        <f>VLOOKUP(2480,季財報!A:H,4)</f>
        <v>1</v>
      </c>
      <c r="E459" s="18">
        <f>VLOOKUP(2480,季財報!A:H,5)</f>
        <v>1</v>
      </c>
      <c r="F459" s="18">
        <f>VLOOKUP(2480,季財報!A:H,6)</f>
        <v>1</v>
      </c>
      <c r="G459" s="18">
        <f>VLOOKUP(2480,季財報!A:H,7)</f>
        <v>0</v>
      </c>
      <c r="N459" s="20">
        <f t="shared" si="7"/>
        <v>3</v>
      </c>
    </row>
    <row r="460" spans="1:19">
      <c r="A460" s="308" t="str">
        <f>HYPERLINK("http://www.wantgoo.com/stock/chart.aspx?stockno=2231","2231")</f>
        <v>2231</v>
      </c>
      <c r="C460" s="18">
        <f>VLOOKUP(2231,季財報!A:H,3)</f>
        <v>1</v>
      </c>
      <c r="D460" s="18">
        <f>VLOOKUP(2231,季財報!A:H,4)</f>
        <v>1</v>
      </c>
      <c r="E460" s="18">
        <f>VLOOKUP(2231,季財報!A:H,5)</f>
        <v>1</v>
      </c>
      <c r="F460" s="18">
        <f>VLOOKUP(2231,季財報!A:H,6)</f>
        <v>1</v>
      </c>
      <c r="G460" s="18">
        <f>VLOOKUP(2231,季財報!A:H,7)</f>
        <v>0</v>
      </c>
      <c r="N460" s="20">
        <f t="shared" si="7"/>
        <v>4</v>
      </c>
    </row>
    <row r="461" spans="1:19" s="317" customFormat="1">
      <c r="A461" s="309" t="str">
        <f>HYPERLINK("http://www.wantgoo.com/stock/chart.aspx?stockno=3044","3044")</f>
        <v>3044</v>
      </c>
      <c r="B461" s="310"/>
      <c r="C461" s="311">
        <f>VLOOKUP(3044,季財報!A:H,3)</f>
        <v>1</v>
      </c>
      <c r="D461" s="311">
        <f>VLOOKUP(3044,季財報!A:H,4)</f>
        <v>1</v>
      </c>
      <c r="E461" s="311">
        <f>VLOOKUP(3044,季財報!A:H,5)</f>
        <v>2</v>
      </c>
      <c r="F461" s="311">
        <f>VLOOKUP(3044,季財報!A:H,6)</f>
        <v>1</v>
      </c>
      <c r="G461" s="311">
        <f>VLOOKUP(3044,季財報!A:H,7)</f>
        <v>0</v>
      </c>
      <c r="H461" s="312"/>
      <c r="I461" s="312"/>
      <c r="J461" s="312"/>
      <c r="K461" s="312"/>
      <c r="L461" s="312"/>
      <c r="M461" s="313"/>
      <c r="N461" s="312">
        <f t="shared" si="7"/>
        <v>5</v>
      </c>
      <c r="O461" s="314"/>
      <c r="P461" s="314"/>
      <c r="Q461" s="314"/>
      <c r="R461" s="314"/>
      <c r="S461" s="315"/>
    </row>
    <row r="462" spans="1:19">
      <c r="A462" s="308" t="str">
        <f>HYPERLINK("http://www.wantgoo.com/stock/chart.aspx?stockno=2456","2456")</f>
        <v>2456</v>
      </c>
      <c r="C462" s="18">
        <f>VLOOKUP(2456,季財報!A:H,3)</f>
        <v>1</v>
      </c>
      <c r="D462" s="18">
        <f>VLOOKUP(2456,季財報!A:H,4)</f>
        <v>1</v>
      </c>
      <c r="E462" s="18">
        <f>VLOOKUP(2456,季財報!A:H,5)</f>
        <v>0</v>
      </c>
      <c r="F462" s="18">
        <f>VLOOKUP(2456,季財報!A:H,6)</f>
        <v>1</v>
      </c>
      <c r="G462" s="18">
        <f>VLOOKUP(2456,季財報!A:H,7)</f>
        <v>1</v>
      </c>
      <c r="N462" s="20">
        <f t="shared" si="7"/>
        <v>4</v>
      </c>
    </row>
    <row r="463" spans="1:19">
      <c r="A463" s="307" t="str">
        <f>HYPERLINK("http://www.wantgoo.com/stock/chart.aspx?stockno=2233","2233")</f>
        <v>2233</v>
      </c>
      <c r="C463" s="18">
        <f>VLOOKUP(2233,季財報!A:H,3)</f>
        <v>0</v>
      </c>
      <c r="D463" s="18">
        <f>VLOOKUP(2233,季財報!A:H,4)</f>
        <v>1</v>
      </c>
      <c r="E463" s="18">
        <f>VLOOKUP(2233,季財報!A:H,5)</f>
        <v>0</v>
      </c>
      <c r="F463" s="18">
        <f>VLOOKUP(2233,季財報!A:H,6)</f>
        <v>0</v>
      </c>
      <c r="G463" s="18">
        <f>VLOOKUP(2233,季財報!A:H,7)</f>
        <v>0</v>
      </c>
      <c r="N463" s="20">
        <f t="shared" si="7"/>
        <v>1</v>
      </c>
    </row>
    <row r="464" spans="1:19">
      <c r="A464" s="308" t="str">
        <f>HYPERLINK("http://www.wantgoo.com/stock/chart.aspx?stockno=8437","8437")</f>
        <v>8437</v>
      </c>
      <c r="C464" s="18">
        <f>VLOOKUP(8437,季財報!A:H,3)</f>
        <v>1</v>
      </c>
      <c r="D464" s="18">
        <f>VLOOKUP(8437,季財報!A:H,4)</f>
        <v>1</v>
      </c>
      <c r="E464" s="18">
        <f>VLOOKUP(8437,季財報!A:H,5)</f>
        <v>1</v>
      </c>
      <c r="F464" s="18">
        <f>VLOOKUP(8437,季財報!A:H,6)</f>
        <v>1</v>
      </c>
      <c r="G464" s="18">
        <f>VLOOKUP(8437,季財報!A:H,7)</f>
        <v>1</v>
      </c>
      <c r="N464" s="20">
        <f t="shared" si="7"/>
        <v>5</v>
      </c>
    </row>
    <row r="465" spans="1:19">
      <c r="A465" s="307" t="str">
        <f>HYPERLINK("http://www.wantgoo.com/stock/chart.aspx?stockno=2707","2707")</f>
        <v>2707</v>
      </c>
      <c r="C465" s="18">
        <f>VLOOKUP(2707,季財報!A:H,3)</f>
        <v>0</v>
      </c>
      <c r="D465" s="18">
        <f>VLOOKUP(2707,季財報!A:H,4)</f>
        <v>0</v>
      </c>
      <c r="E465" s="18">
        <f>VLOOKUP(2707,季財報!A:H,5)</f>
        <v>0</v>
      </c>
      <c r="F465" s="18">
        <f>VLOOKUP(2707,季財報!A:H,6)</f>
        <v>1</v>
      </c>
      <c r="G465" s="18">
        <f>VLOOKUP(2707,季財報!A:H,7)</f>
        <v>0</v>
      </c>
      <c r="N465" s="20">
        <f t="shared" si="7"/>
        <v>1</v>
      </c>
    </row>
    <row r="466" spans="1:19">
      <c r="A466" s="307" t="str">
        <f>HYPERLINK("http://www.wantgoo.com/stock/chart.aspx?stockno=2376","2376")</f>
        <v>2376</v>
      </c>
      <c r="C466" s="18">
        <f>VLOOKUP(2376,季財報!A:H,3)</f>
        <v>1</v>
      </c>
      <c r="D466" s="18">
        <f>VLOOKUP(2376,季財報!A:H,4)</f>
        <v>1</v>
      </c>
      <c r="E466" s="18">
        <f>VLOOKUP(2376,季財報!A:H,5)</f>
        <v>2</v>
      </c>
      <c r="F466" s="18">
        <f>VLOOKUP(2376,季財報!A:H,6)</f>
        <v>0</v>
      </c>
      <c r="G466" s="18">
        <f>VLOOKUP(2376,季財報!A:H,7)</f>
        <v>0</v>
      </c>
      <c r="N466" s="20">
        <f t="shared" si="7"/>
        <v>4</v>
      </c>
    </row>
    <row r="467" spans="1:19">
      <c r="A467" s="308" t="str">
        <f>HYPERLINK("http://www.wantgoo.com/stock/chart.aspx?stockno=3226","3226")</f>
        <v>3226</v>
      </c>
      <c r="C467" s="18">
        <f>VLOOKUP(3226,季財報!A:H,3)</f>
        <v>1</v>
      </c>
      <c r="D467" s="18">
        <f>VLOOKUP(3226,季財報!A:H,4)</f>
        <v>1</v>
      </c>
      <c r="E467" s="18">
        <f>VLOOKUP(3226,季財報!A:H,5)</f>
        <v>0</v>
      </c>
      <c r="F467" s="18">
        <f>VLOOKUP(3226,季財報!A:H,6)</f>
        <v>1</v>
      </c>
      <c r="G467" s="18">
        <f>VLOOKUP(3226,季財報!A:H,7)</f>
        <v>0</v>
      </c>
      <c r="N467" s="20">
        <f t="shared" si="7"/>
        <v>3</v>
      </c>
    </row>
    <row r="468" spans="1:19">
      <c r="A468" s="307" t="str">
        <f>HYPERLINK("http://www.wantgoo.com/stock/chart.aspx?stockno=3297","3297")</f>
        <v>3297</v>
      </c>
      <c r="C468" s="18">
        <f>VLOOKUP(3297,季財報!A:H,3)</f>
        <v>0</v>
      </c>
      <c r="D468" s="18">
        <f>VLOOKUP(3297,季財報!A:H,4)</f>
        <v>1</v>
      </c>
      <c r="E468" s="18">
        <f>VLOOKUP(3297,季財報!A:H,5)</f>
        <v>0</v>
      </c>
      <c r="F468" s="18">
        <f>VLOOKUP(3297,季財報!A:H,6)</f>
        <v>0</v>
      </c>
      <c r="G468" s="18">
        <f>VLOOKUP(3297,季財報!A:H,7)</f>
        <v>0</v>
      </c>
      <c r="N468" s="20">
        <f t="shared" si="7"/>
        <v>1</v>
      </c>
    </row>
    <row r="469" spans="1:19">
      <c r="A469" s="308" t="str">
        <f>HYPERLINK("http://www.wantgoo.com/stock/chart.aspx?stockno=2373","2373")</f>
        <v>2373</v>
      </c>
      <c r="C469" s="18">
        <f>VLOOKUP(2373,季財報!A:H,3)</f>
        <v>0</v>
      </c>
      <c r="D469" s="18">
        <f>VLOOKUP(2373,季財報!A:H,4)</f>
        <v>1</v>
      </c>
      <c r="E469" s="18">
        <f>VLOOKUP(2373,季財報!A:H,5)</f>
        <v>0</v>
      </c>
      <c r="F469" s="18">
        <f>VLOOKUP(2373,季財報!A:H,6)</f>
        <v>0</v>
      </c>
      <c r="G469" s="18">
        <f>VLOOKUP(2373,季財報!A:H,7)</f>
        <v>0</v>
      </c>
      <c r="N469" s="20">
        <f t="shared" si="7"/>
        <v>1</v>
      </c>
    </row>
    <row r="470" spans="1:19">
      <c r="A470" s="307" t="str">
        <f>HYPERLINK("http://www.wantgoo.com/stock/chart.aspx?stockno=6230","6230")</f>
        <v>6230</v>
      </c>
      <c r="C470" s="18">
        <f>VLOOKUP(6230,季財報!A:H,3)</f>
        <v>1</v>
      </c>
      <c r="D470" s="18">
        <f>VLOOKUP(6230,季財報!A:H,4)</f>
        <v>1</v>
      </c>
      <c r="E470" s="18">
        <f>VLOOKUP(6230,季財報!A:H,5)</f>
        <v>1</v>
      </c>
      <c r="F470" s="18">
        <f>VLOOKUP(6230,季財報!A:H,6)</f>
        <v>1</v>
      </c>
      <c r="G470" s="18">
        <f>VLOOKUP(6230,季財報!A:H,7)</f>
        <v>0</v>
      </c>
      <c r="N470" s="20">
        <f t="shared" si="7"/>
        <v>4</v>
      </c>
    </row>
    <row r="471" spans="1:19">
      <c r="A471" s="308" t="str">
        <f>HYPERLINK("http://www.wantgoo.com/stock/chart.aspx?stockno=5536","5536")</f>
        <v>5536</v>
      </c>
      <c r="C471" s="18">
        <f>VLOOKUP(5536,季財報!A:H,3)</f>
        <v>0</v>
      </c>
      <c r="D471" s="18">
        <f>VLOOKUP(5536,季財報!A:H,4)</f>
        <v>1</v>
      </c>
      <c r="E471" s="18">
        <f>VLOOKUP(5536,季財報!A:H,5)</f>
        <v>0</v>
      </c>
      <c r="F471" s="18">
        <f>VLOOKUP(5536,季財報!A:H,6)</f>
        <v>1</v>
      </c>
      <c r="G471" s="18">
        <f>VLOOKUP(5536,季財報!A:H,7)</f>
        <v>0</v>
      </c>
      <c r="N471" s="20">
        <f t="shared" si="7"/>
        <v>2</v>
      </c>
    </row>
    <row r="472" spans="1:19">
      <c r="A472" s="307" t="str">
        <f>HYPERLINK("http://www.wantgoo.com/stock/chart.aspx?stockno=5007","5007")</f>
        <v>5007</v>
      </c>
      <c r="C472" s="18">
        <f>VLOOKUP(5007,季財報!A:H,3)</f>
        <v>0</v>
      </c>
      <c r="D472" s="18">
        <f>VLOOKUP(5007,季財報!A:H,4)</f>
        <v>1</v>
      </c>
      <c r="E472" s="18">
        <f>VLOOKUP(5007,季財報!A:H,5)</f>
        <v>0</v>
      </c>
      <c r="F472" s="18">
        <f>VLOOKUP(5007,季財報!A:H,6)</f>
        <v>1</v>
      </c>
      <c r="G472" s="18">
        <f>VLOOKUP(5007,季財報!A:H,7)</f>
        <v>0</v>
      </c>
      <c r="N472" s="20">
        <f t="shared" si="7"/>
        <v>2</v>
      </c>
    </row>
    <row r="473" spans="1:19">
      <c r="A473" s="308" t="str">
        <f>HYPERLINK("http://www.wantgoo.com/stock/chart.aspx?stockno=1733","1733")</f>
        <v>1733</v>
      </c>
      <c r="C473" s="18">
        <f>VLOOKUP(1733,季財報!A:H,3)</f>
        <v>1</v>
      </c>
      <c r="D473" s="18">
        <f>VLOOKUP(1733,季財報!A:H,4)</f>
        <v>1</v>
      </c>
      <c r="E473" s="18">
        <f>VLOOKUP(1733,季財報!A:H,5)</f>
        <v>2</v>
      </c>
      <c r="F473" s="18">
        <f>VLOOKUP(1733,季財報!A:H,6)</f>
        <v>0</v>
      </c>
      <c r="G473" s="18">
        <f>VLOOKUP(1733,季財報!A:H,7)</f>
        <v>0</v>
      </c>
      <c r="N473" s="20">
        <f t="shared" si="7"/>
        <v>4</v>
      </c>
    </row>
    <row r="474" spans="1:19">
      <c r="A474" s="308" t="str">
        <f>HYPERLINK("http://www.wantgoo.com/stock/chart.aspx?stockno=6227","6227")</f>
        <v>6227</v>
      </c>
      <c r="C474" s="18">
        <f>VLOOKUP(6227,季財報!A:H,3)</f>
        <v>0</v>
      </c>
      <c r="D474" s="18">
        <f>VLOOKUP(6227,季財報!A:H,4)</f>
        <v>1</v>
      </c>
      <c r="E474" s="18">
        <f>VLOOKUP(6227,季財報!A:H,5)</f>
        <v>0</v>
      </c>
      <c r="F474" s="18">
        <f>VLOOKUP(6227,季財報!A:H,6)</f>
        <v>0</v>
      </c>
      <c r="G474" s="18">
        <f>VLOOKUP(6227,季財報!A:H,7)</f>
        <v>1</v>
      </c>
      <c r="N474" s="20">
        <f t="shared" si="7"/>
        <v>2</v>
      </c>
    </row>
    <row r="475" spans="1:19">
      <c r="A475" s="308" t="str">
        <f>HYPERLINK("http://www.wantgoo.com/stock/chart.aspx?stockno=3567","3567")</f>
        <v>3567</v>
      </c>
      <c r="C475" s="18">
        <f>VLOOKUP(3567,季財報!A:H,3)</f>
        <v>0</v>
      </c>
      <c r="D475" s="18">
        <f>VLOOKUP(3567,季財報!A:H,4)</f>
        <v>1</v>
      </c>
      <c r="E475" s="18">
        <f>VLOOKUP(3567,季財報!A:H,5)</f>
        <v>1</v>
      </c>
      <c r="F475" s="18">
        <f>VLOOKUP(3567,季財報!A:H,6)</f>
        <v>1</v>
      </c>
      <c r="G475" s="18">
        <f>VLOOKUP(3567,季財報!A:H,7)</f>
        <v>0</v>
      </c>
      <c r="N475" s="20">
        <f t="shared" si="7"/>
        <v>3</v>
      </c>
    </row>
    <row r="476" spans="1:19">
      <c r="A476" s="307" t="str">
        <f>HYPERLINK("http://www.wantgoo.com/stock/chart.aspx?stockno=3492","3492")</f>
        <v>3492</v>
      </c>
      <c r="C476" s="18">
        <f>VLOOKUP(3492,季財報!A:H,3)</f>
        <v>1</v>
      </c>
      <c r="D476" s="18">
        <f>VLOOKUP(3492,季財報!A:H,4)</f>
        <v>1</v>
      </c>
      <c r="E476" s="18">
        <f>VLOOKUP(3492,季財報!A:H,5)</f>
        <v>0</v>
      </c>
      <c r="F476" s="18">
        <f>VLOOKUP(3492,季財報!A:H,6)</f>
        <v>1</v>
      </c>
      <c r="G476" s="18">
        <f>VLOOKUP(3492,季財報!A:H,7)</f>
        <v>1</v>
      </c>
      <c r="N476" s="20">
        <f t="shared" si="7"/>
        <v>4</v>
      </c>
    </row>
    <row r="477" spans="1:19">
      <c r="A477" s="308" t="str">
        <f>HYPERLINK("http://www.wantgoo.com/stock/chart.aspx?stockno=1525","1525")</f>
        <v>1525</v>
      </c>
      <c r="C477" s="18">
        <f>VLOOKUP(1525,季財報!A:H,3)</f>
        <v>0</v>
      </c>
      <c r="D477" s="18">
        <f>VLOOKUP(1525,季財報!A:H,4)</f>
        <v>1</v>
      </c>
      <c r="E477" s="18">
        <f>VLOOKUP(1525,季財報!A:H,5)</f>
        <v>0</v>
      </c>
      <c r="F477" s="18">
        <f>VLOOKUP(1525,季財報!A:H,6)</f>
        <v>0</v>
      </c>
      <c r="G477" s="18">
        <f>VLOOKUP(1525,季財報!A:H,7)</f>
        <v>0</v>
      </c>
      <c r="N477" s="20">
        <f t="shared" si="7"/>
        <v>1</v>
      </c>
    </row>
    <row r="478" spans="1:19">
      <c r="A478" s="308" t="str">
        <f>HYPERLINK("http://www.wantgoo.com/stock/chart.aspx?stockno=8072","8072")</f>
        <v>8072</v>
      </c>
      <c r="C478" s="18">
        <f>VLOOKUP(8072,季財報!A:H,3)</f>
        <v>0</v>
      </c>
      <c r="D478" s="18">
        <f>VLOOKUP(8072,季財報!A:H,4)</f>
        <v>1</v>
      </c>
      <c r="E478" s="18">
        <f>VLOOKUP(8072,季財報!A:H,5)</f>
        <v>0</v>
      </c>
      <c r="F478" s="18">
        <f>VLOOKUP(8072,季財報!A:H,6)</f>
        <v>1</v>
      </c>
      <c r="G478" s="18">
        <f>VLOOKUP(8072,季財報!A:H,7)</f>
        <v>0</v>
      </c>
      <c r="N478" s="20">
        <f t="shared" si="7"/>
        <v>2</v>
      </c>
    </row>
    <row r="479" spans="1:19" s="317" customFormat="1">
      <c r="A479" s="309" t="str">
        <f>HYPERLINK("http://www.wantgoo.com/stock/chart.aspx?stockno=1788","1788")</f>
        <v>1788</v>
      </c>
      <c r="B479" s="310"/>
      <c r="C479" s="311">
        <f>VLOOKUP(1788,季財報!A:H,3)</f>
        <v>0</v>
      </c>
      <c r="D479" s="311">
        <f>VLOOKUP(1788,季財報!A:H,4)</f>
        <v>0</v>
      </c>
      <c r="E479" s="311">
        <f>VLOOKUP(1788,季財報!A:H,5)</f>
        <v>0</v>
      </c>
      <c r="F479" s="311">
        <f>VLOOKUP(1788,季財報!A:H,6)</f>
        <v>1</v>
      </c>
      <c r="G479" s="311">
        <f>VLOOKUP(1788,季財報!A:H,7)</f>
        <v>0</v>
      </c>
      <c r="H479" s="312"/>
      <c r="I479" s="312"/>
      <c r="J479" s="312"/>
      <c r="K479" s="312"/>
      <c r="L479" s="312"/>
      <c r="M479" s="313"/>
      <c r="N479" s="312">
        <f t="shared" si="7"/>
        <v>1</v>
      </c>
      <c r="O479" s="314"/>
      <c r="P479" s="314"/>
      <c r="Q479" s="314"/>
      <c r="R479" s="314"/>
      <c r="S479" s="315"/>
    </row>
    <row r="480" spans="1:19">
      <c r="A480" s="308" t="str">
        <f>HYPERLINK("http://www.wantgoo.com/stock/chart.aspx?stockno=5274","5274")</f>
        <v>5274</v>
      </c>
      <c r="C480" s="18">
        <f>VLOOKUP(5274,季財報!A:H,3)</f>
        <v>1</v>
      </c>
      <c r="D480" s="18">
        <f>VLOOKUP(5274,季財報!A:H,4)</f>
        <v>1</v>
      </c>
      <c r="E480" s="18">
        <f>VLOOKUP(5274,季財報!A:H,5)</f>
        <v>2</v>
      </c>
      <c r="F480" s="18">
        <f>VLOOKUP(5274,季財報!A:H,6)</f>
        <v>1</v>
      </c>
      <c r="G480" s="18">
        <f>VLOOKUP(5274,季財報!A:H,7)</f>
        <v>1</v>
      </c>
      <c r="N480" s="20">
        <f t="shared" si="7"/>
        <v>6</v>
      </c>
    </row>
    <row r="481" spans="1:19">
      <c r="A481" s="307" t="str">
        <f>HYPERLINK("http://www.wantgoo.com/stock/chart.aspx?stockno=8287","8287")</f>
        <v>8287</v>
      </c>
      <c r="C481" s="18">
        <f>VLOOKUP(8287,季財報!A:H,3)</f>
        <v>0</v>
      </c>
      <c r="D481" s="18">
        <f>VLOOKUP(8287,季財報!A:H,4)</f>
        <v>1</v>
      </c>
      <c r="E481" s="18">
        <f>VLOOKUP(8287,季財報!A:H,5)</f>
        <v>1</v>
      </c>
      <c r="F481" s="18">
        <f>VLOOKUP(8287,季財報!A:H,6)</f>
        <v>0</v>
      </c>
      <c r="G481" s="18">
        <f>VLOOKUP(8287,季財報!A:H,7)</f>
        <v>0</v>
      </c>
      <c r="N481" s="20">
        <f t="shared" si="7"/>
        <v>2</v>
      </c>
    </row>
    <row r="482" spans="1:19">
      <c r="A482" s="307" t="str">
        <f>HYPERLINK("http://www.wantgoo.com/stock/chart.aspx?stockno=3658","3658")</f>
        <v>3658</v>
      </c>
      <c r="C482" s="18">
        <f>VLOOKUP(3658,季財報!A:H,3)</f>
        <v>0</v>
      </c>
      <c r="D482" s="18">
        <f>VLOOKUP(3658,季財報!A:H,4)</f>
        <v>1</v>
      </c>
      <c r="E482" s="18">
        <f>VLOOKUP(3658,季財報!A:H,5)</f>
        <v>0</v>
      </c>
      <c r="F482" s="18">
        <f>VLOOKUP(3658,季財報!A:H,6)</f>
        <v>1</v>
      </c>
      <c r="G482" s="18">
        <f>VLOOKUP(3658,季財報!A:H,7)</f>
        <v>0</v>
      </c>
      <c r="N482" s="20">
        <f t="shared" si="7"/>
        <v>2</v>
      </c>
    </row>
    <row r="483" spans="1:19">
      <c r="A483" s="308" t="str">
        <f>HYPERLINK("http://www.wantgoo.com/stock/chart.aspx?stockno=9910","9910")</f>
        <v>9910</v>
      </c>
      <c r="C483" s="18">
        <f>VLOOKUP(9910,季財報!A:H,3)</f>
        <v>1</v>
      </c>
      <c r="D483" s="18">
        <f>VLOOKUP(9910,季財報!A:H,4)</f>
        <v>1</v>
      </c>
      <c r="E483" s="18">
        <f>VLOOKUP(9910,季財報!A:H,5)</f>
        <v>2</v>
      </c>
      <c r="F483" s="18">
        <f>VLOOKUP(9910,季財報!A:H,6)</f>
        <v>1</v>
      </c>
      <c r="G483" s="18">
        <f>VLOOKUP(9910,季財報!A:H,7)</f>
        <v>1</v>
      </c>
      <c r="N483" s="20">
        <f t="shared" si="7"/>
        <v>6</v>
      </c>
    </row>
    <row r="484" spans="1:19">
      <c r="A484" s="307" t="str">
        <f>HYPERLINK("http://www.wantgoo.com/stock/chart.aspx?stockno=1410","1410")</f>
        <v>1410</v>
      </c>
      <c r="C484" s="18">
        <f>VLOOKUP(1410,季財報!A:H,3)</f>
        <v>0</v>
      </c>
      <c r="D484" s="18">
        <f>VLOOKUP(1410,季財報!A:H,4)</f>
        <v>1</v>
      </c>
      <c r="E484" s="18">
        <f>VLOOKUP(1410,季財報!A:H,5)</f>
        <v>0</v>
      </c>
      <c r="F484" s="18">
        <f>VLOOKUP(1410,季財報!A:H,6)</f>
        <v>1</v>
      </c>
      <c r="G484" s="18">
        <f>VLOOKUP(1410,季財報!A:H,7)</f>
        <v>0</v>
      </c>
      <c r="N484" s="20">
        <f t="shared" si="7"/>
        <v>2</v>
      </c>
    </row>
    <row r="485" spans="1:19">
      <c r="A485" s="308" t="str">
        <f>HYPERLINK("http://www.wantgoo.com/stock/chart.aspx?stockno=1454","1454")</f>
        <v>1454</v>
      </c>
      <c r="C485" s="18">
        <f>VLOOKUP(1454,季財報!A:H,3)</f>
        <v>0</v>
      </c>
      <c r="D485" s="18">
        <f>VLOOKUP(1454,季財報!A:H,4)</f>
        <v>0</v>
      </c>
      <c r="E485" s="18">
        <f>VLOOKUP(1454,季財報!A:H,5)</f>
        <v>0</v>
      </c>
      <c r="F485" s="18">
        <f>VLOOKUP(1454,季財報!A:H,6)</f>
        <v>1</v>
      </c>
      <c r="G485" s="18">
        <f>VLOOKUP(1454,季財報!A:H,7)</f>
        <v>0</v>
      </c>
      <c r="N485" s="20">
        <f t="shared" si="7"/>
        <v>1</v>
      </c>
    </row>
    <row r="486" spans="1:19">
      <c r="A486" s="307" t="str">
        <f>HYPERLINK("http://www.wantgoo.com/stock/chart.aspx?stockno=2423","2423")</f>
        <v>2423</v>
      </c>
      <c r="C486" s="18">
        <f>VLOOKUP(2423,季財報!A:H,3)</f>
        <v>0</v>
      </c>
      <c r="D486" s="18">
        <f>VLOOKUP(2423,季財報!A:H,4)</f>
        <v>1</v>
      </c>
      <c r="E486" s="18">
        <f>VLOOKUP(2423,季財報!A:H,5)</f>
        <v>0</v>
      </c>
      <c r="F486" s="18">
        <f>VLOOKUP(2423,季財報!A:H,6)</f>
        <v>1</v>
      </c>
      <c r="G486" s="18">
        <f>VLOOKUP(2423,季財報!A:H,7)</f>
        <v>0</v>
      </c>
      <c r="N486" s="20">
        <f t="shared" si="7"/>
        <v>2</v>
      </c>
    </row>
    <row r="487" spans="1:19">
      <c r="A487" s="308" t="str">
        <f>HYPERLINK("http://www.wantgoo.com/stock/chart.aspx?stockno=5209","5209")</f>
        <v>5209</v>
      </c>
      <c r="C487" s="18">
        <f>VLOOKUP(5209,季財報!A:H,3)</f>
        <v>1</v>
      </c>
      <c r="D487" s="18">
        <f>VLOOKUP(5209,季財報!A:H,4)</f>
        <v>1</v>
      </c>
      <c r="E487" s="18">
        <f>VLOOKUP(5209,季財報!A:H,5)</f>
        <v>1</v>
      </c>
      <c r="F487" s="18">
        <f>VLOOKUP(5209,季財報!A:H,6)</f>
        <v>0</v>
      </c>
      <c r="G487" s="18">
        <f>VLOOKUP(5209,季財報!A:H,7)</f>
        <v>0</v>
      </c>
      <c r="N487" s="20">
        <f t="shared" si="7"/>
        <v>3</v>
      </c>
    </row>
    <row r="488" spans="1:19">
      <c r="A488" s="307" t="str">
        <f>HYPERLINK("http://www.wantgoo.com/stock/chart.aspx?stockno=4549","4549")</f>
        <v>4549</v>
      </c>
      <c r="C488" s="18">
        <f>VLOOKUP(4549,季財報!A:H,3)</f>
        <v>0</v>
      </c>
      <c r="D488" s="18">
        <f>VLOOKUP(4549,季財報!A:H,4)</f>
        <v>1</v>
      </c>
      <c r="E488" s="18">
        <f>VLOOKUP(4549,季財報!A:H,5)</f>
        <v>2</v>
      </c>
      <c r="F488" s="18">
        <f>VLOOKUP(4549,季財報!A:H,6)</f>
        <v>1</v>
      </c>
      <c r="G488" s="18">
        <f>VLOOKUP(4549,季財報!A:H,7)</f>
        <v>0</v>
      </c>
      <c r="N488" s="20">
        <f t="shared" si="7"/>
        <v>4</v>
      </c>
    </row>
    <row r="489" spans="1:19">
      <c r="A489" s="308" t="str">
        <f>HYPERLINK("http://www.wantgoo.com/stock/chart.aspx?stockno=6508","6508")</f>
        <v>6508</v>
      </c>
      <c r="C489" s="18">
        <f>VLOOKUP(6508,季財報!A:H,3)</f>
        <v>0</v>
      </c>
      <c r="D489" s="18">
        <f>VLOOKUP(6508,季財報!A:H,4)</f>
        <v>1</v>
      </c>
      <c r="E489" s="18">
        <f>VLOOKUP(6508,季財報!A:H,5)</f>
        <v>0</v>
      </c>
      <c r="F489" s="18">
        <f>VLOOKUP(6508,季財報!A:H,6)</f>
        <v>0</v>
      </c>
      <c r="G489" s="18">
        <f>VLOOKUP(6508,季財報!A:H,7)</f>
        <v>0</v>
      </c>
      <c r="N489" s="20">
        <f t="shared" si="7"/>
        <v>1</v>
      </c>
    </row>
    <row r="490" spans="1:19">
      <c r="A490" s="307" t="str">
        <f>HYPERLINK("http://www.wantgoo.com/stock/chart.aspx?stockno=3581","3581")</f>
        <v>3581</v>
      </c>
      <c r="C490" s="18">
        <f>VLOOKUP(3581,季財報!A:H,3)</f>
        <v>0</v>
      </c>
      <c r="D490" s="18">
        <f>VLOOKUP(3581,季財報!A:H,4)</f>
        <v>1</v>
      </c>
      <c r="E490" s="18">
        <f>VLOOKUP(3581,季財報!A:H,5)</f>
        <v>0</v>
      </c>
      <c r="F490" s="18">
        <f>VLOOKUP(3581,季財報!A:H,6)</f>
        <v>1</v>
      </c>
      <c r="G490" s="18">
        <f>VLOOKUP(3581,季財報!A:H,7)</f>
        <v>1</v>
      </c>
      <c r="N490" s="20">
        <f t="shared" si="7"/>
        <v>3</v>
      </c>
    </row>
    <row r="491" spans="1:19">
      <c r="A491" s="307" t="str">
        <f>HYPERLINK("http://www.wantgoo.com/stock/chart.aspx?stockno=6409","6409")</f>
        <v>6409</v>
      </c>
      <c r="C491" s="18">
        <f>VLOOKUP(6409,季財報!A:H,3)</f>
        <v>1</v>
      </c>
      <c r="D491" s="18">
        <f>VLOOKUP(6409,季財報!A:H,4)</f>
        <v>1</v>
      </c>
      <c r="E491" s="18">
        <f>VLOOKUP(6409,季財報!A:H,5)</f>
        <v>0</v>
      </c>
      <c r="F491" s="18">
        <f>VLOOKUP(6409,季財報!A:H,6)</f>
        <v>1</v>
      </c>
      <c r="G491" s="18">
        <f>VLOOKUP(6409,季財報!A:H,7)</f>
        <v>0</v>
      </c>
      <c r="N491" s="20">
        <f t="shared" si="7"/>
        <v>3</v>
      </c>
    </row>
    <row r="492" spans="1:19">
      <c r="A492" s="307" t="str">
        <f>HYPERLINK("http://www.wantgoo.com/stock/chart.aspx?stockno=4903","4903")</f>
        <v>4903</v>
      </c>
      <c r="C492" s="18">
        <f>VLOOKUP(4903,季財報!A:H,3)</f>
        <v>0</v>
      </c>
      <c r="D492" s="18">
        <f>VLOOKUP(4903,季財報!A:H,4)</f>
        <v>1</v>
      </c>
      <c r="E492" s="18">
        <f>VLOOKUP(4903,季財報!A:H,5)</f>
        <v>1</v>
      </c>
      <c r="F492" s="18">
        <f>VLOOKUP(4903,季財報!A:H,6)</f>
        <v>0</v>
      </c>
      <c r="G492" s="18">
        <f>VLOOKUP(4903,季財報!A:H,7)</f>
        <v>0</v>
      </c>
      <c r="N492" s="20">
        <f t="shared" si="7"/>
        <v>2</v>
      </c>
    </row>
    <row r="493" spans="1:19">
      <c r="A493" s="307" t="str">
        <f>HYPERLINK("http://www.wantgoo.com/stock/chart.aspx?stockno=3013","3013")</f>
        <v>3013</v>
      </c>
      <c r="C493" s="18">
        <f>VLOOKUP(3013,季財報!A:H,3)</f>
        <v>0</v>
      </c>
      <c r="D493" s="18">
        <f>VLOOKUP(3013,季財報!A:H,4)</f>
        <v>1</v>
      </c>
      <c r="E493" s="18">
        <f>VLOOKUP(3013,季財報!A:H,5)</f>
        <v>0</v>
      </c>
      <c r="F493" s="18">
        <f>VLOOKUP(3013,季財報!A:H,6)</f>
        <v>1</v>
      </c>
      <c r="G493" s="18">
        <f>VLOOKUP(3013,季財報!A:H,7)</f>
        <v>0</v>
      </c>
      <c r="N493" s="20">
        <f t="shared" si="7"/>
        <v>2</v>
      </c>
    </row>
    <row r="494" spans="1:19" s="317" customFormat="1">
      <c r="A494" s="309" t="str">
        <f>HYPERLINK("http://www.wantgoo.com/stock/chart.aspx?stockno=1227","1227")</f>
        <v>1227</v>
      </c>
      <c r="B494" s="310"/>
      <c r="C494" s="311">
        <f>VLOOKUP(1227,季財報!A:H,3)</f>
        <v>0</v>
      </c>
      <c r="D494" s="311">
        <f>VLOOKUP(1227,季財報!A:H,4)</f>
        <v>1</v>
      </c>
      <c r="E494" s="311">
        <f>VLOOKUP(1227,季財報!A:H,5)</f>
        <v>2</v>
      </c>
      <c r="F494" s="311">
        <f>VLOOKUP(1227,季財報!A:H,6)</f>
        <v>1</v>
      </c>
      <c r="G494" s="311">
        <f>VLOOKUP(1227,季財報!A:H,7)</f>
        <v>0</v>
      </c>
      <c r="H494" s="312"/>
      <c r="I494" s="312"/>
      <c r="J494" s="312"/>
      <c r="K494" s="312"/>
      <c r="L494" s="312"/>
      <c r="M494" s="313"/>
      <c r="N494" s="312">
        <f t="shared" si="7"/>
        <v>4</v>
      </c>
      <c r="O494" s="314"/>
      <c r="P494" s="314"/>
      <c r="Q494" s="314"/>
      <c r="R494" s="314"/>
      <c r="S494" s="315"/>
    </row>
    <row r="495" spans="1:19">
      <c r="A495" s="308" t="str">
        <f>HYPERLINK("http://www.wantgoo.com/stock/chart.aspx?stockno=2235","2235")</f>
        <v>2235</v>
      </c>
      <c r="C495" s="18">
        <f>VLOOKUP(2235,季財報!A:H,3)</f>
        <v>1</v>
      </c>
      <c r="D495" s="18">
        <f>VLOOKUP(2235,季財報!A:H,4)</f>
        <v>1</v>
      </c>
      <c r="E495" s="18">
        <f>VLOOKUP(2235,季財報!A:H,5)</f>
        <v>1</v>
      </c>
      <c r="F495" s="18">
        <f>VLOOKUP(2235,季財報!A:H,6)</f>
        <v>0</v>
      </c>
      <c r="G495" s="18">
        <f>VLOOKUP(2235,季財報!A:H,7)</f>
        <v>0</v>
      </c>
      <c r="N495" s="20">
        <f t="shared" si="7"/>
        <v>3</v>
      </c>
    </row>
    <row r="496" spans="1:19">
      <c r="A496" s="307" t="str">
        <f>HYPERLINK("http://www.wantgoo.com/stock/chart.aspx?stockno=6415","6415")</f>
        <v>6415</v>
      </c>
      <c r="C496" s="18">
        <f>VLOOKUP(6415,季財報!A:H,3)</f>
        <v>0</v>
      </c>
      <c r="D496" s="18">
        <f>VLOOKUP(6415,季財報!A:H,4)</f>
        <v>1</v>
      </c>
      <c r="E496" s="18">
        <f>VLOOKUP(6415,季財報!A:H,5)</f>
        <v>0</v>
      </c>
      <c r="F496" s="18">
        <f>VLOOKUP(6415,季財報!A:H,6)</f>
        <v>1</v>
      </c>
      <c r="G496" s="18">
        <f>VLOOKUP(6415,季財報!A:H,7)</f>
        <v>0</v>
      </c>
      <c r="N496" s="20">
        <f t="shared" si="7"/>
        <v>2</v>
      </c>
    </row>
    <row r="497" spans="1:19" s="317" customFormat="1">
      <c r="A497" s="309" t="str">
        <f>HYPERLINK("http://www.wantgoo.com/stock/chart.aspx?stockno=6238","6238")</f>
        <v>6238</v>
      </c>
      <c r="B497" s="310"/>
      <c r="C497" s="311">
        <f>VLOOKUP(6238,季財報!A:H,3)</f>
        <v>1</v>
      </c>
      <c r="D497" s="311">
        <f>VLOOKUP(6238,季財報!A:H,4)</f>
        <v>1</v>
      </c>
      <c r="E497" s="311">
        <f>VLOOKUP(6238,季財報!A:H,5)</f>
        <v>1</v>
      </c>
      <c r="F497" s="311">
        <f>VLOOKUP(6238,季財報!A:H,6)</f>
        <v>1</v>
      </c>
      <c r="G497" s="311">
        <f>VLOOKUP(6238,季財報!A:H,7)</f>
        <v>0</v>
      </c>
      <c r="H497" s="312"/>
      <c r="I497" s="312"/>
      <c r="J497" s="312"/>
      <c r="K497" s="312"/>
      <c r="L497" s="312"/>
      <c r="M497" s="313"/>
      <c r="N497" s="312">
        <f t="shared" si="7"/>
        <v>4</v>
      </c>
      <c r="O497" s="314"/>
      <c r="P497" s="314"/>
      <c r="Q497" s="314"/>
      <c r="R497" s="314"/>
      <c r="S497" s="315"/>
    </row>
    <row r="498" spans="1:19">
      <c r="A498" s="307" t="str">
        <f>HYPERLINK("http://www.wantgoo.com/stock/chart.aspx?stockno=6176","6176")</f>
        <v>6176</v>
      </c>
      <c r="C498" s="18">
        <f>VLOOKUP(6176,季財報!A:H,3)</f>
        <v>0</v>
      </c>
      <c r="D498" s="18">
        <f>VLOOKUP(6176,季財報!A:H,4)</f>
        <v>1</v>
      </c>
      <c r="E498" s="18">
        <f>VLOOKUP(6176,季財報!A:H,5)</f>
        <v>2</v>
      </c>
      <c r="F498" s="18">
        <f>VLOOKUP(6176,季財報!A:H,6)</f>
        <v>0</v>
      </c>
      <c r="G498" s="18">
        <f>VLOOKUP(6176,季財報!A:H,7)</f>
        <v>0</v>
      </c>
      <c r="N498" s="20">
        <f t="shared" si="7"/>
        <v>3</v>
      </c>
    </row>
    <row r="499" spans="1:19" s="317" customFormat="1">
      <c r="A499" s="309" t="str">
        <f>HYPERLINK("http://www.wantgoo.com/stock/chart.aspx?stockno=1476","1476")</f>
        <v>1476</v>
      </c>
      <c r="B499" s="310"/>
      <c r="C499" s="311">
        <f>VLOOKUP(1476,季財報!A:H,3)</f>
        <v>1</v>
      </c>
      <c r="D499" s="311">
        <f>VLOOKUP(1476,季財報!A:H,4)</f>
        <v>1</v>
      </c>
      <c r="E499" s="311">
        <f>VLOOKUP(1476,季財報!A:H,5)</f>
        <v>0</v>
      </c>
      <c r="F499" s="311">
        <f>VLOOKUP(1476,季財報!A:H,6)</f>
        <v>1</v>
      </c>
      <c r="G499" s="311">
        <f>VLOOKUP(1476,季財報!A:H,7)</f>
        <v>0</v>
      </c>
      <c r="H499" s="312"/>
      <c r="I499" s="312"/>
      <c r="J499" s="312"/>
      <c r="K499" s="312"/>
      <c r="L499" s="312"/>
      <c r="M499" s="313"/>
      <c r="N499" s="312">
        <f t="shared" si="7"/>
        <v>3</v>
      </c>
      <c r="O499" s="314"/>
      <c r="P499" s="314"/>
      <c r="Q499" s="314"/>
      <c r="R499" s="314"/>
      <c r="S499" s="315"/>
    </row>
    <row r="500" spans="1:19" s="317" customFormat="1">
      <c r="A500" s="309" t="str">
        <f>HYPERLINK("http://www.wantgoo.com/stock/chart.aspx?stockno=3045","3045")</f>
        <v>3045</v>
      </c>
      <c r="B500" s="310"/>
      <c r="C500" s="311">
        <f>VLOOKUP(3045,季財報!A:H,3)</f>
        <v>1</v>
      </c>
      <c r="D500" s="311">
        <f>VLOOKUP(3045,季財報!A:H,4)</f>
        <v>1</v>
      </c>
      <c r="E500" s="311">
        <f>VLOOKUP(3045,季財報!A:H,5)</f>
        <v>1</v>
      </c>
      <c r="F500" s="311">
        <f>VLOOKUP(3045,季財報!A:H,6)</f>
        <v>1</v>
      </c>
      <c r="G500" s="311">
        <f>VLOOKUP(3045,季財報!A:H,7)</f>
        <v>0</v>
      </c>
      <c r="H500" s="312"/>
      <c r="I500" s="312"/>
      <c r="J500" s="312"/>
      <c r="K500" s="312"/>
      <c r="L500" s="312"/>
      <c r="M500" s="313"/>
      <c r="N500" s="312">
        <f t="shared" si="7"/>
        <v>4</v>
      </c>
      <c r="O500" s="314"/>
      <c r="P500" s="314"/>
      <c r="Q500" s="314"/>
      <c r="R500" s="314"/>
      <c r="S500" s="315"/>
    </row>
    <row r="501" spans="1:19">
      <c r="A501" s="307" t="str">
        <f>HYPERLINK("http://www.wantgoo.com/stock/chart.aspx?stockno=5460","5460")</f>
        <v>5460</v>
      </c>
      <c r="C501" s="18">
        <f>VLOOKUP(5460,季財報!A:H,3)</f>
        <v>0</v>
      </c>
      <c r="D501" s="18">
        <f>VLOOKUP(5460,季財報!A:H,4)</f>
        <v>0</v>
      </c>
      <c r="E501" s="18">
        <f>VLOOKUP(5460,季財報!A:H,5)</f>
        <v>0</v>
      </c>
      <c r="F501" s="18">
        <f>VLOOKUP(5460,季財報!A:H,6)</f>
        <v>1</v>
      </c>
      <c r="G501" s="18">
        <f>VLOOKUP(5460,季財報!A:H,7)</f>
        <v>0</v>
      </c>
      <c r="N501" s="20">
        <f t="shared" si="7"/>
        <v>1</v>
      </c>
    </row>
    <row r="502" spans="1:19">
      <c r="A502" s="308" t="str">
        <f>HYPERLINK("http://www.wantgoo.com/stock/chart.aspx?stockno=2413","2413")</f>
        <v>2413</v>
      </c>
      <c r="C502" s="18">
        <f>VLOOKUP(2413,季財報!A:H,3)</f>
        <v>1</v>
      </c>
      <c r="D502" s="18">
        <f>VLOOKUP(2413,季財報!A:H,4)</f>
        <v>1</v>
      </c>
      <c r="E502" s="18">
        <f>VLOOKUP(2413,季財報!A:H,5)</f>
        <v>2</v>
      </c>
      <c r="F502" s="18">
        <f>VLOOKUP(2413,季財報!A:H,6)</f>
        <v>0</v>
      </c>
      <c r="G502" s="18">
        <f>VLOOKUP(2413,季財報!A:H,7)</f>
        <v>0</v>
      </c>
      <c r="N502" s="20">
        <f t="shared" si="7"/>
        <v>4</v>
      </c>
    </row>
    <row r="503" spans="1:19">
      <c r="A503" s="307" t="str">
        <f>HYPERLINK("http://www.wantgoo.com/stock/chart.aspx?stockno=2034","2034")</f>
        <v>2034</v>
      </c>
      <c r="C503" s="18">
        <f>VLOOKUP(2034,季財報!A:H,3)</f>
        <v>0</v>
      </c>
      <c r="D503" s="18">
        <f>VLOOKUP(2034,季財報!A:H,4)</f>
        <v>1</v>
      </c>
      <c r="E503" s="18">
        <f>VLOOKUP(2034,季財報!A:H,5)</f>
        <v>1</v>
      </c>
      <c r="F503" s="18">
        <f>VLOOKUP(2034,季財報!A:H,6)</f>
        <v>0</v>
      </c>
      <c r="G503" s="18">
        <f>VLOOKUP(2034,季財報!A:H,7)</f>
        <v>0</v>
      </c>
      <c r="N503" s="20">
        <f t="shared" si="7"/>
        <v>2</v>
      </c>
    </row>
    <row r="504" spans="1:19">
      <c r="A504" s="307" t="str">
        <f>HYPERLINK("http://www.wantgoo.com/stock/chart.aspx?stockno=4105","4105")</f>
        <v>4105</v>
      </c>
      <c r="C504" s="18">
        <f>VLOOKUP(4105,季財報!A:H,3)</f>
        <v>0</v>
      </c>
      <c r="D504" s="18">
        <f>VLOOKUP(4105,季財報!A:H,4)</f>
        <v>1</v>
      </c>
      <c r="E504" s="18">
        <f>VLOOKUP(4105,季財報!A:H,5)</f>
        <v>1</v>
      </c>
      <c r="F504" s="18">
        <f>VLOOKUP(4105,季財報!A:H,6)</f>
        <v>1</v>
      </c>
      <c r="G504" s="18">
        <f>VLOOKUP(4105,季財報!A:H,7)</f>
        <v>0</v>
      </c>
      <c r="N504" s="20">
        <f t="shared" si="7"/>
        <v>3</v>
      </c>
    </row>
    <row r="505" spans="1:19">
      <c r="A505" s="308" t="str">
        <f>HYPERLINK("http://www.wantgoo.com/stock/chart.aspx?stockno=4915","4915")</f>
        <v>4915</v>
      </c>
      <c r="C505" s="18">
        <f>VLOOKUP(4915,季財報!A:H,3)</f>
        <v>1</v>
      </c>
      <c r="D505" s="18">
        <f>VLOOKUP(4915,季財報!A:H,4)</f>
        <v>1</v>
      </c>
      <c r="E505" s="18">
        <f>VLOOKUP(4915,季財報!A:H,5)</f>
        <v>1</v>
      </c>
      <c r="F505" s="18">
        <f>VLOOKUP(4915,季財報!A:H,6)</f>
        <v>1</v>
      </c>
      <c r="G505" s="18">
        <f>VLOOKUP(4915,季財報!A:H,7)</f>
        <v>1</v>
      </c>
      <c r="N505" s="20">
        <f t="shared" si="7"/>
        <v>5</v>
      </c>
    </row>
    <row r="506" spans="1:19">
      <c r="A506" s="308" t="str">
        <f>HYPERLINK("http://www.wantgoo.com/stock/chart.aspx?stockno=6223","6223")</f>
        <v>6223</v>
      </c>
      <c r="C506" s="18">
        <f>VLOOKUP(6223,季財報!A:H,3)</f>
        <v>0</v>
      </c>
      <c r="D506" s="18">
        <f>VLOOKUP(6223,季財報!A:H,4)</f>
        <v>1</v>
      </c>
      <c r="E506" s="18">
        <f>VLOOKUP(6223,季財報!A:H,5)</f>
        <v>0</v>
      </c>
      <c r="F506" s="18">
        <f>VLOOKUP(6223,季財報!A:H,6)</f>
        <v>0</v>
      </c>
      <c r="G506" s="18">
        <f>VLOOKUP(6223,季財報!A:H,7)</f>
        <v>0</v>
      </c>
      <c r="N506" s="20">
        <f t="shared" si="7"/>
        <v>1</v>
      </c>
    </row>
    <row r="507" spans="1:19">
      <c r="A507" s="307" t="str">
        <f>HYPERLINK("http://www.wantgoo.com/stock/chart.aspx?stockno=2392","2392")</f>
        <v>2392</v>
      </c>
      <c r="C507" s="18">
        <f>VLOOKUP(2392,季財報!A:H,3)</f>
        <v>1</v>
      </c>
      <c r="D507" s="18">
        <f>VLOOKUP(2392,季財報!A:H,4)</f>
        <v>1</v>
      </c>
      <c r="E507" s="18">
        <f>VLOOKUP(2392,季財報!A:H,5)</f>
        <v>1</v>
      </c>
      <c r="F507" s="18">
        <f>VLOOKUP(2392,季財報!A:H,6)</f>
        <v>0</v>
      </c>
      <c r="G507" s="18">
        <f>VLOOKUP(2392,季財報!A:H,7)</f>
        <v>0</v>
      </c>
      <c r="N507" s="20">
        <f t="shared" si="7"/>
        <v>3</v>
      </c>
    </row>
    <row r="508" spans="1:19">
      <c r="A508" s="308" t="str">
        <f>HYPERLINK("http://www.wantgoo.com/stock/chart.aspx?stockno=5225","5225")</f>
        <v>5225</v>
      </c>
      <c r="C508" s="18">
        <f>VLOOKUP(5225,季財報!A:H,3)</f>
        <v>1</v>
      </c>
      <c r="D508" s="18">
        <f>VLOOKUP(5225,季財報!A:H,4)</f>
        <v>1</v>
      </c>
      <c r="E508" s="18">
        <f>VLOOKUP(5225,季財報!A:H,5)</f>
        <v>0</v>
      </c>
      <c r="F508" s="18">
        <f>VLOOKUP(5225,季財報!A:H,6)</f>
        <v>1</v>
      </c>
      <c r="G508" s="18">
        <f>VLOOKUP(5225,季財報!A:H,7)</f>
        <v>1</v>
      </c>
      <c r="N508" s="20">
        <f t="shared" si="7"/>
        <v>4</v>
      </c>
    </row>
    <row r="509" spans="1:19">
      <c r="A509" s="308" t="str">
        <f>HYPERLINK("http://www.wantgoo.com/stock/chart.aspx?stockno=8383","8383")</f>
        <v>8383</v>
      </c>
      <c r="C509" s="18">
        <f>VLOOKUP(8383,季財報!A:H,3)</f>
        <v>1</v>
      </c>
      <c r="D509" s="18">
        <f>VLOOKUP(8383,季財報!A:H,4)</f>
        <v>1</v>
      </c>
      <c r="E509" s="18">
        <f>VLOOKUP(8383,季財報!A:H,5)</f>
        <v>0</v>
      </c>
      <c r="F509" s="18">
        <f>VLOOKUP(8383,季財報!A:H,6)</f>
        <v>1</v>
      </c>
      <c r="G509" s="18">
        <f>VLOOKUP(8383,季財報!A:H,7)</f>
        <v>0</v>
      </c>
      <c r="N509" s="20">
        <f t="shared" si="7"/>
        <v>3</v>
      </c>
    </row>
    <row r="510" spans="1:19">
      <c r="A510" s="308" t="str">
        <f>HYPERLINK("http://www.wantgoo.com/stock/chart.aspx?stockno=4137","4137")</f>
        <v>4137</v>
      </c>
      <c r="C510" s="18">
        <f>VLOOKUP(4137,季財報!A:H,3)</f>
        <v>1</v>
      </c>
      <c r="D510" s="18">
        <f>VLOOKUP(4137,季財報!A:H,4)</f>
        <v>1</v>
      </c>
      <c r="E510" s="18">
        <f>VLOOKUP(4137,季財報!A:H,5)</f>
        <v>0</v>
      </c>
      <c r="F510" s="18">
        <f>VLOOKUP(4137,季財報!A:H,6)</f>
        <v>0</v>
      </c>
      <c r="G510" s="18">
        <f>VLOOKUP(4137,季財報!A:H,7)</f>
        <v>0</v>
      </c>
      <c r="N510" s="20">
        <f t="shared" si="7"/>
        <v>2</v>
      </c>
    </row>
    <row r="511" spans="1:19">
      <c r="A511" s="308" t="str">
        <f>HYPERLINK("http://www.wantgoo.com/stock/chart.aspx?stockno=6219","6219")</f>
        <v>6219</v>
      </c>
      <c r="C511" s="18">
        <f>VLOOKUP(6219,季財報!A:H,3)</f>
        <v>0</v>
      </c>
      <c r="D511" s="18">
        <f>VLOOKUP(6219,季財報!A:H,4)</f>
        <v>1</v>
      </c>
      <c r="E511" s="18">
        <f>VLOOKUP(6219,季財報!A:H,5)</f>
        <v>2</v>
      </c>
      <c r="F511" s="18">
        <f>VLOOKUP(6219,季財報!A:H,6)</f>
        <v>0</v>
      </c>
      <c r="G511" s="18">
        <f>VLOOKUP(6219,季財報!A:H,7)</f>
        <v>0</v>
      </c>
      <c r="N511" s="20">
        <f t="shared" si="7"/>
        <v>3</v>
      </c>
    </row>
    <row r="512" spans="1:19" s="317" customFormat="1">
      <c r="A512" s="309" t="str">
        <f>HYPERLINK("http://www.wantgoo.com/stock/chart.aspx?stockno=2729","2729")</f>
        <v>2729</v>
      </c>
      <c r="B512" s="310"/>
      <c r="C512" s="311">
        <f>VLOOKUP(2729,季財報!A:H,3)</f>
        <v>0</v>
      </c>
      <c r="D512" s="311">
        <f>VLOOKUP(2729,季財報!A:H,4)</f>
        <v>0</v>
      </c>
      <c r="E512" s="311">
        <f>VLOOKUP(2729,季財報!A:H,5)</f>
        <v>1</v>
      </c>
      <c r="F512" s="311">
        <f>VLOOKUP(2729,季財報!A:H,6)</f>
        <v>1</v>
      </c>
      <c r="G512" s="311">
        <f>VLOOKUP(2729,季財報!A:H,7)</f>
        <v>0</v>
      </c>
      <c r="H512" s="312"/>
      <c r="I512" s="312"/>
      <c r="J512" s="312"/>
      <c r="K512" s="312"/>
      <c r="L512" s="312"/>
      <c r="M512" s="313"/>
      <c r="N512" s="312">
        <f t="shared" si="7"/>
        <v>2</v>
      </c>
      <c r="O512" s="314"/>
      <c r="P512" s="314"/>
      <c r="Q512" s="314"/>
      <c r="R512" s="314"/>
      <c r="S512" s="315"/>
    </row>
    <row r="513" spans="1:19">
      <c r="A513" s="307" t="str">
        <f>HYPERLINK("http://www.wantgoo.com/stock/chart.aspx?stockno=9925","9925")</f>
        <v>9925</v>
      </c>
      <c r="C513" s="18">
        <f>VLOOKUP(9925,季財報!A:H,3)</f>
        <v>0</v>
      </c>
      <c r="D513" s="18">
        <f>VLOOKUP(9925,季財報!A:H,4)</f>
        <v>0</v>
      </c>
      <c r="E513" s="18">
        <f>VLOOKUP(9925,季財報!A:H,5)</f>
        <v>1</v>
      </c>
      <c r="F513" s="18">
        <f>VLOOKUP(9925,季財報!A:H,6)</f>
        <v>1</v>
      </c>
      <c r="G513" s="18">
        <f>VLOOKUP(9925,季財報!A:H,7)</f>
        <v>0</v>
      </c>
      <c r="N513" s="20">
        <f t="shared" si="7"/>
        <v>2</v>
      </c>
    </row>
    <row r="514" spans="1:19">
      <c r="A514" s="307" t="str">
        <f>HYPERLINK("http://www.wantgoo.com/stock/chart.aspx?stockno=2731","2731")</f>
        <v>2731</v>
      </c>
      <c r="C514" s="18">
        <f>VLOOKUP(2731,季財報!A:H,3)</f>
        <v>0</v>
      </c>
      <c r="D514" s="18">
        <f>VLOOKUP(2731,季財報!A:H,4)</f>
        <v>0</v>
      </c>
      <c r="E514" s="18">
        <f>VLOOKUP(2731,季財報!A:H,5)</f>
        <v>1</v>
      </c>
      <c r="F514" s="18">
        <f>VLOOKUP(2731,季財報!A:H,6)</f>
        <v>0</v>
      </c>
      <c r="G514" s="18">
        <f>VLOOKUP(2731,季財報!A:H,7)</f>
        <v>0</v>
      </c>
      <c r="N514" s="20">
        <f t="shared" si="7"/>
        <v>1</v>
      </c>
    </row>
    <row r="515" spans="1:19">
      <c r="A515" s="308" t="str">
        <f>HYPERLINK("http://www.wantgoo.com/stock/chart.aspx?stockno=4721","4721")</f>
        <v>4721</v>
      </c>
      <c r="C515" s="18">
        <f>VLOOKUP(4721,季財報!A:H,3)</f>
        <v>1</v>
      </c>
      <c r="D515" s="18">
        <f>VLOOKUP(4721,季財報!A:H,4)</f>
        <v>1</v>
      </c>
      <c r="E515" s="18">
        <f>VLOOKUP(4721,季財報!A:H,5)</f>
        <v>0</v>
      </c>
      <c r="F515" s="18">
        <f>VLOOKUP(4721,季財報!A:H,6)</f>
        <v>1</v>
      </c>
      <c r="G515" s="18">
        <f>VLOOKUP(4721,季財報!A:H,7)</f>
        <v>0</v>
      </c>
      <c r="N515" s="20">
        <f t="shared" si="7"/>
        <v>3</v>
      </c>
    </row>
    <row r="516" spans="1:19">
      <c r="A516" s="307" t="str">
        <f>HYPERLINK("http://www.wantgoo.com/stock/chart.aspx?stockno=1303","1303")</f>
        <v>1303</v>
      </c>
      <c r="C516" s="18">
        <f>VLOOKUP(1303,季財報!A:H,3)</f>
        <v>0</v>
      </c>
      <c r="D516" s="18">
        <f>VLOOKUP(1303,季財報!A:H,4)</f>
        <v>1</v>
      </c>
      <c r="E516" s="18">
        <f>VLOOKUP(1303,季財報!A:H,5)</f>
        <v>0</v>
      </c>
      <c r="F516" s="18">
        <f>VLOOKUP(1303,季財報!A:H,6)</f>
        <v>1</v>
      </c>
      <c r="G516" s="18">
        <f>VLOOKUP(1303,季財報!A:H,7)</f>
        <v>0</v>
      </c>
      <c r="N516" s="20">
        <f t="shared" ref="N516:N579" si="8">SUM(C516:M516)</f>
        <v>2</v>
      </c>
    </row>
    <row r="517" spans="1:19">
      <c r="A517" s="307" t="str">
        <f>HYPERLINK("http://www.wantgoo.com/stock/chart.aspx?stockno=1459","1459")</f>
        <v>1459</v>
      </c>
      <c r="C517" s="18">
        <f>VLOOKUP(1459,季財報!A:H,3)</f>
        <v>0</v>
      </c>
      <c r="D517" s="18">
        <f>VLOOKUP(1459,季財報!A:H,4)</f>
        <v>0</v>
      </c>
      <c r="E517" s="18">
        <f>VLOOKUP(1459,季財報!A:H,5)</f>
        <v>0</v>
      </c>
      <c r="F517" s="18">
        <f>VLOOKUP(1459,季財報!A:H,6)</f>
        <v>1</v>
      </c>
      <c r="G517" s="18">
        <f>VLOOKUP(1459,季財報!A:H,7)</f>
        <v>0</v>
      </c>
      <c r="N517" s="20">
        <f t="shared" si="8"/>
        <v>1</v>
      </c>
    </row>
    <row r="518" spans="1:19">
      <c r="A518" s="308" t="str">
        <f>HYPERLINK("http://www.wantgoo.com/stock/chart.aspx?stockno=8103","8103")</f>
        <v>8103</v>
      </c>
      <c r="C518" s="18">
        <f>VLOOKUP(8103,季財報!A:H,3)</f>
        <v>0</v>
      </c>
      <c r="D518" s="18">
        <f>VLOOKUP(8103,季財報!A:H,4)</f>
        <v>0</v>
      </c>
      <c r="E518" s="18">
        <f>VLOOKUP(8103,季財報!A:H,5)</f>
        <v>0</v>
      </c>
      <c r="F518" s="18">
        <f>VLOOKUP(8103,季財報!A:H,6)</f>
        <v>1</v>
      </c>
      <c r="G518" s="18">
        <f>VLOOKUP(8103,季財報!A:H,7)</f>
        <v>0</v>
      </c>
      <c r="N518" s="20">
        <f t="shared" si="8"/>
        <v>1</v>
      </c>
    </row>
    <row r="519" spans="1:19" s="317" customFormat="1">
      <c r="A519" s="309" t="str">
        <f>HYPERLINK("http://www.wantgoo.com/stock/chart.aspx?stockno=4919","4919")</f>
        <v>4919</v>
      </c>
      <c r="B519" s="310"/>
      <c r="C519" s="311">
        <f>VLOOKUP(4919,季財報!A:H,3)</f>
        <v>0</v>
      </c>
      <c r="D519" s="311">
        <f>VLOOKUP(4919,季財報!A:H,4)</f>
        <v>1</v>
      </c>
      <c r="E519" s="311">
        <f>VLOOKUP(4919,季財報!A:H,5)</f>
        <v>0</v>
      </c>
      <c r="F519" s="311">
        <f>VLOOKUP(4919,季財報!A:H,6)</f>
        <v>0</v>
      </c>
      <c r="G519" s="311">
        <f>VLOOKUP(4919,季財報!A:H,7)</f>
        <v>0</v>
      </c>
      <c r="H519" s="312"/>
      <c r="I519" s="312"/>
      <c r="J519" s="312"/>
      <c r="K519" s="312"/>
      <c r="L519" s="312"/>
      <c r="M519" s="313"/>
      <c r="N519" s="312">
        <f t="shared" si="8"/>
        <v>1</v>
      </c>
      <c r="O519" s="314"/>
      <c r="P519" s="314"/>
      <c r="Q519" s="314"/>
      <c r="R519" s="314"/>
      <c r="S519" s="315"/>
    </row>
    <row r="520" spans="1:19">
      <c r="A520" s="307" t="str">
        <f>HYPERLINK("http://www.wantgoo.com/stock/chart.aspx?stockno=2450","2450")</f>
        <v>2450</v>
      </c>
      <c r="C520" s="18">
        <f>VLOOKUP(2450,季財報!A:H,3)</f>
        <v>0</v>
      </c>
      <c r="D520" s="18">
        <f>VLOOKUP(2450,季財報!A:H,4)</f>
        <v>1</v>
      </c>
      <c r="E520" s="18">
        <f>VLOOKUP(2450,季財報!A:H,5)</f>
        <v>1</v>
      </c>
      <c r="F520" s="18">
        <f>VLOOKUP(2450,季財報!A:H,6)</f>
        <v>1</v>
      </c>
      <c r="G520" s="18">
        <f>VLOOKUP(2450,季財報!A:H,7)</f>
        <v>0</v>
      </c>
      <c r="N520" s="20">
        <f t="shared" si="8"/>
        <v>3</v>
      </c>
    </row>
    <row r="521" spans="1:19">
      <c r="A521" s="308" t="str">
        <f>HYPERLINK("http://www.wantgoo.com/stock/chart.aspx?stockno=3402","3402")</f>
        <v>3402</v>
      </c>
      <c r="C521" s="18">
        <f>VLOOKUP(3402,季財報!A:H,3)</f>
        <v>0</v>
      </c>
      <c r="D521" s="18">
        <f>VLOOKUP(3402,季財報!A:H,4)</f>
        <v>0</v>
      </c>
      <c r="E521" s="18">
        <f>VLOOKUP(3402,季財報!A:H,5)</f>
        <v>0</v>
      </c>
      <c r="F521" s="18">
        <f>VLOOKUP(3402,季財報!A:H,6)</f>
        <v>1</v>
      </c>
      <c r="G521" s="18">
        <f>VLOOKUP(3402,季財報!A:H,7)</f>
        <v>0</v>
      </c>
      <c r="N521" s="20">
        <f t="shared" si="8"/>
        <v>1</v>
      </c>
    </row>
    <row r="522" spans="1:19">
      <c r="A522" s="307" t="str">
        <f>HYPERLINK("http://www.wantgoo.com/stock/chart.aspx?stockno=4984","4984")</f>
        <v>4984</v>
      </c>
      <c r="C522" s="18">
        <f>VLOOKUP(4984,季財報!A:H,3)</f>
        <v>1</v>
      </c>
      <c r="D522" s="18">
        <f>VLOOKUP(4984,季財報!A:H,4)</f>
        <v>1</v>
      </c>
      <c r="E522" s="18">
        <f>VLOOKUP(4984,季財報!A:H,5)</f>
        <v>1</v>
      </c>
      <c r="F522" s="18">
        <f>VLOOKUP(4984,季財報!A:H,6)</f>
        <v>1</v>
      </c>
      <c r="G522" s="18">
        <f>VLOOKUP(4984,季財報!A:H,7)</f>
        <v>0</v>
      </c>
      <c r="N522" s="20">
        <f t="shared" si="8"/>
        <v>4</v>
      </c>
    </row>
    <row r="523" spans="1:19">
      <c r="A523" s="307" t="str">
        <f>HYPERLINK("http://www.wantgoo.com/stock/chart.aspx?stockno=2605","2605")</f>
        <v>2605</v>
      </c>
      <c r="C523" s="18">
        <f>VLOOKUP(2605,季財報!A:H,3)</f>
        <v>1</v>
      </c>
      <c r="D523" s="18">
        <f>VLOOKUP(2605,季財報!A:H,4)</f>
        <v>1</v>
      </c>
      <c r="E523" s="18">
        <f>VLOOKUP(2605,季財報!A:H,5)</f>
        <v>2</v>
      </c>
      <c r="F523" s="18">
        <f>VLOOKUP(2605,季財報!A:H,6)</f>
        <v>1</v>
      </c>
      <c r="G523" s="18">
        <f>VLOOKUP(2605,季財報!A:H,7)</f>
        <v>0</v>
      </c>
      <c r="N523" s="20">
        <f t="shared" si="8"/>
        <v>5</v>
      </c>
    </row>
    <row r="524" spans="1:19">
      <c r="A524" s="307" t="str">
        <f>HYPERLINK("http://www.wantgoo.com/stock/chart.aspx?stockno=5305","5305")</f>
        <v>5305</v>
      </c>
      <c r="C524" s="18">
        <f>VLOOKUP(5305,季財報!A:H,3)</f>
        <v>0</v>
      </c>
      <c r="D524" s="18">
        <f>VLOOKUP(5305,季財報!A:H,4)</f>
        <v>0</v>
      </c>
      <c r="E524" s="18">
        <f>VLOOKUP(5305,季財報!A:H,5)</f>
        <v>0</v>
      </c>
      <c r="F524" s="18">
        <f>VLOOKUP(5305,季財報!A:H,6)</f>
        <v>1</v>
      </c>
      <c r="G524" s="18">
        <f>VLOOKUP(5305,季財報!A:H,7)</f>
        <v>0</v>
      </c>
      <c r="N524" s="20">
        <f t="shared" si="8"/>
        <v>1</v>
      </c>
    </row>
    <row r="525" spans="1:19">
      <c r="A525" s="307" t="str">
        <f>HYPERLINK("http://www.wantgoo.com/stock/chart.aspx?stockno=1233","1233")</f>
        <v>1233</v>
      </c>
      <c r="C525" s="18">
        <f>VLOOKUP(1233,季財報!A:H,3)</f>
        <v>0</v>
      </c>
      <c r="D525" s="18">
        <f>VLOOKUP(1233,季財報!A:H,4)</f>
        <v>1</v>
      </c>
      <c r="E525" s="18">
        <f>VLOOKUP(1233,季財報!A:H,5)</f>
        <v>1</v>
      </c>
      <c r="F525" s="18">
        <f>VLOOKUP(1233,季財報!A:H,6)</f>
        <v>1</v>
      </c>
      <c r="G525" s="18">
        <f>VLOOKUP(1233,季財報!A:H,7)</f>
        <v>0</v>
      </c>
      <c r="N525" s="20">
        <f t="shared" si="8"/>
        <v>3</v>
      </c>
    </row>
    <row r="526" spans="1:19">
      <c r="A526" s="308" t="str">
        <f>HYPERLINK("http://www.wantgoo.com/stock/chart.aspx?stockno=5306","5306")</f>
        <v>5306</v>
      </c>
      <c r="C526" s="18">
        <f>VLOOKUP(5306,季財報!A:H,3)</f>
        <v>1</v>
      </c>
      <c r="D526" s="18">
        <f>VLOOKUP(5306,季財報!A:H,4)</f>
        <v>1</v>
      </c>
      <c r="E526" s="18">
        <f>VLOOKUP(5306,季財報!A:H,5)</f>
        <v>1</v>
      </c>
      <c r="F526" s="18">
        <f>VLOOKUP(5306,季財報!A:H,6)</f>
        <v>1</v>
      </c>
      <c r="G526" s="18">
        <f>VLOOKUP(5306,季財報!A:H,7)</f>
        <v>0</v>
      </c>
      <c r="N526" s="20">
        <f t="shared" si="8"/>
        <v>4</v>
      </c>
    </row>
    <row r="527" spans="1:19">
      <c r="A527" s="308" t="str">
        <f>HYPERLINK("http://www.wantgoo.com/stock/chart.aspx?stockno=6173","6173")</f>
        <v>6173</v>
      </c>
      <c r="C527" s="18">
        <f>VLOOKUP(6173,季財報!A:H,3)</f>
        <v>0</v>
      </c>
      <c r="D527" s="18">
        <f>VLOOKUP(6173,季財報!A:H,4)</f>
        <v>1</v>
      </c>
      <c r="E527" s="18">
        <f>VLOOKUP(6173,季財報!A:H,5)</f>
        <v>0</v>
      </c>
      <c r="F527" s="18">
        <f>VLOOKUP(6173,季財報!A:H,6)</f>
        <v>0</v>
      </c>
      <c r="G527" s="18">
        <f>VLOOKUP(6173,季財報!A:H,7)</f>
        <v>0</v>
      </c>
      <c r="N527" s="20">
        <f t="shared" si="8"/>
        <v>1</v>
      </c>
    </row>
    <row r="528" spans="1:19">
      <c r="A528" s="307" t="str">
        <f>HYPERLINK("http://www.wantgoo.com/stock/chart.aspx?stockno=3588","3588")</f>
        <v>3588</v>
      </c>
      <c r="C528" s="18">
        <f>VLOOKUP(3588,季財報!A:H,3)</f>
        <v>1</v>
      </c>
      <c r="D528" s="18">
        <f>VLOOKUP(3588,季財報!A:H,4)</f>
        <v>1</v>
      </c>
      <c r="E528" s="18">
        <f>VLOOKUP(3588,季財報!A:H,5)</f>
        <v>1</v>
      </c>
      <c r="F528" s="18">
        <f>VLOOKUP(3588,季財報!A:H,6)</f>
        <v>0</v>
      </c>
      <c r="G528" s="18">
        <f>VLOOKUP(3588,季財報!A:H,7)</f>
        <v>0</v>
      </c>
      <c r="N528" s="20">
        <f t="shared" si="8"/>
        <v>3</v>
      </c>
    </row>
    <row r="529" spans="1:14">
      <c r="A529" s="307" t="str">
        <f>HYPERLINK("http://www.wantgoo.com/stock/chart.aspx?stockno=1203","1203")</f>
        <v>1203</v>
      </c>
      <c r="C529" s="18">
        <f>VLOOKUP(1203,季財報!A:H,3)</f>
        <v>0</v>
      </c>
      <c r="D529" s="18">
        <f>VLOOKUP(1203,季財報!A:H,4)</f>
        <v>1</v>
      </c>
      <c r="E529" s="18">
        <f>VLOOKUP(1203,季財報!A:H,5)</f>
        <v>2</v>
      </c>
      <c r="F529" s="18">
        <f>VLOOKUP(1203,季財報!A:H,6)</f>
        <v>1</v>
      </c>
      <c r="G529" s="18">
        <f>VLOOKUP(1203,季財報!A:H,7)</f>
        <v>1</v>
      </c>
      <c r="N529" s="20">
        <f t="shared" si="8"/>
        <v>5</v>
      </c>
    </row>
    <row r="530" spans="1:14">
      <c r="A530" s="307" t="str">
        <f>HYPERLINK("http://www.wantgoo.com/stock/chart.aspx?stockno=3211","3211")</f>
        <v>3211</v>
      </c>
      <c r="C530" s="18">
        <f>VLOOKUP(3211,季財報!A:H,3)</f>
        <v>0</v>
      </c>
      <c r="D530" s="18">
        <f>VLOOKUP(3211,季財報!A:H,4)</f>
        <v>1</v>
      </c>
      <c r="E530" s="18">
        <f>VLOOKUP(3211,季財報!A:H,5)</f>
        <v>0</v>
      </c>
      <c r="F530" s="18">
        <f>VLOOKUP(3211,季財報!A:H,6)</f>
        <v>1</v>
      </c>
      <c r="G530" s="18">
        <f>VLOOKUP(3211,季財報!A:H,7)</f>
        <v>0</v>
      </c>
      <c r="N530" s="20">
        <f t="shared" si="8"/>
        <v>2</v>
      </c>
    </row>
    <row r="531" spans="1:14">
      <c r="A531" s="308" t="str">
        <f>HYPERLINK("http://www.wantgoo.com/stock/chart.aspx?stockno=3705","3705")</f>
        <v>3705</v>
      </c>
      <c r="C531" s="18">
        <f>VLOOKUP(3705,季財報!A:H,3)</f>
        <v>1</v>
      </c>
      <c r="D531" s="18">
        <f>VLOOKUP(3705,季財報!A:H,4)</f>
        <v>1</v>
      </c>
      <c r="E531" s="18">
        <f>VLOOKUP(3705,季財報!A:H,5)</f>
        <v>0</v>
      </c>
      <c r="F531" s="18">
        <f>VLOOKUP(3705,季財報!A:H,6)</f>
        <v>0</v>
      </c>
      <c r="G531" s="18">
        <f>VLOOKUP(3705,季財報!A:H,7)</f>
        <v>0</v>
      </c>
      <c r="N531" s="20">
        <f t="shared" si="8"/>
        <v>2</v>
      </c>
    </row>
    <row r="532" spans="1:14">
      <c r="A532" s="308" t="str">
        <f>HYPERLINK("http://www.wantgoo.com/stock/chart.aspx?stockno=4804","4804")</f>
        <v>4804</v>
      </c>
      <c r="C532" s="18">
        <f>VLOOKUP(4804,季財報!A:H,3)</f>
        <v>1</v>
      </c>
      <c r="D532" s="18">
        <f>VLOOKUP(4804,季財報!A:H,4)</f>
        <v>1</v>
      </c>
      <c r="E532" s="18">
        <f>VLOOKUP(4804,季財報!A:H,5)</f>
        <v>0</v>
      </c>
      <c r="F532" s="18">
        <f>VLOOKUP(4804,季財報!A:H,6)</f>
        <v>1</v>
      </c>
      <c r="G532" s="18">
        <f>VLOOKUP(4804,季財報!A:H,7)</f>
        <v>0</v>
      </c>
      <c r="N532" s="20">
        <f t="shared" si="8"/>
        <v>3</v>
      </c>
    </row>
    <row r="533" spans="1:14">
      <c r="A533" s="307" t="str">
        <f>HYPERLINK("http://www.wantgoo.com/stock/chart.aspx?stockno=5538","5538")</f>
        <v>5538</v>
      </c>
      <c r="C533" s="18">
        <f>VLOOKUP(5538,季財報!A:H,3)</f>
        <v>0</v>
      </c>
      <c r="D533" s="18">
        <f>VLOOKUP(5538,季財報!A:H,4)</f>
        <v>0</v>
      </c>
      <c r="E533" s="18">
        <f>VLOOKUP(5538,季財報!A:H,5)</f>
        <v>0</v>
      </c>
      <c r="F533" s="18">
        <f>VLOOKUP(5538,季財報!A:H,6)</f>
        <v>1</v>
      </c>
      <c r="G533" s="18">
        <f>VLOOKUP(5538,季財報!A:H,7)</f>
        <v>0</v>
      </c>
      <c r="N533" s="20">
        <f t="shared" si="8"/>
        <v>1</v>
      </c>
    </row>
    <row r="534" spans="1:14">
      <c r="A534" s="308" t="str">
        <f>HYPERLINK("http://www.wantgoo.com/stock/chart.aspx?stockno=6414","6414")</f>
        <v>6414</v>
      </c>
      <c r="C534" s="18">
        <f>VLOOKUP(6414,季財報!A:H,3)</f>
        <v>1</v>
      </c>
      <c r="D534" s="18">
        <f>VLOOKUP(6414,季財報!A:H,4)</f>
        <v>1</v>
      </c>
      <c r="E534" s="18">
        <f>VLOOKUP(6414,季財報!A:H,5)</f>
        <v>0</v>
      </c>
      <c r="F534" s="18">
        <f>VLOOKUP(6414,季財報!A:H,6)</f>
        <v>1</v>
      </c>
      <c r="G534" s="18">
        <f>VLOOKUP(6414,季財報!A:H,7)</f>
        <v>0</v>
      </c>
      <c r="N534" s="20">
        <f t="shared" si="8"/>
        <v>3</v>
      </c>
    </row>
    <row r="535" spans="1:14">
      <c r="A535" s="307" t="str">
        <f>HYPERLINK("http://www.wantgoo.com/stock/chart.aspx?stockno=2357","2357")</f>
        <v>2357</v>
      </c>
      <c r="C535" s="18">
        <f>VLOOKUP(2357,季財報!A:H,3)</f>
        <v>0</v>
      </c>
      <c r="D535" s="18">
        <f>VLOOKUP(2357,季財報!A:H,4)</f>
        <v>0</v>
      </c>
      <c r="E535" s="18">
        <f>VLOOKUP(2357,季財報!A:H,5)</f>
        <v>0</v>
      </c>
      <c r="F535" s="18">
        <f>VLOOKUP(2357,季財報!A:H,6)</f>
        <v>0</v>
      </c>
      <c r="G535" s="18">
        <f>VLOOKUP(2357,季財報!A:H,7)</f>
        <v>0</v>
      </c>
      <c r="N535" s="20">
        <f t="shared" si="8"/>
        <v>0</v>
      </c>
    </row>
    <row r="536" spans="1:14">
      <c r="A536" s="307" t="str">
        <f>HYPERLINK("http://www.wantgoo.com/stock/chart.aspx?stockno=4536","4536")</f>
        <v>4536</v>
      </c>
      <c r="C536" s="18">
        <f>VLOOKUP(4536,季財報!A:H,3)</f>
        <v>1</v>
      </c>
      <c r="D536" s="18">
        <f>VLOOKUP(4536,季財報!A:H,4)</f>
        <v>1</v>
      </c>
      <c r="E536" s="18">
        <f>VLOOKUP(4536,季財報!A:H,5)</f>
        <v>2</v>
      </c>
      <c r="F536" s="18">
        <f>VLOOKUP(4536,季財報!A:H,6)</f>
        <v>1</v>
      </c>
      <c r="G536" s="18">
        <f>VLOOKUP(4536,季財報!A:H,7)</f>
        <v>0</v>
      </c>
      <c r="N536" s="20">
        <f t="shared" si="8"/>
        <v>5</v>
      </c>
    </row>
    <row r="537" spans="1:14">
      <c r="A537" s="308" t="str">
        <f>HYPERLINK("http://www.wantgoo.com/stock/chart.aspx?stockno=1307","1307")</f>
        <v>1307</v>
      </c>
      <c r="C537" s="18">
        <f>VLOOKUP(1307,季財報!A:H,3)</f>
        <v>1</v>
      </c>
      <c r="D537" s="18">
        <f>VLOOKUP(1307,季財報!A:H,4)</f>
        <v>1</v>
      </c>
      <c r="E537" s="18">
        <f>VLOOKUP(1307,季財報!A:H,5)</f>
        <v>2</v>
      </c>
      <c r="F537" s="18">
        <f>VLOOKUP(1307,季財報!A:H,6)</f>
        <v>1</v>
      </c>
      <c r="G537" s="18">
        <f>VLOOKUP(1307,季財報!A:H,7)</f>
        <v>0</v>
      </c>
      <c r="N537" s="20">
        <f t="shared" si="8"/>
        <v>5</v>
      </c>
    </row>
    <row r="538" spans="1:14">
      <c r="A538" s="307" t="str">
        <f>HYPERLINK("http://www.wantgoo.com/stock/chart.aspx?stockno=4138","4138")</f>
        <v>4138</v>
      </c>
      <c r="C538" s="18">
        <f>VLOOKUP(4138,季財報!A:H,3)</f>
        <v>0</v>
      </c>
      <c r="D538" s="18">
        <f>VLOOKUP(4138,季財報!A:H,4)</f>
        <v>1</v>
      </c>
      <c r="E538" s="18">
        <f>VLOOKUP(4138,季財報!A:H,5)</f>
        <v>2</v>
      </c>
      <c r="F538" s="18">
        <f>VLOOKUP(4138,季財報!A:H,6)</f>
        <v>0</v>
      </c>
      <c r="G538" s="18">
        <f>VLOOKUP(4138,季財報!A:H,7)</f>
        <v>0</v>
      </c>
      <c r="N538" s="20">
        <f t="shared" si="8"/>
        <v>3</v>
      </c>
    </row>
    <row r="539" spans="1:14">
      <c r="A539" s="307" t="str">
        <f>HYPERLINK("http://www.wantgoo.com/stock/chart.aspx?stockno=5386","5386")</f>
        <v>5386</v>
      </c>
      <c r="C539" s="18">
        <f>VLOOKUP(5386,季財報!A:H,3)</f>
        <v>0</v>
      </c>
      <c r="D539" s="18">
        <f>VLOOKUP(5386,季財報!A:H,4)</f>
        <v>1</v>
      </c>
      <c r="E539" s="18">
        <f>VLOOKUP(5386,季財報!A:H,5)</f>
        <v>0</v>
      </c>
      <c r="F539" s="18">
        <f>VLOOKUP(5386,季財報!A:H,6)</f>
        <v>1</v>
      </c>
      <c r="G539" s="18">
        <f>VLOOKUP(5386,季財報!A:H,7)</f>
        <v>0</v>
      </c>
      <c r="N539" s="20">
        <f t="shared" si="8"/>
        <v>2</v>
      </c>
    </row>
    <row r="540" spans="1:14">
      <c r="A540" s="308" t="str">
        <f>HYPERLINK("http://www.wantgoo.com/stock/chart.aspx?stockno=9917","9917")</f>
        <v>9917</v>
      </c>
      <c r="C540" s="18">
        <f>VLOOKUP(9917,季財報!A:H,3)</f>
        <v>0</v>
      </c>
      <c r="D540" s="18">
        <f>VLOOKUP(9917,季財報!A:H,4)</f>
        <v>1</v>
      </c>
      <c r="E540" s="18">
        <f>VLOOKUP(9917,季財報!A:H,5)</f>
        <v>1</v>
      </c>
      <c r="F540" s="18">
        <f>VLOOKUP(9917,季財報!A:H,6)</f>
        <v>0</v>
      </c>
      <c r="G540" s="18">
        <f>VLOOKUP(9917,季財報!A:H,7)</f>
        <v>0</v>
      </c>
      <c r="N540" s="20">
        <f t="shared" si="8"/>
        <v>2</v>
      </c>
    </row>
    <row r="541" spans="1:14">
      <c r="A541" s="308" t="str">
        <f>HYPERLINK("http://www.wantgoo.com/stock/chart.aspx?stockno=9938","9938")</f>
        <v>9938</v>
      </c>
      <c r="C541" s="18">
        <f>VLOOKUP(9938,季財報!A:H,3)</f>
        <v>1</v>
      </c>
      <c r="D541" s="18">
        <f>VLOOKUP(9938,季財報!A:H,4)</f>
        <v>1</v>
      </c>
      <c r="E541" s="18">
        <f>VLOOKUP(9938,季財報!A:H,5)</f>
        <v>0</v>
      </c>
      <c r="F541" s="18">
        <f>VLOOKUP(9938,季財報!A:H,6)</f>
        <v>1</v>
      </c>
      <c r="G541" s="18">
        <f>VLOOKUP(9938,季財報!A:H,7)</f>
        <v>0</v>
      </c>
      <c r="N541" s="20">
        <f t="shared" si="8"/>
        <v>3</v>
      </c>
    </row>
    <row r="542" spans="1:14">
      <c r="A542" s="308" t="str">
        <f>HYPERLINK("http://www.wantgoo.com/stock/chart.aspx?stockno=5904","5904")</f>
        <v>5904</v>
      </c>
      <c r="C542" s="18">
        <f>VLOOKUP(5904,季財報!A:H,3)</f>
        <v>1</v>
      </c>
      <c r="D542" s="18">
        <f>VLOOKUP(5904,季財報!A:H,4)</f>
        <v>1</v>
      </c>
      <c r="E542" s="18">
        <f>VLOOKUP(5904,季財報!A:H,5)</f>
        <v>0</v>
      </c>
      <c r="F542" s="18">
        <f>VLOOKUP(5904,季財報!A:H,6)</f>
        <v>1</v>
      </c>
      <c r="G542" s="18">
        <f>VLOOKUP(5904,季財報!A:H,7)</f>
        <v>1</v>
      </c>
      <c r="N542" s="20">
        <f t="shared" si="8"/>
        <v>4</v>
      </c>
    </row>
    <row r="543" spans="1:14">
      <c r="A543" s="308" t="str">
        <f>HYPERLINK("http://www.wantgoo.com/stock/chart.aspx?stockno=2049","2049")</f>
        <v>2049</v>
      </c>
      <c r="C543" s="18">
        <f>VLOOKUP(2049,季財報!A:H,3)</f>
        <v>0</v>
      </c>
      <c r="D543" s="18">
        <f>VLOOKUP(2049,季財報!A:H,4)</f>
        <v>1</v>
      </c>
      <c r="E543" s="18">
        <f>VLOOKUP(2049,季財報!A:H,5)</f>
        <v>0</v>
      </c>
      <c r="F543" s="18">
        <f>VLOOKUP(2049,季財報!A:H,6)</f>
        <v>1</v>
      </c>
      <c r="G543" s="18">
        <f>VLOOKUP(2049,季財報!A:H,7)</f>
        <v>1</v>
      </c>
      <c r="N543" s="20">
        <f t="shared" si="8"/>
        <v>3</v>
      </c>
    </row>
    <row r="544" spans="1:14">
      <c r="A544" s="308" t="str">
        <f>HYPERLINK("http://www.wantgoo.com/stock/chart.aspx?stockno=3122","3122")</f>
        <v>3122</v>
      </c>
      <c r="C544" s="18">
        <f>VLOOKUP(3122,季財報!A:H,3)</f>
        <v>0</v>
      </c>
      <c r="D544" s="18">
        <f>VLOOKUP(3122,季財報!A:H,4)</f>
        <v>0</v>
      </c>
      <c r="E544" s="18">
        <f>VLOOKUP(3122,季財報!A:H,5)</f>
        <v>0</v>
      </c>
      <c r="F544" s="18">
        <f>VLOOKUP(3122,季財報!A:H,6)</f>
        <v>1</v>
      </c>
      <c r="G544" s="18">
        <f>VLOOKUP(3122,季財報!A:H,7)</f>
        <v>0</v>
      </c>
      <c r="N544" s="20">
        <f t="shared" si="8"/>
        <v>1</v>
      </c>
    </row>
    <row r="545" spans="1:19">
      <c r="A545" s="307" t="str">
        <f>HYPERLINK("http://www.wantgoo.com/stock/chart.aspx?stockno=3205","3205")</f>
        <v>3205</v>
      </c>
      <c r="C545" s="18">
        <f>VLOOKUP(3205,季財報!A:H,3)</f>
        <v>1</v>
      </c>
      <c r="D545" s="18">
        <f>VLOOKUP(3205,季財報!A:H,4)</f>
        <v>1</v>
      </c>
      <c r="E545" s="18">
        <f>VLOOKUP(3205,季財報!A:H,5)</f>
        <v>2</v>
      </c>
      <c r="F545" s="18">
        <f>VLOOKUP(3205,季財報!A:H,6)</f>
        <v>1</v>
      </c>
      <c r="G545" s="18">
        <f>VLOOKUP(3205,季財報!A:H,7)</f>
        <v>0</v>
      </c>
      <c r="N545" s="20">
        <f t="shared" si="8"/>
        <v>5</v>
      </c>
    </row>
    <row r="546" spans="1:19">
      <c r="A546" s="308" t="str">
        <f>HYPERLINK("http://www.wantgoo.com/stock/chart.aspx?stockno=5355","5355")</f>
        <v>5355</v>
      </c>
      <c r="C546" s="18">
        <f>VLOOKUP(5355,季財報!A:H,3)</f>
        <v>0</v>
      </c>
      <c r="D546" s="18">
        <f>VLOOKUP(5355,季財報!A:H,4)</f>
        <v>1</v>
      </c>
      <c r="E546" s="18">
        <f>VLOOKUP(5355,季財報!A:H,5)</f>
        <v>0</v>
      </c>
      <c r="F546" s="18">
        <f>VLOOKUP(5355,季財報!A:H,6)</f>
        <v>1</v>
      </c>
      <c r="G546" s="18">
        <f>VLOOKUP(5355,季財報!A:H,7)</f>
        <v>0</v>
      </c>
      <c r="N546" s="20">
        <f t="shared" si="8"/>
        <v>2</v>
      </c>
    </row>
    <row r="547" spans="1:19">
      <c r="A547" s="307" t="str">
        <f>HYPERLINK("http://www.wantgoo.com/stock/chart.aspx?stockno=4968","4968")</f>
        <v>4968</v>
      </c>
      <c r="C547" s="18">
        <f>VLOOKUP(4968,季財報!A:H,3)</f>
        <v>0</v>
      </c>
      <c r="D547" s="18">
        <f>VLOOKUP(4968,季財報!A:H,4)</f>
        <v>0</v>
      </c>
      <c r="E547" s="18">
        <f>VLOOKUP(4968,季財報!A:H,5)</f>
        <v>2</v>
      </c>
      <c r="F547" s="18">
        <f>VLOOKUP(4968,季財報!A:H,6)</f>
        <v>0</v>
      </c>
      <c r="G547" s="18">
        <f>VLOOKUP(4968,季財報!A:H,7)</f>
        <v>0</v>
      </c>
      <c r="N547" s="20">
        <f t="shared" si="8"/>
        <v>2</v>
      </c>
    </row>
    <row r="548" spans="1:19">
      <c r="A548" s="308" t="str">
        <f>HYPERLINK("http://www.wantgoo.com/stock/chart.aspx?stockno=6411","6411")</f>
        <v>6411</v>
      </c>
      <c r="C548" s="18">
        <f>VLOOKUP(6411,季財報!A:H,3)</f>
        <v>1</v>
      </c>
      <c r="D548" s="18">
        <f>VLOOKUP(6411,季財報!A:H,4)</f>
        <v>1</v>
      </c>
      <c r="E548" s="18">
        <f>VLOOKUP(6411,季財報!A:H,5)</f>
        <v>0</v>
      </c>
      <c r="F548" s="18">
        <f>VLOOKUP(6411,季財報!A:H,6)</f>
        <v>0</v>
      </c>
      <c r="G548" s="18">
        <f>VLOOKUP(6411,季財報!A:H,7)</f>
        <v>0</v>
      </c>
      <c r="N548" s="20">
        <f t="shared" si="8"/>
        <v>2</v>
      </c>
    </row>
    <row r="549" spans="1:19" s="317" customFormat="1">
      <c r="A549" s="309" t="str">
        <f>HYPERLINK("http://www.wantgoo.com/stock/chart.aspx?stockno=2395","2395")</f>
        <v>2395</v>
      </c>
      <c r="B549" s="310"/>
      <c r="C549" s="311">
        <f>VLOOKUP(2395,季財報!A:H,3)</f>
        <v>0</v>
      </c>
      <c r="D549" s="311">
        <f>VLOOKUP(2395,季財報!A:H,4)</f>
        <v>0</v>
      </c>
      <c r="E549" s="311">
        <f>VLOOKUP(2395,季財報!A:H,5)</f>
        <v>0</v>
      </c>
      <c r="F549" s="311">
        <f>VLOOKUP(2395,季財報!A:H,6)</f>
        <v>1</v>
      </c>
      <c r="G549" s="311">
        <f>VLOOKUP(2395,季財報!A:H,7)</f>
        <v>0</v>
      </c>
      <c r="H549" s="312"/>
      <c r="I549" s="312"/>
      <c r="J549" s="312"/>
      <c r="K549" s="312"/>
      <c r="L549" s="312"/>
      <c r="M549" s="313"/>
      <c r="N549" s="312">
        <f t="shared" si="8"/>
        <v>1</v>
      </c>
      <c r="O549" s="314"/>
      <c r="P549" s="314"/>
      <c r="Q549" s="314"/>
      <c r="R549" s="314"/>
      <c r="S549" s="315"/>
    </row>
    <row r="550" spans="1:19">
      <c r="A550" s="307" t="str">
        <f>HYPERLINK("http://www.wantgoo.com/stock/chart.aspx?stockno=3171","3171")</f>
        <v>3171</v>
      </c>
      <c r="C550" s="18">
        <f>VLOOKUP(3171,季財報!A:H,3)</f>
        <v>0</v>
      </c>
      <c r="D550" s="18">
        <f>VLOOKUP(3171,季財報!A:H,4)</f>
        <v>1</v>
      </c>
      <c r="E550" s="18">
        <f>VLOOKUP(3171,季財報!A:H,5)</f>
        <v>1</v>
      </c>
      <c r="F550" s="18">
        <f>VLOOKUP(3171,季財報!A:H,6)</f>
        <v>1</v>
      </c>
      <c r="G550" s="18">
        <f>VLOOKUP(3171,季財報!A:H,7)</f>
        <v>0</v>
      </c>
      <c r="N550" s="20">
        <f t="shared" si="8"/>
        <v>3</v>
      </c>
    </row>
    <row r="551" spans="1:19">
      <c r="A551" s="308" t="str">
        <f>HYPERLINK("http://www.wantgoo.com/stock/chart.aspx?stockno=4190","4190")</f>
        <v>4190</v>
      </c>
      <c r="C551" s="18">
        <f>VLOOKUP(4190,季財報!A:H,3)</f>
        <v>0</v>
      </c>
      <c r="D551" s="18">
        <f>VLOOKUP(4190,季財報!A:H,4)</f>
        <v>1</v>
      </c>
      <c r="E551" s="18">
        <f>VLOOKUP(4190,季財報!A:H,5)</f>
        <v>0</v>
      </c>
      <c r="F551" s="18">
        <f>VLOOKUP(4190,季財報!A:H,6)</f>
        <v>1</v>
      </c>
      <c r="G551" s="18">
        <f>VLOOKUP(4190,季財報!A:H,7)</f>
        <v>0</v>
      </c>
      <c r="N551" s="20">
        <f t="shared" si="8"/>
        <v>2</v>
      </c>
    </row>
    <row r="552" spans="1:19">
      <c r="A552" s="307" t="str">
        <f>HYPERLINK("http://www.wantgoo.com/stock/chart.aspx?stockno=2412","2412")</f>
        <v>2412</v>
      </c>
      <c r="C552" s="18">
        <f>VLOOKUP(2412,季財報!A:H,3)</f>
        <v>1</v>
      </c>
      <c r="D552" s="18">
        <f>VLOOKUP(2412,季財報!A:H,4)</f>
        <v>1</v>
      </c>
      <c r="E552" s="18">
        <f>VLOOKUP(2412,季財報!A:H,5)</f>
        <v>0</v>
      </c>
      <c r="F552" s="18">
        <f>VLOOKUP(2412,季財報!A:H,6)</f>
        <v>1</v>
      </c>
      <c r="G552" s="18">
        <f>VLOOKUP(2412,季財報!A:H,7)</f>
        <v>0</v>
      </c>
      <c r="N552" s="20">
        <f t="shared" si="8"/>
        <v>3</v>
      </c>
    </row>
    <row r="553" spans="1:19">
      <c r="A553" s="308" t="str">
        <f>HYPERLINK("http://www.wantgoo.com/stock/chart.aspx?stockno=4401","4401")</f>
        <v>4401</v>
      </c>
      <c r="C553" s="18">
        <f>VLOOKUP(4401,季財報!A:H,3)</f>
        <v>0</v>
      </c>
      <c r="D553" s="18">
        <f>VLOOKUP(4401,季財報!A:H,4)</f>
        <v>1</v>
      </c>
      <c r="E553" s="18">
        <f>VLOOKUP(4401,季財報!A:H,5)</f>
        <v>0</v>
      </c>
      <c r="F553" s="18">
        <f>VLOOKUP(4401,季財報!A:H,6)</f>
        <v>1</v>
      </c>
      <c r="G553" s="18">
        <f>VLOOKUP(4401,季財報!A:H,7)</f>
        <v>0</v>
      </c>
      <c r="N553" s="20">
        <f t="shared" si="8"/>
        <v>2</v>
      </c>
    </row>
    <row r="554" spans="1:19">
      <c r="A554" s="308" t="str">
        <f>HYPERLINK("http://www.wantgoo.com/stock/chart.aspx?stockno=3057","3057")</f>
        <v>3057</v>
      </c>
      <c r="C554" s="18">
        <f>VLOOKUP(3057,季財報!A:H,3)</f>
        <v>0</v>
      </c>
      <c r="D554" s="18">
        <f>VLOOKUP(3057,季財報!A:H,4)</f>
        <v>1</v>
      </c>
      <c r="E554" s="18">
        <f>VLOOKUP(3057,季財報!A:H,5)</f>
        <v>0</v>
      </c>
      <c r="F554" s="18">
        <f>VLOOKUP(3057,季財報!A:H,6)</f>
        <v>1</v>
      </c>
      <c r="G554" s="18">
        <f>VLOOKUP(3057,季財報!A:H,7)</f>
        <v>0</v>
      </c>
      <c r="N554" s="20">
        <f t="shared" si="8"/>
        <v>2</v>
      </c>
    </row>
    <row r="555" spans="1:19">
      <c r="A555" s="307" t="str">
        <f>HYPERLINK("http://www.wantgoo.com/stock/chart.aspx?stockno=8341","8341")</f>
        <v>8341</v>
      </c>
      <c r="C555" s="18">
        <f>VLOOKUP(8341,季財報!A:H,3)</f>
        <v>1</v>
      </c>
      <c r="D555" s="18">
        <f>VLOOKUP(8341,季財報!A:H,4)</f>
        <v>1</v>
      </c>
      <c r="E555" s="18">
        <f>VLOOKUP(8341,季財報!A:H,5)</f>
        <v>1</v>
      </c>
      <c r="F555" s="18">
        <f>VLOOKUP(8341,季財報!A:H,6)</f>
        <v>1</v>
      </c>
      <c r="G555" s="18">
        <f>VLOOKUP(8341,季財報!A:H,7)</f>
        <v>0</v>
      </c>
      <c r="N555" s="20">
        <f t="shared" si="8"/>
        <v>4</v>
      </c>
    </row>
    <row r="556" spans="1:19">
      <c r="A556" s="307" t="str">
        <f>HYPERLINK("http://www.wantgoo.com/stock/chart.aspx?stockno=5245","5245")</f>
        <v>5245</v>
      </c>
      <c r="C556" s="18">
        <f>VLOOKUP(5245,季財報!A:H,3)</f>
        <v>1</v>
      </c>
      <c r="D556" s="18">
        <f>VLOOKUP(5245,季財報!A:H,4)</f>
        <v>1</v>
      </c>
      <c r="E556" s="18">
        <f>VLOOKUP(5245,季財報!A:H,5)</f>
        <v>2</v>
      </c>
      <c r="F556" s="18">
        <f>VLOOKUP(5245,季財報!A:H,6)</f>
        <v>1</v>
      </c>
      <c r="G556" s="18">
        <f>VLOOKUP(5245,季財報!A:H,7)</f>
        <v>1</v>
      </c>
      <c r="N556" s="20">
        <f t="shared" si="8"/>
        <v>6</v>
      </c>
    </row>
    <row r="557" spans="1:19">
      <c r="A557" s="307" t="str">
        <f>HYPERLINK("http://www.wantgoo.com/stock/chart.aspx?stockno=4532","4532")</f>
        <v>4532</v>
      </c>
      <c r="C557" s="18">
        <f>VLOOKUP(4532,季財報!A:H,3)</f>
        <v>0</v>
      </c>
      <c r="D557" s="18">
        <f>VLOOKUP(4532,季財報!A:H,4)</f>
        <v>1</v>
      </c>
      <c r="E557" s="18">
        <f>VLOOKUP(4532,季財報!A:H,5)</f>
        <v>0</v>
      </c>
      <c r="F557" s="18">
        <f>VLOOKUP(4532,季財報!A:H,6)</f>
        <v>1</v>
      </c>
      <c r="G557" s="18">
        <f>VLOOKUP(4532,季財報!A:H,7)</f>
        <v>0</v>
      </c>
      <c r="N557" s="20">
        <f t="shared" si="8"/>
        <v>2</v>
      </c>
    </row>
    <row r="558" spans="1:19">
      <c r="A558" s="307" t="str">
        <f>HYPERLINK("http://www.wantgoo.com/stock/chart.aspx?stockno=2492","2492")</f>
        <v>2492</v>
      </c>
      <c r="C558" s="18">
        <f>VLOOKUP(2492,季財報!A:H,3)</f>
        <v>1</v>
      </c>
      <c r="D558" s="18">
        <f>VLOOKUP(2492,季財報!A:H,4)</f>
        <v>1</v>
      </c>
      <c r="E558" s="18">
        <f>VLOOKUP(2492,季財報!A:H,5)</f>
        <v>0</v>
      </c>
      <c r="F558" s="18">
        <f>VLOOKUP(2492,季財報!A:H,6)</f>
        <v>1</v>
      </c>
      <c r="G558" s="18">
        <f>VLOOKUP(2492,季財報!A:H,7)</f>
        <v>1</v>
      </c>
      <c r="N558" s="20">
        <f t="shared" si="8"/>
        <v>4</v>
      </c>
    </row>
    <row r="559" spans="1:19">
      <c r="A559" s="308" t="str">
        <f>HYPERLINK("http://www.wantgoo.com/stock/chart.aspx?stockno=3323","3323")</f>
        <v>3323</v>
      </c>
      <c r="C559" s="18">
        <f>VLOOKUP(3323,季財報!A:H,3)</f>
        <v>0</v>
      </c>
      <c r="D559" s="18">
        <f>VLOOKUP(3323,季財報!A:H,4)</f>
        <v>1</v>
      </c>
      <c r="E559" s="18">
        <f>VLOOKUP(3323,季財報!A:H,5)</f>
        <v>2</v>
      </c>
      <c r="F559" s="18">
        <f>VLOOKUP(3323,季財報!A:H,6)</f>
        <v>1</v>
      </c>
      <c r="G559" s="18">
        <f>VLOOKUP(3323,季財報!A:H,7)</f>
        <v>0</v>
      </c>
      <c r="N559" s="20">
        <f t="shared" si="8"/>
        <v>4</v>
      </c>
    </row>
    <row r="560" spans="1:19">
      <c r="A560" s="307" t="str">
        <f>HYPERLINK("http://www.wantgoo.com/stock/chart.aspx?stockno=2926","2926")</f>
        <v>2926</v>
      </c>
      <c r="C560" s="18">
        <f>VLOOKUP(2926,季財報!A:H,3)</f>
        <v>0</v>
      </c>
      <c r="D560" s="18">
        <f>VLOOKUP(2926,季財報!A:H,4)</f>
        <v>1</v>
      </c>
      <c r="E560" s="18">
        <f>VLOOKUP(2926,季財報!A:H,5)</f>
        <v>0</v>
      </c>
      <c r="F560" s="18">
        <f>VLOOKUP(2926,季財報!A:H,6)</f>
        <v>1</v>
      </c>
      <c r="G560" s="18">
        <f>VLOOKUP(2926,季財報!A:H,7)</f>
        <v>0</v>
      </c>
      <c r="N560" s="20">
        <f t="shared" si="8"/>
        <v>2</v>
      </c>
    </row>
    <row r="561" spans="1:19">
      <c r="A561" s="308" t="str">
        <f>HYPERLINK("http://www.wantgoo.com/stock/chart.aspx?stockno=6405","6405")</f>
        <v>6405</v>
      </c>
      <c r="C561" s="18">
        <f>VLOOKUP(6405,季財報!A:H,3)</f>
        <v>0</v>
      </c>
      <c r="D561" s="18">
        <f>VLOOKUP(6405,季財報!A:H,4)</f>
        <v>1</v>
      </c>
      <c r="E561" s="18">
        <f>VLOOKUP(6405,季財報!A:H,5)</f>
        <v>1</v>
      </c>
      <c r="F561" s="18">
        <f>VLOOKUP(6405,季財報!A:H,6)</f>
        <v>0</v>
      </c>
      <c r="G561" s="18">
        <f>VLOOKUP(6405,季財報!A:H,7)</f>
        <v>0</v>
      </c>
      <c r="N561" s="20">
        <f t="shared" si="8"/>
        <v>2</v>
      </c>
    </row>
    <row r="562" spans="1:19">
      <c r="A562" s="308" t="str">
        <f>HYPERLINK("http://www.wantgoo.com/stock/chart.aspx?stockno=5520","5520")</f>
        <v>5520</v>
      </c>
      <c r="C562" s="18">
        <f>VLOOKUP(5520,季財報!A:H,3)</f>
        <v>0</v>
      </c>
      <c r="D562" s="18">
        <f>VLOOKUP(5520,季財報!A:H,4)</f>
        <v>1</v>
      </c>
      <c r="E562" s="18">
        <f>VLOOKUP(5520,季財報!A:H,5)</f>
        <v>1</v>
      </c>
      <c r="F562" s="18">
        <f>VLOOKUP(5520,季財報!A:H,6)</f>
        <v>1</v>
      </c>
      <c r="G562" s="18">
        <f>VLOOKUP(5520,季財報!A:H,7)</f>
        <v>0</v>
      </c>
      <c r="N562" s="20">
        <f t="shared" si="8"/>
        <v>3</v>
      </c>
    </row>
    <row r="563" spans="1:19">
      <c r="A563" s="307" t="str">
        <f>HYPERLINK("http://www.wantgoo.com/stock/chart.aspx?stockno=6208","6208")</f>
        <v>6208</v>
      </c>
      <c r="C563" s="18">
        <f>VLOOKUP(6208,季財報!A:H,3)</f>
        <v>0</v>
      </c>
      <c r="D563" s="18">
        <f>VLOOKUP(6208,季財報!A:H,4)</f>
        <v>1</v>
      </c>
      <c r="E563" s="18">
        <f>VLOOKUP(6208,季財報!A:H,5)</f>
        <v>1</v>
      </c>
      <c r="F563" s="18">
        <f>VLOOKUP(6208,季財報!A:H,6)</f>
        <v>1</v>
      </c>
      <c r="G563" s="18">
        <f>VLOOKUP(6208,季財報!A:H,7)</f>
        <v>0</v>
      </c>
      <c r="N563" s="20">
        <f t="shared" si="8"/>
        <v>3</v>
      </c>
    </row>
    <row r="564" spans="1:19">
      <c r="A564" s="307" t="str">
        <f>HYPERLINK("http://www.wantgoo.com/stock/chart.aspx?stockno=6504","6504")</f>
        <v>6504</v>
      </c>
      <c r="C564" s="18">
        <f>VLOOKUP(6504,季財報!A:H,3)</f>
        <v>0</v>
      </c>
      <c r="D564" s="18">
        <f>VLOOKUP(6504,季財報!A:H,4)</f>
        <v>1</v>
      </c>
      <c r="E564" s="18">
        <f>VLOOKUP(6504,季財報!A:H,5)</f>
        <v>0</v>
      </c>
      <c r="F564" s="18">
        <f>VLOOKUP(6504,季財報!A:H,6)</f>
        <v>1</v>
      </c>
      <c r="G564" s="18">
        <f>VLOOKUP(6504,季財報!A:H,7)</f>
        <v>0</v>
      </c>
      <c r="N564" s="20">
        <f t="shared" si="8"/>
        <v>2</v>
      </c>
    </row>
    <row r="565" spans="1:19">
      <c r="A565" s="307" t="str">
        <f>HYPERLINK("http://www.wantgoo.com/stock/chart.aspx?stockno=6197","6197")</f>
        <v>6197</v>
      </c>
      <c r="C565" s="18">
        <f>VLOOKUP(6197,季財報!A:H,3)</f>
        <v>1</v>
      </c>
      <c r="D565" s="18">
        <f>VLOOKUP(6197,季財報!A:H,4)</f>
        <v>1</v>
      </c>
      <c r="E565" s="18">
        <f>VLOOKUP(6197,季財報!A:H,5)</f>
        <v>2</v>
      </c>
      <c r="F565" s="18">
        <f>VLOOKUP(6197,季財報!A:H,6)</f>
        <v>0</v>
      </c>
      <c r="G565" s="18">
        <f>VLOOKUP(6197,季財報!A:H,7)</f>
        <v>1</v>
      </c>
      <c r="N565" s="20">
        <f t="shared" si="8"/>
        <v>5</v>
      </c>
    </row>
    <row r="566" spans="1:19">
      <c r="A566" s="307" t="str">
        <f>HYPERLINK("http://www.wantgoo.com/stock/chart.aspx?stockno=4430","4430")</f>
        <v>4430</v>
      </c>
      <c r="C566" s="18">
        <f>VLOOKUP(4430,季財報!A:H,3)</f>
        <v>0</v>
      </c>
      <c r="D566" s="18">
        <f>VLOOKUP(4430,季財報!A:H,4)</f>
        <v>1</v>
      </c>
      <c r="E566" s="18">
        <f>VLOOKUP(4430,季財報!A:H,5)</f>
        <v>0</v>
      </c>
      <c r="F566" s="18">
        <f>VLOOKUP(4430,季財報!A:H,6)</f>
        <v>1</v>
      </c>
      <c r="G566" s="18">
        <f>VLOOKUP(4430,季財報!A:H,7)</f>
        <v>0</v>
      </c>
      <c r="N566" s="20">
        <f t="shared" si="8"/>
        <v>2</v>
      </c>
    </row>
    <row r="567" spans="1:19">
      <c r="A567" s="308" t="str">
        <f>HYPERLINK("http://www.wantgoo.com/stock/chart.aspx?stockno=4904","4904")</f>
        <v>4904</v>
      </c>
      <c r="C567" s="18">
        <f>VLOOKUP(4904,季財報!A:H,3)</f>
        <v>1</v>
      </c>
      <c r="D567" s="18">
        <f>VLOOKUP(4904,季財報!A:H,4)</f>
        <v>1</v>
      </c>
      <c r="E567" s="18">
        <f>VLOOKUP(4904,季財報!A:H,5)</f>
        <v>0</v>
      </c>
      <c r="F567" s="18">
        <f>VLOOKUP(4904,季財報!A:H,6)</f>
        <v>1</v>
      </c>
      <c r="G567" s="18">
        <f>VLOOKUP(4904,季財報!A:H,7)</f>
        <v>0</v>
      </c>
      <c r="N567" s="20">
        <f t="shared" si="8"/>
        <v>3</v>
      </c>
    </row>
    <row r="568" spans="1:19">
      <c r="A568" s="307" t="str">
        <f>HYPERLINK("http://www.wantgoo.com/stock/chart.aspx?stockno=3004","3004")</f>
        <v>3004</v>
      </c>
      <c r="C568" s="18">
        <f>VLOOKUP(3004,季財報!A:H,3)</f>
        <v>1</v>
      </c>
      <c r="D568" s="18">
        <f>VLOOKUP(3004,季財報!A:H,4)</f>
        <v>1</v>
      </c>
      <c r="E568" s="18">
        <f>VLOOKUP(3004,季財報!A:H,5)</f>
        <v>0</v>
      </c>
      <c r="F568" s="18">
        <f>VLOOKUP(3004,季財報!A:H,6)</f>
        <v>1</v>
      </c>
      <c r="G568" s="18">
        <f>VLOOKUP(3004,季財報!A:H,7)</f>
        <v>1</v>
      </c>
      <c r="N568" s="20">
        <f t="shared" si="8"/>
        <v>4</v>
      </c>
    </row>
    <row r="569" spans="1:19">
      <c r="A569" s="307" t="str">
        <f>HYPERLINK("http://www.wantgoo.com/stock/chart.aspx?stockno=4175","4175")</f>
        <v>4175</v>
      </c>
      <c r="C569" s="18">
        <f>VLOOKUP(4175,季財報!A:H,3)</f>
        <v>0</v>
      </c>
      <c r="D569" s="18">
        <f>VLOOKUP(4175,季財報!A:H,4)</f>
        <v>1</v>
      </c>
      <c r="E569" s="18">
        <f>VLOOKUP(4175,季財報!A:H,5)</f>
        <v>0</v>
      </c>
      <c r="F569" s="18">
        <f>VLOOKUP(4175,季財報!A:H,6)</f>
        <v>0</v>
      </c>
      <c r="G569" s="18">
        <f>VLOOKUP(4175,季財報!A:H,7)</f>
        <v>0</v>
      </c>
      <c r="N569" s="20">
        <f t="shared" si="8"/>
        <v>1</v>
      </c>
    </row>
    <row r="570" spans="1:19" s="317" customFormat="1">
      <c r="A570" s="309" t="str">
        <f>HYPERLINK("http://www.wantgoo.com/stock/chart.aspx?stockno=2458","2458")</f>
        <v>2458</v>
      </c>
      <c r="B570" s="310"/>
      <c r="C570" s="311">
        <f>VLOOKUP(2458,季財報!A:H,3)</f>
        <v>0</v>
      </c>
      <c r="D570" s="311">
        <f>VLOOKUP(2458,季財報!A:H,4)</f>
        <v>1</v>
      </c>
      <c r="E570" s="311">
        <f>VLOOKUP(2458,季財報!A:H,5)</f>
        <v>0</v>
      </c>
      <c r="F570" s="311">
        <f>VLOOKUP(2458,季財報!A:H,6)</f>
        <v>1</v>
      </c>
      <c r="G570" s="311">
        <f>VLOOKUP(2458,季財報!A:H,7)</f>
        <v>0</v>
      </c>
      <c r="H570" s="312"/>
      <c r="I570" s="312"/>
      <c r="J570" s="312"/>
      <c r="K570" s="312"/>
      <c r="L570" s="312"/>
      <c r="M570" s="313"/>
      <c r="N570" s="312">
        <f t="shared" si="8"/>
        <v>2</v>
      </c>
      <c r="O570" s="314"/>
      <c r="P570" s="314"/>
      <c r="Q570" s="314"/>
      <c r="R570" s="314"/>
      <c r="S570" s="315"/>
    </row>
    <row r="571" spans="1:19">
      <c r="A571" s="308" t="str">
        <f>HYPERLINK("http://www.wantgoo.com/stock/chart.aspx?stockno=3062","3062")</f>
        <v>3062</v>
      </c>
      <c r="C571" s="18">
        <f>VLOOKUP(3062,季財報!A:H,3)</f>
        <v>0</v>
      </c>
      <c r="D571" s="18">
        <f>VLOOKUP(3062,季財報!A:H,4)</f>
        <v>1</v>
      </c>
      <c r="E571" s="18">
        <f>VLOOKUP(3062,季財報!A:H,5)</f>
        <v>0</v>
      </c>
      <c r="F571" s="18">
        <f>VLOOKUP(3062,季財報!A:H,6)</f>
        <v>1</v>
      </c>
      <c r="G571" s="18">
        <f>VLOOKUP(3062,季財報!A:H,7)</f>
        <v>0</v>
      </c>
      <c r="N571" s="20">
        <f t="shared" si="8"/>
        <v>2</v>
      </c>
    </row>
    <row r="572" spans="1:19">
      <c r="A572" s="307" t="str">
        <f>HYPERLINK("http://www.wantgoo.com/stock/chart.aspx?stockno=3093","3093")</f>
        <v>3093</v>
      </c>
      <c r="C572" s="18">
        <f>VLOOKUP(3093,季財報!A:H,3)</f>
        <v>0</v>
      </c>
      <c r="D572" s="18">
        <f>VLOOKUP(3093,季財報!A:H,4)</f>
        <v>1</v>
      </c>
      <c r="E572" s="18">
        <f>VLOOKUP(3093,季財報!A:H,5)</f>
        <v>2</v>
      </c>
      <c r="F572" s="18">
        <f>VLOOKUP(3093,季財報!A:H,6)</f>
        <v>1</v>
      </c>
      <c r="G572" s="18">
        <f>VLOOKUP(3093,季財報!A:H,7)</f>
        <v>0</v>
      </c>
      <c r="N572" s="20">
        <f t="shared" si="8"/>
        <v>4</v>
      </c>
    </row>
    <row r="573" spans="1:19" s="317" customFormat="1">
      <c r="A573" s="309" t="str">
        <f>HYPERLINK("http://www.wantgoo.com/stock/chart.aspx?stockno=3289","3289")</f>
        <v>3289</v>
      </c>
      <c r="B573" s="310"/>
      <c r="C573" s="311">
        <f>VLOOKUP(3289,季財報!A:H,3)</f>
        <v>0</v>
      </c>
      <c r="D573" s="311">
        <f>VLOOKUP(3289,季財報!A:H,4)</f>
        <v>1</v>
      </c>
      <c r="E573" s="311">
        <f>VLOOKUP(3289,季財報!A:H,5)</f>
        <v>1</v>
      </c>
      <c r="F573" s="311">
        <f>VLOOKUP(3289,季財報!A:H,6)</f>
        <v>1</v>
      </c>
      <c r="G573" s="311">
        <f>VLOOKUP(3289,季財報!A:H,7)</f>
        <v>1</v>
      </c>
      <c r="H573" s="312"/>
      <c r="I573" s="312"/>
      <c r="J573" s="312"/>
      <c r="K573" s="312"/>
      <c r="L573" s="312"/>
      <c r="M573" s="313"/>
      <c r="N573" s="312">
        <f t="shared" si="8"/>
        <v>4</v>
      </c>
      <c r="O573" s="314"/>
      <c r="P573" s="314"/>
      <c r="Q573" s="314"/>
      <c r="R573" s="314"/>
      <c r="S573" s="315"/>
    </row>
    <row r="574" spans="1:19" s="317" customFormat="1">
      <c r="A574" s="309" t="str">
        <f>HYPERLINK("http://www.wantgoo.com/stock/chart.aspx?stockno=6239","6239")</f>
        <v>6239</v>
      </c>
      <c r="B574" s="310"/>
      <c r="C574" s="311">
        <f>VLOOKUP(6239,季財報!A:H,3)</f>
        <v>1</v>
      </c>
      <c r="D574" s="311">
        <f>VLOOKUP(6239,季財報!A:H,4)</f>
        <v>1</v>
      </c>
      <c r="E574" s="311">
        <f>VLOOKUP(6239,季財報!A:H,5)</f>
        <v>1</v>
      </c>
      <c r="F574" s="311">
        <f>VLOOKUP(6239,季財報!A:H,6)</f>
        <v>1</v>
      </c>
      <c r="G574" s="311">
        <f>VLOOKUP(6239,季財報!A:H,7)</f>
        <v>0</v>
      </c>
      <c r="H574" s="312"/>
      <c r="I574" s="312"/>
      <c r="J574" s="312"/>
      <c r="K574" s="312"/>
      <c r="L574" s="312"/>
      <c r="M574" s="313"/>
      <c r="N574" s="312">
        <f t="shared" si="8"/>
        <v>4</v>
      </c>
      <c r="O574" s="314"/>
      <c r="P574" s="314"/>
      <c r="Q574" s="314"/>
      <c r="R574" s="314"/>
      <c r="S574" s="315"/>
    </row>
    <row r="575" spans="1:19">
      <c r="A575" s="308" t="str">
        <f>HYPERLINK("http://www.wantgoo.com/stock/chart.aspx?stockno=4908","4908")</f>
        <v>4908</v>
      </c>
      <c r="C575" s="18">
        <f>VLOOKUP(4908,季財報!A:H,3)</f>
        <v>0</v>
      </c>
      <c r="D575" s="18">
        <f>VLOOKUP(4908,季財報!A:H,4)</f>
        <v>1</v>
      </c>
      <c r="E575" s="18">
        <f>VLOOKUP(4908,季財報!A:H,5)</f>
        <v>1</v>
      </c>
      <c r="F575" s="18">
        <f>VLOOKUP(4908,季財報!A:H,6)</f>
        <v>1</v>
      </c>
      <c r="G575" s="18">
        <f>VLOOKUP(4908,季財報!A:H,7)</f>
        <v>0</v>
      </c>
      <c r="N575" s="20">
        <f t="shared" si="8"/>
        <v>3</v>
      </c>
    </row>
    <row r="576" spans="1:19">
      <c r="A576" s="307" t="str">
        <f>HYPERLINK("http://www.wantgoo.com/stock/chart.aspx?stockno=1702","1702")</f>
        <v>1702</v>
      </c>
      <c r="C576" s="18">
        <f>VLOOKUP(1702,季財報!A:H,3)</f>
        <v>0</v>
      </c>
      <c r="D576" s="18">
        <f>VLOOKUP(1702,季財報!A:H,4)</f>
        <v>0</v>
      </c>
      <c r="E576" s="18">
        <f>VLOOKUP(1702,季財報!A:H,5)</f>
        <v>1</v>
      </c>
      <c r="F576" s="18">
        <f>VLOOKUP(1702,季財報!A:H,6)</f>
        <v>1</v>
      </c>
      <c r="G576" s="18">
        <f>VLOOKUP(1702,季財報!A:H,7)</f>
        <v>0</v>
      </c>
      <c r="N576" s="20">
        <f t="shared" si="8"/>
        <v>2</v>
      </c>
    </row>
    <row r="577" spans="1:19">
      <c r="A577" s="308" t="str">
        <f>HYPERLINK("http://www.wantgoo.com/stock/chart.aspx?stockno=2360","2360")</f>
        <v>2360</v>
      </c>
      <c r="C577" s="18">
        <f>VLOOKUP(2360,季財報!A:H,3)</f>
        <v>0</v>
      </c>
      <c r="D577" s="18">
        <f>VLOOKUP(2360,季財報!A:H,4)</f>
        <v>1</v>
      </c>
      <c r="E577" s="18">
        <f>VLOOKUP(2360,季財報!A:H,5)</f>
        <v>0</v>
      </c>
      <c r="F577" s="18">
        <f>VLOOKUP(2360,季財報!A:H,6)</f>
        <v>0</v>
      </c>
      <c r="G577" s="18">
        <f>VLOOKUP(2360,季財報!A:H,7)</f>
        <v>0</v>
      </c>
      <c r="N577" s="20">
        <f t="shared" si="8"/>
        <v>1</v>
      </c>
    </row>
    <row r="578" spans="1:19" s="317" customFormat="1">
      <c r="A578" s="309" t="str">
        <f>HYPERLINK("http://www.wantgoo.com/stock/chart.aspx?stockno=9921","9921")</f>
        <v>9921</v>
      </c>
      <c r="B578" s="310"/>
      <c r="C578" s="311">
        <f>VLOOKUP(9921,季財報!A:H,3)</f>
        <v>1</v>
      </c>
      <c r="D578" s="311">
        <f>VLOOKUP(9921,季財報!A:H,4)</f>
        <v>1</v>
      </c>
      <c r="E578" s="311">
        <f>VLOOKUP(9921,季財報!A:H,5)</f>
        <v>0</v>
      </c>
      <c r="F578" s="311">
        <f>VLOOKUP(9921,季財報!A:H,6)</f>
        <v>1</v>
      </c>
      <c r="G578" s="311">
        <f>VLOOKUP(9921,季財報!A:H,7)</f>
        <v>0</v>
      </c>
      <c r="H578" s="312"/>
      <c r="I578" s="312"/>
      <c r="J578" s="312"/>
      <c r="K578" s="312"/>
      <c r="L578" s="312"/>
      <c r="M578" s="313"/>
      <c r="N578" s="312">
        <f t="shared" si="8"/>
        <v>3</v>
      </c>
      <c r="O578" s="314"/>
      <c r="P578" s="314"/>
      <c r="Q578" s="314"/>
      <c r="R578" s="314"/>
      <c r="S578" s="315"/>
    </row>
    <row r="579" spans="1:19">
      <c r="A579" s="308" t="str">
        <f>HYPERLINK("http://www.wantgoo.com/stock/chart.aspx?stockno=2421","2421")</f>
        <v>2421</v>
      </c>
      <c r="C579" s="18">
        <f>VLOOKUP(2421,季財報!A:H,3)</f>
        <v>1</v>
      </c>
      <c r="D579" s="18">
        <f>VLOOKUP(2421,季財報!A:H,4)</f>
        <v>1</v>
      </c>
      <c r="E579" s="18">
        <f>VLOOKUP(2421,季財報!A:H,5)</f>
        <v>1</v>
      </c>
      <c r="F579" s="18">
        <f>VLOOKUP(2421,季財報!A:H,6)</f>
        <v>1</v>
      </c>
      <c r="G579" s="18">
        <f>VLOOKUP(2421,季財報!A:H,7)</f>
        <v>1</v>
      </c>
      <c r="N579" s="20">
        <f t="shared" si="8"/>
        <v>5</v>
      </c>
    </row>
    <row r="580" spans="1:19">
      <c r="A580" s="308" t="str">
        <f>HYPERLINK("http://www.wantgoo.com/stock/chart.aspx?stockno=3529","3529")</f>
        <v>3529</v>
      </c>
      <c r="C580" s="18">
        <f>VLOOKUP(3529,季財報!A:H,3)</f>
        <v>0</v>
      </c>
      <c r="D580" s="18">
        <f>VLOOKUP(3529,季財報!A:H,4)</f>
        <v>0</v>
      </c>
      <c r="E580" s="18">
        <f>VLOOKUP(3529,季財報!A:H,5)</f>
        <v>1</v>
      </c>
      <c r="F580" s="18">
        <f>VLOOKUP(3529,季財報!A:H,6)</f>
        <v>1</v>
      </c>
      <c r="G580" s="18">
        <f>VLOOKUP(3529,季財報!A:H,7)</f>
        <v>0</v>
      </c>
      <c r="N580" s="20">
        <f t="shared" ref="N580:N643" si="9">SUM(C580:M580)</f>
        <v>2</v>
      </c>
    </row>
    <row r="581" spans="1:19">
      <c r="A581" s="308" t="str">
        <f>HYPERLINK("http://www.wantgoo.com/stock/chart.aspx?stockno=8099","8099")</f>
        <v>8099</v>
      </c>
      <c r="C581" s="18">
        <f>VLOOKUP(8099,季財報!A:H,3)</f>
        <v>0</v>
      </c>
      <c r="D581" s="18">
        <f>VLOOKUP(8099,季財報!A:H,4)</f>
        <v>1</v>
      </c>
      <c r="E581" s="18">
        <f>VLOOKUP(8099,季財報!A:H,5)</f>
        <v>0</v>
      </c>
      <c r="F581" s="18">
        <f>VLOOKUP(8099,季財報!A:H,6)</f>
        <v>0</v>
      </c>
      <c r="G581" s="18">
        <f>VLOOKUP(8099,季財報!A:H,7)</f>
        <v>0</v>
      </c>
      <c r="N581" s="20">
        <f t="shared" si="9"/>
        <v>1</v>
      </c>
    </row>
    <row r="582" spans="1:19">
      <c r="A582" s="308" t="str">
        <f>HYPERLINK("http://www.wantgoo.com/stock/chart.aspx?stockno=4971","4971")</f>
        <v>4971</v>
      </c>
      <c r="C582" s="18">
        <f>VLOOKUP(4971,季財報!A:H,3)</f>
        <v>0</v>
      </c>
      <c r="D582" s="18">
        <f>VLOOKUP(4971,季財報!A:H,4)</f>
        <v>0</v>
      </c>
      <c r="E582" s="18">
        <f>VLOOKUP(4971,季財報!A:H,5)</f>
        <v>0</v>
      </c>
      <c r="F582" s="18">
        <f>VLOOKUP(4971,季財報!A:H,6)</f>
        <v>1</v>
      </c>
      <c r="G582" s="18">
        <f>VLOOKUP(4971,季財報!A:H,7)</f>
        <v>0</v>
      </c>
      <c r="N582" s="20">
        <f t="shared" si="9"/>
        <v>1</v>
      </c>
    </row>
    <row r="583" spans="1:19">
      <c r="A583" s="307" t="str">
        <f>HYPERLINK("http://www.wantgoo.com/stock/chart.aspx?stockno=1604","1604")</f>
        <v>1604</v>
      </c>
      <c r="C583" s="18">
        <f>VLOOKUP(1604,季財報!A:H,3)</f>
        <v>0</v>
      </c>
      <c r="D583" s="18">
        <f>VLOOKUP(1604,季財報!A:H,4)</f>
        <v>0</v>
      </c>
      <c r="E583" s="18">
        <f>VLOOKUP(1604,季財報!A:H,5)</f>
        <v>0</v>
      </c>
      <c r="F583" s="18">
        <f>VLOOKUP(1604,季財報!A:H,6)</f>
        <v>1</v>
      </c>
      <c r="G583" s="18">
        <f>VLOOKUP(1604,季財報!A:H,7)</f>
        <v>0</v>
      </c>
      <c r="N583" s="20">
        <f t="shared" si="9"/>
        <v>1</v>
      </c>
    </row>
    <row r="584" spans="1:19">
      <c r="A584" s="308" t="str">
        <f>HYPERLINK("http://www.wantgoo.com/stock/chart.aspx?stockno=3338","3338")</f>
        <v>3338</v>
      </c>
      <c r="C584" s="18">
        <f>VLOOKUP(3338,季財報!A:H,3)</f>
        <v>1</v>
      </c>
      <c r="D584" s="18">
        <f>VLOOKUP(3338,季財報!A:H,4)</f>
        <v>1</v>
      </c>
      <c r="E584" s="18">
        <f>VLOOKUP(3338,季財報!A:H,5)</f>
        <v>2</v>
      </c>
      <c r="F584" s="18">
        <f>VLOOKUP(3338,季財報!A:H,6)</f>
        <v>1</v>
      </c>
      <c r="G584" s="18">
        <f>VLOOKUP(3338,季財報!A:H,7)</f>
        <v>0</v>
      </c>
      <c r="N584" s="20">
        <f t="shared" si="9"/>
        <v>5</v>
      </c>
    </row>
    <row r="585" spans="1:19">
      <c r="A585" s="308" t="str">
        <f>HYPERLINK("http://www.wantgoo.com/stock/chart.aspx?stockno=6290","6290")</f>
        <v>6290</v>
      </c>
      <c r="C585" s="18">
        <f>VLOOKUP(6290,季財報!A:H,3)</f>
        <v>0</v>
      </c>
      <c r="D585" s="18">
        <f>VLOOKUP(6290,季財報!A:H,4)</f>
        <v>1</v>
      </c>
      <c r="E585" s="18">
        <f>VLOOKUP(6290,季財報!A:H,5)</f>
        <v>0</v>
      </c>
      <c r="F585" s="18">
        <f>VLOOKUP(6290,季財報!A:H,6)</f>
        <v>0</v>
      </c>
      <c r="G585" s="18">
        <f>VLOOKUP(6290,季財報!A:H,7)</f>
        <v>0</v>
      </c>
      <c r="N585" s="20">
        <f t="shared" si="9"/>
        <v>1</v>
      </c>
    </row>
    <row r="586" spans="1:19">
      <c r="A586" s="307" t="str">
        <f>HYPERLINK("http://www.wantgoo.com/stock/chart.aspx?stockno=3026","3026")</f>
        <v>3026</v>
      </c>
      <c r="C586" s="18">
        <f>VLOOKUP(3026,季財報!A:H,3)</f>
        <v>0</v>
      </c>
      <c r="D586" s="18">
        <f>VLOOKUP(3026,季財報!A:H,4)</f>
        <v>0</v>
      </c>
      <c r="E586" s="18">
        <f>VLOOKUP(3026,季財報!A:H,5)</f>
        <v>0</v>
      </c>
      <c r="F586" s="18">
        <f>VLOOKUP(3026,季財報!A:H,6)</f>
        <v>0</v>
      </c>
      <c r="G586" s="18">
        <f>VLOOKUP(3026,季財報!A:H,7)</f>
        <v>0</v>
      </c>
      <c r="N586" s="20">
        <f t="shared" si="9"/>
        <v>0</v>
      </c>
    </row>
    <row r="587" spans="1:19">
      <c r="A587" s="307" t="str">
        <f>HYPERLINK("http://www.wantgoo.com/stock/chart.aspx?stockno=2308","2308")</f>
        <v>2308</v>
      </c>
      <c r="C587" s="18">
        <f>VLOOKUP(2308,季財報!A:H,3)</f>
        <v>1</v>
      </c>
      <c r="D587" s="18">
        <f>VLOOKUP(2308,季財報!A:H,4)</f>
        <v>1</v>
      </c>
      <c r="E587" s="18">
        <f>VLOOKUP(2308,季財報!A:H,5)</f>
        <v>0</v>
      </c>
      <c r="F587" s="18">
        <f>VLOOKUP(2308,季財報!A:H,6)</f>
        <v>1</v>
      </c>
      <c r="G587" s="18">
        <f>VLOOKUP(2308,季財報!A:H,7)</f>
        <v>1</v>
      </c>
      <c r="N587" s="20">
        <f t="shared" si="9"/>
        <v>4</v>
      </c>
    </row>
    <row r="588" spans="1:19">
      <c r="A588" s="307" t="str">
        <f>HYPERLINK("http://www.wantgoo.com/stock/chart.aspx?stockno=2495","2495")</f>
        <v>2495</v>
      </c>
      <c r="C588" s="18">
        <f>VLOOKUP(2495,季財報!A:H,3)</f>
        <v>1</v>
      </c>
      <c r="D588" s="18">
        <f>VLOOKUP(2495,季財報!A:H,4)</f>
        <v>1</v>
      </c>
      <c r="E588" s="18">
        <f>VLOOKUP(2495,季財報!A:H,5)</f>
        <v>0</v>
      </c>
      <c r="F588" s="18">
        <f>VLOOKUP(2495,季財報!A:H,6)</f>
        <v>1</v>
      </c>
      <c r="G588" s="18">
        <f>VLOOKUP(2495,季財報!A:H,7)</f>
        <v>0</v>
      </c>
      <c r="N588" s="20">
        <f t="shared" si="9"/>
        <v>3</v>
      </c>
    </row>
    <row r="589" spans="1:19">
      <c r="A589" s="307" t="str">
        <f>HYPERLINK("http://www.wantgoo.com/stock/chart.aspx?stockno=6111","6111")</f>
        <v>6111</v>
      </c>
      <c r="C589" s="18">
        <f>VLOOKUP(6111,季財報!A:H,3)</f>
        <v>1</v>
      </c>
      <c r="D589" s="18">
        <f>VLOOKUP(6111,季財報!A:H,4)</f>
        <v>1</v>
      </c>
      <c r="E589" s="18">
        <f>VLOOKUP(6111,季財報!A:H,5)</f>
        <v>1</v>
      </c>
      <c r="F589" s="18">
        <f>VLOOKUP(6111,季財報!A:H,6)</f>
        <v>0</v>
      </c>
      <c r="G589" s="18">
        <f>VLOOKUP(6111,季財報!A:H,7)</f>
        <v>1</v>
      </c>
      <c r="N589" s="20">
        <f t="shared" si="9"/>
        <v>4</v>
      </c>
    </row>
    <row r="590" spans="1:19">
      <c r="A590" s="307" t="str">
        <f>HYPERLINK("http://www.wantgoo.com/stock/chart.aspx?stockno=1590","1590")</f>
        <v>1590</v>
      </c>
      <c r="C590" s="18">
        <f>VLOOKUP(1590,季財報!A:H,3)</f>
        <v>0</v>
      </c>
      <c r="D590" s="18">
        <f>VLOOKUP(1590,季財報!A:H,4)</f>
        <v>0</v>
      </c>
      <c r="E590" s="18">
        <f>VLOOKUP(1590,季財報!A:H,5)</f>
        <v>0</v>
      </c>
      <c r="F590" s="18">
        <f>VLOOKUP(1590,季財報!A:H,6)</f>
        <v>1</v>
      </c>
      <c r="G590" s="18">
        <f>VLOOKUP(1590,季財報!A:H,7)</f>
        <v>0</v>
      </c>
      <c r="N590" s="20">
        <f t="shared" si="9"/>
        <v>1</v>
      </c>
    </row>
    <row r="591" spans="1:19">
      <c r="A591" s="308" t="str">
        <f>HYPERLINK("http://www.wantgoo.com/stock/chart.aspx?stockno=3373","3373")</f>
        <v>3373</v>
      </c>
      <c r="C591" s="18">
        <f>VLOOKUP(3373,季財報!A:H,3)</f>
        <v>1</v>
      </c>
      <c r="D591" s="18">
        <f>VLOOKUP(3373,季財報!A:H,4)</f>
        <v>1</v>
      </c>
      <c r="E591" s="18">
        <f>VLOOKUP(3373,季財報!A:H,5)</f>
        <v>0</v>
      </c>
      <c r="F591" s="18">
        <f>VLOOKUP(3373,季財報!A:H,6)</f>
        <v>1</v>
      </c>
      <c r="G591" s="18">
        <f>VLOOKUP(3373,季財報!A:H,7)</f>
        <v>1</v>
      </c>
      <c r="N591" s="20">
        <f t="shared" si="9"/>
        <v>4</v>
      </c>
    </row>
    <row r="592" spans="1:19">
      <c r="A592" s="308" t="str">
        <f>HYPERLINK("http://www.wantgoo.com/stock/chart.aspx?stockno=1717","1717")</f>
        <v>1717</v>
      </c>
      <c r="C592" s="18">
        <f>VLOOKUP(1717,季財報!A:H,3)</f>
        <v>1</v>
      </c>
      <c r="D592" s="18">
        <f>VLOOKUP(1717,季財報!A:H,4)</f>
        <v>1</v>
      </c>
      <c r="E592" s="18">
        <f>VLOOKUP(1717,季財報!A:H,5)</f>
        <v>0</v>
      </c>
      <c r="F592" s="18">
        <f>VLOOKUP(1717,季財報!A:H,6)</f>
        <v>1</v>
      </c>
      <c r="G592" s="18">
        <f>VLOOKUP(1717,季財報!A:H,7)</f>
        <v>0</v>
      </c>
      <c r="N592" s="20">
        <f t="shared" si="9"/>
        <v>3</v>
      </c>
    </row>
    <row r="593" spans="1:19">
      <c r="A593" s="307" t="str">
        <f>HYPERLINK("http://www.wantgoo.com/stock/chart.aspx?stockno=2906","2906")</f>
        <v>2906</v>
      </c>
      <c r="C593" s="18">
        <f>VLOOKUP(2906,季財報!A:H,3)</f>
        <v>0</v>
      </c>
      <c r="D593" s="18">
        <f>VLOOKUP(2906,季財報!A:H,4)</f>
        <v>0</v>
      </c>
      <c r="E593" s="18">
        <f>VLOOKUP(2906,季財報!A:H,5)</f>
        <v>2</v>
      </c>
      <c r="F593" s="18">
        <f>VLOOKUP(2906,季財報!A:H,6)</f>
        <v>0</v>
      </c>
      <c r="G593" s="18">
        <f>VLOOKUP(2906,季財報!A:H,7)</f>
        <v>0</v>
      </c>
      <c r="N593" s="20">
        <f t="shared" si="9"/>
        <v>2</v>
      </c>
    </row>
    <row r="594" spans="1:19">
      <c r="A594" s="307" t="str">
        <f>HYPERLINK("http://www.wantgoo.com/stock/chart.aspx?stockno=8936","8936")</f>
        <v>8936</v>
      </c>
      <c r="C594" s="18">
        <f>VLOOKUP(8936,季財報!A:H,3)</f>
        <v>0</v>
      </c>
      <c r="D594" s="18">
        <f>VLOOKUP(8936,季財報!A:H,4)</f>
        <v>1</v>
      </c>
      <c r="E594" s="18">
        <f>VLOOKUP(8936,季財報!A:H,5)</f>
        <v>0</v>
      </c>
      <c r="F594" s="18">
        <f>VLOOKUP(8936,季財報!A:H,6)</f>
        <v>0</v>
      </c>
      <c r="G594" s="18">
        <f>VLOOKUP(8936,季財報!A:H,7)</f>
        <v>0</v>
      </c>
      <c r="N594" s="20">
        <f t="shared" si="9"/>
        <v>1</v>
      </c>
    </row>
    <row r="595" spans="1:19">
      <c r="A595" s="308" t="str">
        <f>HYPERLINK("http://www.wantgoo.com/stock/chart.aspx?stockno=3444","3444")</f>
        <v>3444</v>
      </c>
      <c r="C595" s="18">
        <f>VLOOKUP(3444,季財報!A:H,3)</f>
        <v>0</v>
      </c>
      <c r="D595" s="18">
        <f>VLOOKUP(3444,季財報!A:H,4)</f>
        <v>1</v>
      </c>
      <c r="E595" s="18">
        <f>VLOOKUP(3444,季財報!A:H,5)</f>
        <v>0</v>
      </c>
      <c r="F595" s="18">
        <f>VLOOKUP(3444,季財報!A:H,6)</f>
        <v>0</v>
      </c>
      <c r="G595" s="18">
        <f>VLOOKUP(3444,季財報!A:H,7)</f>
        <v>0</v>
      </c>
      <c r="N595" s="20">
        <f t="shared" si="9"/>
        <v>1</v>
      </c>
    </row>
    <row r="596" spans="1:19">
      <c r="A596" s="308" t="str">
        <f>HYPERLINK("http://www.wantgoo.com/stock/chart.aspx?stockno=1593","1593")</f>
        <v>1593</v>
      </c>
      <c r="C596" s="18">
        <f>VLOOKUP(1593,季財報!A:H,3)</f>
        <v>1</v>
      </c>
      <c r="D596" s="18">
        <f>VLOOKUP(1593,季財報!A:H,4)</f>
        <v>1</v>
      </c>
      <c r="E596" s="18">
        <f>VLOOKUP(1593,季財報!A:H,5)</f>
        <v>0</v>
      </c>
      <c r="F596" s="18">
        <f>VLOOKUP(1593,季財報!A:H,6)</f>
        <v>1</v>
      </c>
      <c r="G596" s="18">
        <f>VLOOKUP(1593,季財報!A:H,7)</f>
        <v>0</v>
      </c>
      <c r="N596" s="20">
        <f t="shared" si="9"/>
        <v>3</v>
      </c>
    </row>
    <row r="597" spans="1:19">
      <c r="A597" s="308" t="str">
        <f>HYPERLINK("http://www.wantgoo.com/stock/chart.aspx?stockno=6183","6183")</f>
        <v>6183</v>
      </c>
      <c r="C597" s="18">
        <f>VLOOKUP(6183,季財報!A:H,3)</f>
        <v>0</v>
      </c>
      <c r="D597" s="18">
        <f>VLOOKUP(6183,季財報!A:H,4)</f>
        <v>1</v>
      </c>
      <c r="E597" s="18">
        <f>VLOOKUP(6183,季財報!A:H,5)</f>
        <v>0</v>
      </c>
      <c r="F597" s="18">
        <f>VLOOKUP(6183,季財報!A:H,6)</f>
        <v>0</v>
      </c>
      <c r="G597" s="18">
        <f>VLOOKUP(6183,季財報!A:H,7)</f>
        <v>0</v>
      </c>
      <c r="N597" s="20">
        <f t="shared" si="9"/>
        <v>1</v>
      </c>
    </row>
    <row r="598" spans="1:19">
      <c r="A598" s="307" t="str">
        <f>HYPERLINK("http://www.wantgoo.com/stock/chart.aspx?stockno=2642","2642")</f>
        <v>2642</v>
      </c>
      <c r="C598" s="18">
        <f>VLOOKUP(2642,季財報!A:H,3)</f>
        <v>0</v>
      </c>
      <c r="D598" s="18">
        <f>VLOOKUP(2642,季財報!A:H,4)</f>
        <v>0</v>
      </c>
      <c r="E598" s="18">
        <f>VLOOKUP(2642,季財報!A:H,5)</f>
        <v>2</v>
      </c>
      <c r="F598" s="18">
        <f>VLOOKUP(2642,季財報!A:H,6)</f>
        <v>1</v>
      </c>
      <c r="G598" s="18">
        <f>VLOOKUP(2642,季財報!A:H,7)</f>
        <v>0</v>
      </c>
      <c r="N598" s="20">
        <f t="shared" si="9"/>
        <v>3</v>
      </c>
    </row>
    <row r="599" spans="1:19">
      <c r="A599" s="308" t="str">
        <f>HYPERLINK("http://www.wantgoo.com/stock/chart.aspx?stockno=5457","5457")</f>
        <v>5457</v>
      </c>
      <c r="C599" s="18">
        <f>VLOOKUP(5457,季財報!A:H,3)</f>
        <v>0</v>
      </c>
      <c r="D599" s="18">
        <f>VLOOKUP(5457,季財報!A:H,4)</f>
        <v>0</v>
      </c>
      <c r="E599" s="18">
        <f>VLOOKUP(5457,季財報!A:H,5)</f>
        <v>0</v>
      </c>
      <c r="F599" s="18">
        <f>VLOOKUP(5457,季財報!A:H,6)</f>
        <v>0</v>
      </c>
      <c r="G599" s="18">
        <f>VLOOKUP(5457,季財報!A:H,7)</f>
        <v>0</v>
      </c>
      <c r="N599" s="20">
        <f t="shared" si="9"/>
        <v>0</v>
      </c>
    </row>
    <row r="600" spans="1:19">
      <c r="A600" s="308" t="str">
        <f>HYPERLINK("http://www.wantgoo.com/stock/chart.aspx?stockno=1536","1536")</f>
        <v>1536</v>
      </c>
      <c r="C600" s="18">
        <f>VLOOKUP(1536,季財報!A:H,3)</f>
        <v>1</v>
      </c>
      <c r="D600" s="18">
        <f>VLOOKUP(1536,季財報!A:H,4)</f>
        <v>1</v>
      </c>
      <c r="E600" s="18">
        <f>VLOOKUP(1536,季財報!A:H,5)</f>
        <v>0</v>
      </c>
      <c r="F600" s="18">
        <f>VLOOKUP(1536,季財報!A:H,6)</f>
        <v>1</v>
      </c>
      <c r="G600" s="18">
        <f>VLOOKUP(1536,季財報!A:H,7)</f>
        <v>1</v>
      </c>
      <c r="N600" s="20">
        <f t="shared" si="9"/>
        <v>4</v>
      </c>
    </row>
    <row r="601" spans="1:19">
      <c r="A601" s="308" t="str">
        <f>HYPERLINK("http://www.wantgoo.com/stock/chart.aspx?stockno=2063","2063")</f>
        <v>2063</v>
      </c>
      <c r="C601" s="18">
        <f>VLOOKUP(2063,季財報!A:H,3)</f>
        <v>0</v>
      </c>
      <c r="D601" s="18">
        <f>VLOOKUP(2063,季財報!A:H,4)</f>
        <v>1</v>
      </c>
      <c r="E601" s="18">
        <f>VLOOKUP(2063,季財報!A:H,5)</f>
        <v>0</v>
      </c>
      <c r="F601" s="18">
        <f>VLOOKUP(2063,季財報!A:H,6)</f>
        <v>1</v>
      </c>
      <c r="G601" s="18">
        <f>VLOOKUP(2063,季財報!A:H,7)</f>
        <v>0</v>
      </c>
      <c r="N601" s="20">
        <f t="shared" si="9"/>
        <v>2</v>
      </c>
    </row>
    <row r="602" spans="1:19">
      <c r="A602" s="307" t="str">
        <f>HYPERLINK("http://www.wantgoo.com/stock/chart.aspx?stockno=2374","2374")</f>
        <v>2374</v>
      </c>
      <c r="C602" s="18">
        <f>VLOOKUP(2374,季財報!A:H,3)</f>
        <v>1</v>
      </c>
      <c r="D602" s="18">
        <f>VLOOKUP(2374,季財報!A:H,4)</f>
        <v>1</v>
      </c>
      <c r="E602" s="18">
        <f>VLOOKUP(2374,季財報!A:H,5)</f>
        <v>0</v>
      </c>
      <c r="F602" s="18">
        <f>VLOOKUP(2374,季財報!A:H,6)</f>
        <v>0</v>
      </c>
      <c r="G602" s="18">
        <f>VLOOKUP(2374,季財報!A:H,7)</f>
        <v>0</v>
      </c>
      <c r="N602" s="20">
        <f t="shared" si="9"/>
        <v>2</v>
      </c>
    </row>
    <row r="603" spans="1:19">
      <c r="A603" s="307" t="str">
        <f>HYPERLINK("http://www.wantgoo.com/stock/chart.aspx?stockno=4107","4107")</f>
        <v>4107</v>
      </c>
      <c r="C603" s="18">
        <f>VLOOKUP(4107,季財報!A:H,3)</f>
        <v>1</v>
      </c>
      <c r="D603" s="18">
        <f>VLOOKUP(4107,季財報!A:H,4)</f>
        <v>1</v>
      </c>
      <c r="E603" s="18">
        <f>VLOOKUP(4107,季財報!A:H,5)</f>
        <v>0</v>
      </c>
      <c r="F603" s="18">
        <f>VLOOKUP(4107,季財報!A:H,6)</f>
        <v>1</v>
      </c>
      <c r="G603" s="18">
        <f>VLOOKUP(4107,季財報!A:H,7)</f>
        <v>0</v>
      </c>
      <c r="N603" s="20">
        <f t="shared" si="9"/>
        <v>3</v>
      </c>
    </row>
    <row r="604" spans="1:19">
      <c r="A604" s="307" t="str">
        <f>HYPERLINK("http://www.wantgoo.com/stock/chart.aspx?stockno=3624","3624")</f>
        <v>3624</v>
      </c>
      <c r="C604" s="18">
        <f>VLOOKUP(3624,季財報!A:H,3)</f>
        <v>1</v>
      </c>
      <c r="D604" s="18">
        <f>VLOOKUP(3624,季財報!A:H,4)</f>
        <v>1</v>
      </c>
      <c r="E604" s="18">
        <f>VLOOKUP(3624,季財報!A:H,5)</f>
        <v>0</v>
      </c>
      <c r="F604" s="18">
        <f>VLOOKUP(3624,季財報!A:H,6)</f>
        <v>1</v>
      </c>
      <c r="G604" s="18">
        <f>VLOOKUP(3624,季財報!A:H,7)</f>
        <v>0</v>
      </c>
      <c r="N604" s="20">
        <f t="shared" si="9"/>
        <v>3</v>
      </c>
    </row>
    <row r="605" spans="1:19" s="317" customFormat="1">
      <c r="A605" s="309" t="str">
        <f>HYPERLINK("http://www.wantgoo.com/stock/chart.aspx?stockno=2345","2345")</f>
        <v>2345</v>
      </c>
      <c r="B605" s="310"/>
      <c r="C605" s="311">
        <f>VLOOKUP(2345,季財報!A:H,3)</f>
        <v>1</v>
      </c>
      <c r="D605" s="311">
        <f>VLOOKUP(2345,季財報!A:H,4)</f>
        <v>1</v>
      </c>
      <c r="E605" s="311">
        <f>VLOOKUP(2345,季財報!A:H,5)</f>
        <v>1</v>
      </c>
      <c r="F605" s="311">
        <f>VLOOKUP(2345,季財報!A:H,6)</f>
        <v>1</v>
      </c>
      <c r="G605" s="311">
        <f>VLOOKUP(2345,季財報!A:H,7)</f>
        <v>0</v>
      </c>
      <c r="H605" s="312"/>
      <c r="I605" s="312"/>
      <c r="J605" s="312"/>
      <c r="K605" s="312"/>
      <c r="L605" s="312"/>
      <c r="M605" s="313"/>
      <c r="N605" s="312">
        <f t="shared" si="9"/>
        <v>4</v>
      </c>
      <c r="O605" s="314"/>
      <c r="P605" s="314"/>
      <c r="Q605" s="314"/>
      <c r="R605" s="314"/>
      <c r="S605" s="315"/>
    </row>
    <row r="606" spans="1:19">
      <c r="A606" s="307" t="str">
        <f>HYPERLINK("http://www.wantgoo.com/stock/chart.aspx?stockno=1592","1592")</f>
        <v>1592</v>
      </c>
      <c r="C606" s="18">
        <f>VLOOKUP(1592,季財報!A:H,3)</f>
        <v>1</v>
      </c>
      <c r="D606" s="18">
        <f>VLOOKUP(1592,季財報!A:H,4)</f>
        <v>1</v>
      </c>
      <c r="E606" s="18">
        <f>VLOOKUP(1592,季財報!A:H,5)</f>
        <v>0</v>
      </c>
      <c r="F606" s="18">
        <f>VLOOKUP(1592,季財報!A:H,6)</f>
        <v>1</v>
      </c>
      <c r="G606" s="18">
        <f>VLOOKUP(1592,季財報!A:H,7)</f>
        <v>0</v>
      </c>
      <c r="N606" s="20">
        <f t="shared" si="9"/>
        <v>3</v>
      </c>
    </row>
    <row r="607" spans="1:19">
      <c r="A607" s="307" t="str">
        <f>HYPERLINK("http://www.wantgoo.com/stock/chart.aspx?stockno=6184","6184")</f>
        <v>6184</v>
      </c>
      <c r="C607" s="18">
        <f>VLOOKUP(6184,季財報!A:H,3)</f>
        <v>0</v>
      </c>
      <c r="D607" s="18">
        <f>VLOOKUP(6184,季財報!A:H,4)</f>
        <v>0</v>
      </c>
      <c r="E607" s="18">
        <f>VLOOKUP(6184,季財報!A:H,5)</f>
        <v>0</v>
      </c>
      <c r="F607" s="18">
        <f>VLOOKUP(6184,季財報!A:H,6)</f>
        <v>0</v>
      </c>
      <c r="G607" s="18">
        <f>VLOOKUP(6184,季財報!A:H,7)</f>
        <v>1</v>
      </c>
      <c r="N607" s="20">
        <f t="shared" si="9"/>
        <v>1</v>
      </c>
    </row>
    <row r="608" spans="1:19">
      <c r="A608" s="308" t="str">
        <f>HYPERLINK("http://www.wantgoo.com/stock/chart.aspx?stockno=3141","3141")</f>
        <v>3141</v>
      </c>
      <c r="C608" s="18">
        <f>VLOOKUP(3141,季財報!A:H,3)</f>
        <v>0</v>
      </c>
      <c r="D608" s="18">
        <f>VLOOKUP(3141,季財報!A:H,4)</f>
        <v>1</v>
      </c>
      <c r="E608" s="18">
        <f>VLOOKUP(3141,季財報!A:H,5)</f>
        <v>0</v>
      </c>
      <c r="F608" s="18">
        <f>VLOOKUP(3141,季財報!A:H,6)</f>
        <v>1</v>
      </c>
      <c r="G608" s="18">
        <f>VLOOKUP(3141,季財報!A:H,7)</f>
        <v>0</v>
      </c>
      <c r="N608" s="20">
        <f t="shared" si="9"/>
        <v>2</v>
      </c>
    </row>
    <row r="609" spans="1:14">
      <c r="A609" s="308" t="str">
        <f>HYPERLINK("http://www.wantgoo.com/stock/chart.aspx?stockno=2616","2616")</f>
        <v>2616</v>
      </c>
      <c r="C609" s="18">
        <f>VLOOKUP(2616,季財報!A:H,3)</f>
        <v>0</v>
      </c>
      <c r="D609" s="18">
        <f>VLOOKUP(2616,季財報!A:H,4)</f>
        <v>1</v>
      </c>
      <c r="E609" s="18">
        <f>VLOOKUP(2616,季財報!A:H,5)</f>
        <v>1</v>
      </c>
      <c r="F609" s="18">
        <f>VLOOKUP(2616,季財報!A:H,6)</f>
        <v>1</v>
      </c>
      <c r="G609" s="18">
        <f>VLOOKUP(2616,季財報!A:H,7)</f>
        <v>0</v>
      </c>
      <c r="N609" s="20">
        <f t="shared" si="9"/>
        <v>3</v>
      </c>
    </row>
    <row r="610" spans="1:14">
      <c r="A610" s="308" t="str">
        <f>HYPERLINK("http://www.wantgoo.com/stock/chart.aspx?stockno=6166","6166")</f>
        <v>6166</v>
      </c>
      <c r="C610" s="18">
        <f>VLOOKUP(6166,季財報!A:H,3)</f>
        <v>0</v>
      </c>
      <c r="D610" s="18">
        <f>VLOOKUP(6166,季財報!A:H,4)</f>
        <v>0</v>
      </c>
      <c r="E610" s="18">
        <f>VLOOKUP(6166,季財報!A:H,5)</f>
        <v>0</v>
      </c>
      <c r="F610" s="18">
        <f>VLOOKUP(6166,季財報!A:H,6)</f>
        <v>1</v>
      </c>
      <c r="G610" s="18">
        <f>VLOOKUP(6166,季財報!A:H,7)</f>
        <v>1</v>
      </c>
      <c r="N610" s="20">
        <f t="shared" si="9"/>
        <v>2</v>
      </c>
    </row>
    <row r="611" spans="1:14">
      <c r="A611" s="307" t="str">
        <f>HYPERLINK("http://www.wantgoo.com/stock/chart.aspx?stockno=2414","2414")</f>
        <v>2414</v>
      </c>
      <c r="C611" s="18">
        <f>VLOOKUP(2414,季財報!A:H,3)</f>
        <v>0</v>
      </c>
      <c r="D611" s="18">
        <f>VLOOKUP(2414,季財報!A:H,4)</f>
        <v>1</v>
      </c>
      <c r="E611" s="18">
        <f>VLOOKUP(2414,季財報!A:H,5)</f>
        <v>0</v>
      </c>
      <c r="F611" s="18">
        <f>VLOOKUP(2414,季財報!A:H,6)</f>
        <v>0</v>
      </c>
      <c r="G611" s="18">
        <f>VLOOKUP(2414,季財報!A:H,7)</f>
        <v>0</v>
      </c>
      <c r="N611" s="20">
        <f t="shared" si="9"/>
        <v>1</v>
      </c>
    </row>
    <row r="612" spans="1:14">
      <c r="A612" s="308" t="str">
        <f>HYPERLINK("http://www.wantgoo.com/stock/chart.aspx?stockno=1701","1701")</f>
        <v>1701</v>
      </c>
      <c r="C612" s="18">
        <f>VLOOKUP(1701,季財報!A:H,3)</f>
        <v>0</v>
      </c>
      <c r="D612" s="18">
        <f>VLOOKUP(1701,季財報!A:H,4)</f>
        <v>1</v>
      </c>
      <c r="E612" s="18">
        <f>VLOOKUP(1701,季財報!A:H,5)</f>
        <v>1</v>
      </c>
      <c r="F612" s="18">
        <f>VLOOKUP(1701,季財報!A:H,6)</f>
        <v>1</v>
      </c>
      <c r="G612" s="18">
        <f>VLOOKUP(1701,季財報!A:H,7)</f>
        <v>0</v>
      </c>
      <c r="N612" s="20">
        <f t="shared" si="9"/>
        <v>3</v>
      </c>
    </row>
    <row r="613" spans="1:14">
      <c r="A613" s="308" t="str">
        <f>HYPERLINK("http://www.wantgoo.com/stock/chart.aspx?stockno=9933","9933")</f>
        <v>9933</v>
      </c>
      <c r="C613" s="18">
        <f>VLOOKUP(9933,季財報!A:H,3)</f>
        <v>0</v>
      </c>
      <c r="D613" s="18">
        <f>VLOOKUP(9933,季財報!A:H,4)</f>
        <v>0</v>
      </c>
      <c r="E613" s="18">
        <f>VLOOKUP(9933,季財報!A:H,5)</f>
        <v>1</v>
      </c>
      <c r="F613" s="18">
        <f>VLOOKUP(9933,季財報!A:H,6)</f>
        <v>0</v>
      </c>
      <c r="G613" s="18">
        <f>VLOOKUP(9933,季財報!A:H,7)</f>
        <v>0</v>
      </c>
      <c r="N613" s="20">
        <f t="shared" si="9"/>
        <v>1</v>
      </c>
    </row>
    <row r="614" spans="1:14">
      <c r="A614" s="307" t="str">
        <f>HYPERLINK("http://www.wantgoo.com/stock/chart.aspx?stockno=2912","2912")</f>
        <v>2912</v>
      </c>
      <c r="C614" s="18">
        <f>VLOOKUP(2912,季財報!A:H,3)</f>
        <v>0</v>
      </c>
      <c r="D614" s="18">
        <f>VLOOKUP(2912,季財報!A:H,4)</f>
        <v>1</v>
      </c>
      <c r="E614" s="18">
        <f>VLOOKUP(2912,季財報!A:H,5)</f>
        <v>0</v>
      </c>
      <c r="F614" s="18">
        <f>VLOOKUP(2912,季財報!A:H,6)</f>
        <v>1</v>
      </c>
      <c r="G614" s="18">
        <f>VLOOKUP(2912,季財報!A:H,7)</f>
        <v>0</v>
      </c>
      <c r="N614" s="20">
        <f t="shared" si="9"/>
        <v>2</v>
      </c>
    </row>
    <row r="615" spans="1:14">
      <c r="A615" s="307" t="str">
        <f>HYPERLINK("http://www.wantgoo.com/stock/chart.aspx?stockno=5272","5272")</f>
        <v>5272</v>
      </c>
      <c r="C615" s="18">
        <f>VLOOKUP(5272,季財報!A:H,3)</f>
        <v>0</v>
      </c>
      <c r="D615" s="18">
        <f>VLOOKUP(5272,季財報!A:H,4)</f>
        <v>0</v>
      </c>
      <c r="E615" s="18">
        <f>VLOOKUP(5272,季財報!A:H,5)</f>
        <v>0</v>
      </c>
      <c r="F615" s="18">
        <f>VLOOKUP(5272,季財報!A:H,6)</f>
        <v>1</v>
      </c>
      <c r="G615" s="18">
        <f>VLOOKUP(5272,季財報!A:H,7)</f>
        <v>0</v>
      </c>
      <c r="N615" s="20">
        <f t="shared" si="9"/>
        <v>1</v>
      </c>
    </row>
    <row r="616" spans="1:14">
      <c r="A616" s="307" t="str">
        <f>HYPERLINK("http://www.wantgoo.com/stock/chart.aspx?stockno=1465","1465")</f>
        <v>1465</v>
      </c>
      <c r="C616" s="18">
        <f>VLOOKUP(1465,季財報!A:H,3)</f>
        <v>1</v>
      </c>
      <c r="D616" s="18">
        <f>VLOOKUP(1465,季財報!A:H,4)</f>
        <v>1</v>
      </c>
      <c r="E616" s="18">
        <f>VLOOKUP(1465,季財報!A:H,5)</f>
        <v>1</v>
      </c>
      <c r="F616" s="18">
        <f>VLOOKUP(1465,季財報!A:H,6)</f>
        <v>0</v>
      </c>
      <c r="G616" s="18">
        <f>VLOOKUP(1465,季財報!A:H,7)</f>
        <v>0</v>
      </c>
      <c r="N616" s="20">
        <f t="shared" si="9"/>
        <v>3</v>
      </c>
    </row>
    <row r="617" spans="1:14">
      <c r="A617" s="307" t="str">
        <f>HYPERLINK("http://www.wantgoo.com/stock/chart.aspx?stockno=6154","6154")</f>
        <v>6154</v>
      </c>
      <c r="C617" s="18">
        <f>VLOOKUP(6154,季財報!A:H,3)</f>
        <v>0</v>
      </c>
      <c r="D617" s="18">
        <f>VLOOKUP(6154,季財報!A:H,4)</f>
        <v>1</v>
      </c>
      <c r="E617" s="18">
        <f>VLOOKUP(6154,季財報!A:H,5)</f>
        <v>0</v>
      </c>
      <c r="F617" s="18">
        <f>VLOOKUP(6154,季財報!A:H,6)</f>
        <v>1</v>
      </c>
      <c r="G617" s="18">
        <f>VLOOKUP(6154,季財報!A:H,7)</f>
        <v>0</v>
      </c>
      <c r="N617" s="20">
        <f t="shared" si="9"/>
        <v>2</v>
      </c>
    </row>
    <row r="618" spans="1:14">
      <c r="A618" s="307" t="str">
        <f>HYPERLINK("http://www.wantgoo.com/stock/chart.aspx?stockno=8406","8406")</f>
        <v>8406</v>
      </c>
      <c r="C618" s="18">
        <f>VLOOKUP(8406,季財報!A:H,3)</f>
        <v>0</v>
      </c>
      <c r="D618" s="18">
        <f>VLOOKUP(8406,季財報!A:H,4)</f>
        <v>0</v>
      </c>
      <c r="E618" s="18">
        <f>VLOOKUP(8406,季財報!A:H,5)</f>
        <v>0</v>
      </c>
      <c r="F618" s="18">
        <f>VLOOKUP(8406,季財報!A:H,6)</f>
        <v>1</v>
      </c>
      <c r="G618" s="18">
        <f>VLOOKUP(8406,季財報!A:H,7)</f>
        <v>0</v>
      </c>
      <c r="N618" s="20">
        <f t="shared" si="9"/>
        <v>1</v>
      </c>
    </row>
    <row r="619" spans="1:14">
      <c r="A619" s="308" t="str">
        <f>HYPERLINK("http://www.wantgoo.com/stock/chart.aspx?stockno=6285","6285")</f>
        <v>6285</v>
      </c>
      <c r="C619" s="18">
        <f>VLOOKUP(6285,季財報!A:H,3)</f>
        <v>1</v>
      </c>
      <c r="D619" s="18">
        <f>VLOOKUP(6285,季財報!A:H,4)</f>
        <v>1</v>
      </c>
      <c r="E619" s="18">
        <f>VLOOKUP(6285,季財報!A:H,5)</f>
        <v>0</v>
      </c>
      <c r="F619" s="18">
        <f>VLOOKUP(6285,季財報!A:H,6)</f>
        <v>1</v>
      </c>
      <c r="G619" s="18">
        <f>VLOOKUP(6285,季財報!A:H,7)</f>
        <v>1</v>
      </c>
      <c r="N619" s="20">
        <f t="shared" si="9"/>
        <v>4</v>
      </c>
    </row>
    <row r="620" spans="1:14">
      <c r="A620" s="308" t="str">
        <f>HYPERLINK("http://www.wantgoo.com/stock/chart.aspx?stockno=1591","1591")</f>
        <v>1591</v>
      </c>
      <c r="C620" s="18">
        <f>VLOOKUP(1591,季財報!A:H,3)</f>
        <v>0</v>
      </c>
      <c r="D620" s="18">
        <f>VLOOKUP(1591,季財報!A:H,4)</f>
        <v>1</v>
      </c>
      <c r="E620" s="18">
        <f>VLOOKUP(1591,季財報!A:H,5)</f>
        <v>0</v>
      </c>
      <c r="F620" s="18">
        <f>VLOOKUP(1591,季財報!A:H,6)</f>
        <v>0</v>
      </c>
      <c r="G620" s="18">
        <f>VLOOKUP(1591,季財報!A:H,7)</f>
        <v>0</v>
      </c>
      <c r="N620" s="20">
        <f t="shared" si="9"/>
        <v>1</v>
      </c>
    </row>
    <row r="621" spans="1:14">
      <c r="A621" s="308" t="str">
        <f>HYPERLINK("http://www.wantgoo.com/stock/chart.aspx?stockno=6465","6465")</f>
        <v>6465</v>
      </c>
      <c r="C621" s="18">
        <f>VLOOKUP(6465,季財報!A:H,3)</f>
        <v>1</v>
      </c>
      <c r="D621" s="18">
        <f>VLOOKUP(6465,季財報!A:H,4)</f>
        <v>1</v>
      </c>
      <c r="E621" s="18">
        <f>VLOOKUP(6465,季財報!A:H,5)</f>
        <v>0</v>
      </c>
      <c r="F621" s="18">
        <f>VLOOKUP(6465,季財報!A:H,6)</f>
        <v>1</v>
      </c>
      <c r="G621" s="18">
        <f>VLOOKUP(6465,季財報!A:H,7)</f>
        <v>0</v>
      </c>
      <c r="N621" s="20">
        <f t="shared" si="9"/>
        <v>3</v>
      </c>
    </row>
    <row r="622" spans="1:14">
      <c r="A622" s="307" t="str">
        <f>HYPERLINK("http://www.wantgoo.com/stock/chart.aspx?stockno=6204","6204")</f>
        <v>6204</v>
      </c>
      <c r="C622" s="18">
        <f>VLOOKUP(6204,季財報!A:H,3)</f>
        <v>0</v>
      </c>
      <c r="D622" s="18">
        <f>VLOOKUP(6204,季財報!A:H,4)</f>
        <v>1</v>
      </c>
      <c r="E622" s="18">
        <f>VLOOKUP(6204,季財報!A:H,5)</f>
        <v>0</v>
      </c>
      <c r="F622" s="18">
        <f>VLOOKUP(6204,季財報!A:H,6)</f>
        <v>1</v>
      </c>
      <c r="G622" s="18">
        <f>VLOOKUP(6204,季財報!A:H,7)</f>
        <v>0</v>
      </c>
      <c r="N622" s="20">
        <f t="shared" si="9"/>
        <v>2</v>
      </c>
    </row>
    <row r="623" spans="1:14">
      <c r="A623" s="308" t="str">
        <f>HYPERLINK("http://www.wantgoo.com/stock/chart.aspx?stockno=3221","3221")</f>
        <v>3221</v>
      </c>
      <c r="C623" s="18">
        <f>VLOOKUP(3221,季財報!A:H,3)</f>
        <v>1</v>
      </c>
      <c r="D623" s="18">
        <f>VLOOKUP(3221,季財報!A:H,4)</f>
        <v>1</v>
      </c>
      <c r="E623" s="18">
        <f>VLOOKUP(3221,季財報!A:H,5)</f>
        <v>1</v>
      </c>
      <c r="F623" s="18">
        <f>VLOOKUP(3221,季財報!A:H,6)</f>
        <v>1</v>
      </c>
      <c r="G623" s="18">
        <f>VLOOKUP(3221,季財報!A:H,7)</f>
        <v>0</v>
      </c>
      <c r="N623" s="20">
        <f t="shared" si="9"/>
        <v>4</v>
      </c>
    </row>
    <row r="624" spans="1:14">
      <c r="A624" s="308" t="str">
        <f>HYPERLINK("http://www.wantgoo.com/stock/chart.aspx?stockno=3428","3428")</f>
        <v>3428</v>
      </c>
      <c r="C624" s="18">
        <f>VLOOKUP(3428,季財報!A:H,3)</f>
        <v>1</v>
      </c>
      <c r="D624" s="18">
        <f>VLOOKUP(3428,季財報!A:H,4)</f>
        <v>1</v>
      </c>
      <c r="E624" s="18">
        <f>VLOOKUP(3428,季財報!A:H,5)</f>
        <v>2</v>
      </c>
      <c r="F624" s="18">
        <f>VLOOKUP(3428,季財報!A:H,6)</f>
        <v>1</v>
      </c>
      <c r="G624" s="18">
        <f>VLOOKUP(3428,季財報!A:H,7)</f>
        <v>0</v>
      </c>
      <c r="N624" s="20">
        <f t="shared" si="9"/>
        <v>5</v>
      </c>
    </row>
    <row r="625" spans="1:14">
      <c r="A625" s="307" t="str">
        <f>HYPERLINK("http://www.wantgoo.com/stock/chart.aspx?stockno=8436","8436")</f>
        <v>8436</v>
      </c>
      <c r="C625" s="18">
        <f>VLOOKUP(8436,季財報!A:H,3)</f>
        <v>0</v>
      </c>
      <c r="D625" s="18">
        <f>VLOOKUP(8436,季財報!A:H,4)</f>
        <v>0</v>
      </c>
      <c r="E625" s="18">
        <f>VLOOKUP(8436,季財報!A:H,5)</f>
        <v>2</v>
      </c>
      <c r="F625" s="18">
        <f>VLOOKUP(8436,季財報!A:H,6)</f>
        <v>1</v>
      </c>
      <c r="G625" s="18">
        <f>VLOOKUP(8436,季財報!A:H,7)</f>
        <v>1</v>
      </c>
      <c r="N625" s="20">
        <f t="shared" si="9"/>
        <v>4</v>
      </c>
    </row>
    <row r="626" spans="1:14">
      <c r="A626" s="307" t="str">
        <f>HYPERLINK("http://www.wantgoo.com/stock/chart.aspx?stockno=1725","1725")</f>
        <v>1725</v>
      </c>
      <c r="C626" s="18">
        <f>VLOOKUP(1725,季財報!A:H,3)</f>
        <v>0</v>
      </c>
      <c r="D626" s="18">
        <f>VLOOKUP(1725,季財報!A:H,4)</f>
        <v>1</v>
      </c>
      <c r="E626" s="18">
        <f>VLOOKUP(1725,季財報!A:H,5)</f>
        <v>1</v>
      </c>
      <c r="F626" s="18">
        <f>VLOOKUP(1725,季財報!A:H,6)</f>
        <v>1</v>
      </c>
      <c r="G626" s="18">
        <f>VLOOKUP(1725,季財報!A:H,7)</f>
        <v>0</v>
      </c>
      <c r="N626" s="20">
        <f t="shared" si="9"/>
        <v>3</v>
      </c>
    </row>
    <row r="627" spans="1:14">
      <c r="A627" s="307" t="str">
        <f>HYPERLINK("http://www.wantgoo.com/stock/chart.aspx?stockno=4303","4303")</f>
        <v>4303</v>
      </c>
      <c r="C627" s="18">
        <f>VLOOKUP(4303,季財報!A:H,3)</f>
        <v>1</v>
      </c>
      <c r="D627" s="18">
        <f>VLOOKUP(4303,季財報!A:H,4)</f>
        <v>1</v>
      </c>
      <c r="E627" s="18">
        <f>VLOOKUP(4303,季財報!A:H,5)</f>
        <v>0</v>
      </c>
      <c r="F627" s="18">
        <f>VLOOKUP(4303,季財報!A:H,6)</f>
        <v>0</v>
      </c>
      <c r="G627" s="18">
        <f>VLOOKUP(4303,季財報!A:H,7)</f>
        <v>0</v>
      </c>
      <c r="N627" s="20">
        <f t="shared" si="9"/>
        <v>2</v>
      </c>
    </row>
    <row r="628" spans="1:14">
      <c r="A628" s="308" t="str">
        <f>HYPERLINK("http://www.wantgoo.com/stock/chart.aspx?stockno=3679","3679")</f>
        <v>3679</v>
      </c>
      <c r="C628" s="18">
        <f>VLOOKUP(3679,季財報!A:H,3)</f>
        <v>1</v>
      </c>
      <c r="D628" s="18">
        <f>VLOOKUP(3679,季財報!A:H,4)</f>
        <v>1</v>
      </c>
      <c r="E628" s="18">
        <f>VLOOKUP(3679,季財報!A:H,5)</f>
        <v>0</v>
      </c>
      <c r="F628" s="18">
        <f>VLOOKUP(3679,季財報!A:H,6)</f>
        <v>0</v>
      </c>
      <c r="G628" s="18">
        <f>VLOOKUP(3679,季財報!A:H,7)</f>
        <v>1</v>
      </c>
      <c r="N628" s="20">
        <f t="shared" si="9"/>
        <v>3</v>
      </c>
    </row>
    <row r="629" spans="1:14">
      <c r="A629" s="307" t="str">
        <f>HYPERLINK("http://www.wantgoo.com/stock/chart.aspx?stockno=3443","3443")</f>
        <v>3443</v>
      </c>
      <c r="C629" s="18">
        <f>VLOOKUP(3443,季財報!A:H,3)</f>
        <v>1</v>
      </c>
      <c r="D629" s="18">
        <f>VLOOKUP(3443,季財報!A:H,4)</f>
        <v>1</v>
      </c>
      <c r="E629" s="18">
        <f>VLOOKUP(3443,季財報!A:H,5)</f>
        <v>0</v>
      </c>
      <c r="F629" s="18">
        <f>VLOOKUP(3443,季財報!A:H,6)</f>
        <v>1</v>
      </c>
      <c r="G629" s="18">
        <f>VLOOKUP(3443,季財報!A:H,7)</f>
        <v>0</v>
      </c>
      <c r="N629" s="20">
        <f t="shared" si="9"/>
        <v>3</v>
      </c>
    </row>
    <row r="630" spans="1:14">
      <c r="A630" s="307" t="str">
        <f>HYPERLINK("http://www.wantgoo.com/stock/chart.aspx?stockno=3374","3374")</f>
        <v>3374</v>
      </c>
      <c r="C630" s="18">
        <f>VLOOKUP(3374,季財報!A:H,3)</f>
        <v>0</v>
      </c>
      <c r="D630" s="18">
        <f>VLOOKUP(3374,季財報!A:H,4)</f>
        <v>0</v>
      </c>
      <c r="E630" s="18">
        <f>VLOOKUP(3374,季財報!A:H,5)</f>
        <v>0</v>
      </c>
      <c r="F630" s="18">
        <f>VLOOKUP(3374,季財報!A:H,6)</f>
        <v>0</v>
      </c>
      <c r="G630" s="18">
        <f>VLOOKUP(3374,季財報!A:H,7)</f>
        <v>0</v>
      </c>
      <c r="N630" s="20">
        <f t="shared" si="9"/>
        <v>0</v>
      </c>
    </row>
    <row r="631" spans="1:14">
      <c r="A631" s="308" t="str">
        <f>HYPERLINK("http://www.wantgoo.com/stock/chart.aspx?stockno=5388","5388")</f>
        <v>5388</v>
      </c>
      <c r="C631" s="18">
        <f>VLOOKUP(5388,季財報!A:H,3)</f>
        <v>1</v>
      </c>
      <c r="D631" s="18">
        <f>VLOOKUP(5388,季財報!A:H,4)</f>
        <v>1</v>
      </c>
      <c r="E631" s="18">
        <f>VLOOKUP(5388,季財報!A:H,5)</f>
        <v>1</v>
      </c>
      <c r="F631" s="18">
        <f>VLOOKUP(5388,季財報!A:H,6)</f>
        <v>1</v>
      </c>
      <c r="G631" s="18">
        <f>VLOOKUP(5388,季財報!A:H,7)</f>
        <v>1</v>
      </c>
      <c r="N631" s="20">
        <f t="shared" si="9"/>
        <v>5</v>
      </c>
    </row>
    <row r="632" spans="1:14">
      <c r="A632" s="308" t="str">
        <f>HYPERLINK("http://www.wantgoo.com/stock/chart.aspx?stockno=5269","5269")</f>
        <v>5269</v>
      </c>
      <c r="C632" s="18">
        <f>VLOOKUP(5269,季財報!A:H,3)</f>
        <v>1</v>
      </c>
      <c r="D632" s="18">
        <f>VLOOKUP(5269,季財報!A:H,4)</f>
        <v>1</v>
      </c>
      <c r="E632" s="18">
        <f>VLOOKUP(5269,季財報!A:H,5)</f>
        <v>2</v>
      </c>
      <c r="F632" s="18">
        <f>VLOOKUP(5269,季財報!A:H,6)</f>
        <v>1</v>
      </c>
      <c r="G632" s="18">
        <f>VLOOKUP(5269,季財報!A:H,7)</f>
        <v>1</v>
      </c>
      <c r="N632" s="20">
        <f t="shared" si="9"/>
        <v>6</v>
      </c>
    </row>
    <row r="633" spans="1:14">
      <c r="A633" s="307" t="str">
        <f>HYPERLINK("http://www.wantgoo.com/stock/chart.aspx?stockno=1727","1727")</f>
        <v>1727</v>
      </c>
      <c r="C633" s="18">
        <f>VLOOKUP(1727,季財報!A:H,3)</f>
        <v>0</v>
      </c>
      <c r="D633" s="18">
        <f>VLOOKUP(1727,季財報!A:H,4)</f>
        <v>1</v>
      </c>
      <c r="E633" s="18">
        <f>VLOOKUP(1727,季財報!A:H,5)</f>
        <v>0</v>
      </c>
      <c r="F633" s="18">
        <f>VLOOKUP(1727,季財報!A:H,6)</f>
        <v>1</v>
      </c>
      <c r="G633" s="18">
        <f>VLOOKUP(1727,季財報!A:H,7)</f>
        <v>0</v>
      </c>
      <c r="N633" s="20">
        <f t="shared" si="9"/>
        <v>2</v>
      </c>
    </row>
    <row r="634" spans="1:14">
      <c r="A634" s="307" t="str">
        <f>HYPERLINK("http://www.wantgoo.com/stock/chart.aspx?stockno=2923","2923")</f>
        <v>2923</v>
      </c>
      <c r="C634" s="18">
        <f>VLOOKUP(2923,季財報!A:H,3)</f>
        <v>0</v>
      </c>
      <c r="D634" s="18">
        <f>VLOOKUP(2923,季財報!A:H,4)</f>
        <v>0</v>
      </c>
      <c r="E634" s="18">
        <f>VLOOKUP(2923,季財報!A:H,5)</f>
        <v>2</v>
      </c>
      <c r="F634" s="18">
        <f>VLOOKUP(2923,季財報!A:H,6)</f>
        <v>1</v>
      </c>
      <c r="G634" s="18">
        <f>VLOOKUP(2923,季財報!A:H,7)</f>
        <v>1</v>
      </c>
      <c r="N634" s="20">
        <f t="shared" si="9"/>
        <v>4</v>
      </c>
    </row>
    <row r="635" spans="1:14">
      <c r="A635" s="308" t="str">
        <f>HYPERLINK("http://www.wantgoo.com/stock/chart.aspx?stockno=3014","3014")</f>
        <v>3014</v>
      </c>
      <c r="C635" s="18">
        <f>VLOOKUP(3014,季財報!A:H,3)</f>
        <v>0</v>
      </c>
      <c r="D635" s="18">
        <f>VLOOKUP(3014,季財報!A:H,4)</f>
        <v>1</v>
      </c>
      <c r="E635" s="18">
        <f>VLOOKUP(3014,季財報!A:H,5)</f>
        <v>1</v>
      </c>
      <c r="F635" s="18">
        <f>VLOOKUP(3014,季財報!A:H,6)</f>
        <v>1</v>
      </c>
      <c r="G635" s="18">
        <f>VLOOKUP(3014,季財報!A:H,7)</f>
        <v>0</v>
      </c>
      <c r="N635" s="20">
        <f t="shared" si="9"/>
        <v>3</v>
      </c>
    </row>
    <row r="636" spans="1:14">
      <c r="A636" s="308" t="str">
        <f>HYPERLINK("http://www.wantgoo.com/stock/chart.aspx?stockno=3532","3532")</f>
        <v>3532</v>
      </c>
      <c r="C636" s="18">
        <f>VLOOKUP(3532,季財報!A:H,3)</f>
        <v>1</v>
      </c>
      <c r="D636" s="18">
        <f>VLOOKUP(3532,季財報!A:H,4)</f>
        <v>1</v>
      </c>
      <c r="E636" s="18">
        <f>VLOOKUP(3532,季財報!A:H,5)</f>
        <v>0</v>
      </c>
      <c r="F636" s="18">
        <f>VLOOKUP(3532,季財報!A:H,6)</f>
        <v>1</v>
      </c>
      <c r="G636" s="18">
        <f>VLOOKUP(3532,季財報!A:H,7)</f>
        <v>0</v>
      </c>
      <c r="N636" s="20">
        <f t="shared" si="9"/>
        <v>3</v>
      </c>
    </row>
    <row r="637" spans="1:14">
      <c r="A637" s="307" t="str">
        <f>HYPERLINK("http://www.wantgoo.com/stock/chart.aspx?stockno=2468","2468")</f>
        <v>2468</v>
      </c>
      <c r="C637" s="18">
        <f>VLOOKUP(2468,季財報!A:H,3)</f>
        <v>0</v>
      </c>
      <c r="D637" s="18">
        <f>VLOOKUP(2468,季財報!A:H,4)</f>
        <v>1</v>
      </c>
      <c r="E637" s="18">
        <f>VLOOKUP(2468,季財報!A:H,5)</f>
        <v>1</v>
      </c>
      <c r="F637" s="18">
        <f>VLOOKUP(2468,季財報!A:H,6)</f>
        <v>0</v>
      </c>
      <c r="G637" s="18">
        <f>VLOOKUP(2468,季財報!A:H,7)</f>
        <v>0</v>
      </c>
      <c r="N637" s="20">
        <f t="shared" si="9"/>
        <v>2</v>
      </c>
    </row>
    <row r="638" spans="1:14">
      <c r="A638" s="307" t="str">
        <f>HYPERLINK("http://www.wantgoo.com/stock/chart.aspx?stockno=2722","2722")</f>
        <v>2722</v>
      </c>
      <c r="C638" s="18">
        <f>VLOOKUP(2722,季財報!A:H,3)</f>
        <v>0</v>
      </c>
      <c r="D638" s="18">
        <f>VLOOKUP(2722,季財報!A:H,4)</f>
        <v>1</v>
      </c>
      <c r="E638" s="18">
        <f>VLOOKUP(2722,季財報!A:H,5)</f>
        <v>0</v>
      </c>
      <c r="F638" s="18">
        <f>VLOOKUP(2722,季財報!A:H,6)</f>
        <v>0</v>
      </c>
      <c r="G638" s="18">
        <f>VLOOKUP(2722,季財報!A:H,7)</f>
        <v>0</v>
      </c>
      <c r="N638" s="20">
        <f t="shared" si="9"/>
        <v>1</v>
      </c>
    </row>
    <row r="639" spans="1:14">
      <c r="A639" s="307" t="str">
        <f>HYPERLINK("http://www.wantgoo.com/stock/chart.aspx?stockno=4735","4735")</f>
        <v>4735</v>
      </c>
      <c r="C639" s="18">
        <f>VLOOKUP(4735,季財報!A:H,3)</f>
        <v>1</v>
      </c>
      <c r="D639" s="18">
        <f>VLOOKUP(4735,季財報!A:H,4)</f>
        <v>1</v>
      </c>
      <c r="E639" s="18">
        <f>VLOOKUP(4735,季財報!A:H,5)</f>
        <v>0</v>
      </c>
      <c r="F639" s="18">
        <f>VLOOKUP(4735,季財報!A:H,6)</f>
        <v>1</v>
      </c>
      <c r="G639" s="18">
        <f>VLOOKUP(4735,季財報!A:H,7)</f>
        <v>0</v>
      </c>
      <c r="N639" s="20">
        <f t="shared" si="9"/>
        <v>3</v>
      </c>
    </row>
    <row r="640" spans="1:14">
      <c r="A640" s="308" t="str">
        <f>HYPERLINK("http://www.wantgoo.com/stock/chart.aspx?stockno=1720","1720")</f>
        <v>1720</v>
      </c>
      <c r="C640" s="18">
        <f>VLOOKUP(1720,季財報!A:H,3)</f>
        <v>0</v>
      </c>
      <c r="D640" s="18">
        <f>VLOOKUP(1720,季財報!A:H,4)</f>
        <v>1</v>
      </c>
      <c r="E640" s="18">
        <f>VLOOKUP(1720,季財報!A:H,5)</f>
        <v>1</v>
      </c>
      <c r="F640" s="18">
        <f>VLOOKUP(1720,季財報!A:H,6)</f>
        <v>1</v>
      </c>
      <c r="G640" s="18">
        <f>VLOOKUP(1720,季財報!A:H,7)</f>
        <v>0</v>
      </c>
      <c r="N640" s="20">
        <f t="shared" si="9"/>
        <v>3</v>
      </c>
    </row>
    <row r="641" spans="1:14">
      <c r="A641" s="307" t="str">
        <f>HYPERLINK("http://www.wantgoo.com/stock/chart.aspx?stockno=2439","2439")</f>
        <v>2439</v>
      </c>
      <c r="C641" s="18">
        <f>VLOOKUP(2439,季財報!A:H,3)</f>
        <v>0</v>
      </c>
      <c r="D641" s="18">
        <f>VLOOKUP(2439,季財報!A:H,4)</f>
        <v>1</v>
      </c>
      <c r="E641" s="18">
        <f>VLOOKUP(2439,季財報!A:H,5)</f>
        <v>0</v>
      </c>
      <c r="F641" s="18">
        <f>VLOOKUP(2439,季財報!A:H,6)</f>
        <v>1</v>
      </c>
      <c r="G641" s="18">
        <f>VLOOKUP(2439,季財報!A:H,7)</f>
        <v>0</v>
      </c>
      <c r="N641" s="20">
        <f t="shared" si="9"/>
        <v>2</v>
      </c>
    </row>
    <row r="642" spans="1:14">
      <c r="A642" s="308" t="str">
        <f>HYPERLINK("http://www.wantgoo.com/stock/chart.aspx?stockno=3285","3285")</f>
        <v>3285</v>
      </c>
      <c r="C642" s="18">
        <f>VLOOKUP(3285,季財報!A:H,3)</f>
        <v>1</v>
      </c>
      <c r="D642" s="18">
        <f>VLOOKUP(3285,季財報!A:H,4)</f>
        <v>1</v>
      </c>
      <c r="E642" s="18">
        <f>VLOOKUP(3285,季財報!A:H,5)</f>
        <v>1</v>
      </c>
      <c r="F642" s="18">
        <f>VLOOKUP(3285,季財報!A:H,6)</f>
        <v>1</v>
      </c>
      <c r="G642" s="18">
        <f>VLOOKUP(3285,季財報!A:H,7)</f>
        <v>0</v>
      </c>
      <c r="N642" s="20">
        <f t="shared" si="9"/>
        <v>4</v>
      </c>
    </row>
    <row r="643" spans="1:14">
      <c r="A643" s="307" t="str">
        <f>HYPERLINK("http://www.wantgoo.com/stock/chart.aspx?stockno=6145","6145")</f>
        <v>6145</v>
      </c>
      <c r="C643" s="18">
        <f>VLOOKUP(6145,季財報!A:H,3)</f>
        <v>0</v>
      </c>
      <c r="D643" s="18">
        <f>VLOOKUP(6145,季財報!A:H,4)</f>
        <v>1</v>
      </c>
      <c r="E643" s="18">
        <f>VLOOKUP(6145,季財報!A:H,5)</f>
        <v>0</v>
      </c>
      <c r="F643" s="18">
        <f>VLOOKUP(6145,季財報!A:H,6)</f>
        <v>1</v>
      </c>
      <c r="G643" s="18">
        <f>VLOOKUP(6145,季財報!A:H,7)</f>
        <v>0</v>
      </c>
      <c r="N643" s="20">
        <f t="shared" si="9"/>
        <v>2</v>
      </c>
    </row>
    <row r="644" spans="1:14">
      <c r="A644" s="308" t="str">
        <f>HYPERLINK("http://www.wantgoo.com/stock/chart.aspx?stockno=2207","2207")</f>
        <v>2207</v>
      </c>
      <c r="C644" s="18">
        <f>VLOOKUP(2207,季財報!A:H,3)</f>
        <v>0</v>
      </c>
      <c r="D644" s="18">
        <f>VLOOKUP(2207,季財報!A:H,4)</f>
        <v>1</v>
      </c>
      <c r="E644" s="18">
        <f>VLOOKUP(2207,季財報!A:H,5)</f>
        <v>0</v>
      </c>
      <c r="F644" s="18">
        <f>VLOOKUP(2207,季財報!A:H,6)</f>
        <v>1</v>
      </c>
      <c r="G644" s="18">
        <f>VLOOKUP(2207,季財報!A:H,7)</f>
        <v>0</v>
      </c>
      <c r="N644" s="20">
        <f t="shared" ref="N644:N707" si="10">SUM(C644:M644)</f>
        <v>2</v>
      </c>
    </row>
    <row r="645" spans="1:14">
      <c r="A645" s="308" t="str">
        <f>HYPERLINK("http://www.wantgoo.com/stock/chart.aspx?stockno=8916","8916")</f>
        <v>8916</v>
      </c>
      <c r="C645" s="18">
        <f>VLOOKUP(8916,季財報!A:H,3)</f>
        <v>1</v>
      </c>
      <c r="D645" s="18">
        <f>VLOOKUP(8916,季財報!A:H,4)</f>
        <v>1</v>
      </c>
      <c r="E645" s="18">
        <f>VLOOKUP(8916,季財報!A:H,5)</f>
        <v>2</v>
      </c>
      <c r="F645" s="18">
        <f>VLOOKUP(8916,季財報!A:H,6)</f>
        <v>1</v>
      </c>
      <c r="G645" s="18">
        <f>VLOOKUP(8916,季財報!A:H,7)</f>
        <v>0</v>
      </c>
      <c r="N645" s="20">
        <f t="shared" si="10"/>
        <v>5</v>
      </c>
    </row>
    <row r="646" spans="1:14">
      <c r="A646" s="308" t="str">
        <f>HYPERLINK("http://www.wantgoo.com/stock/chart.aspx?stockno=1519","1519")</f>
        <v>1519</v>
      </c>
      <c r="C646" s="18">
        <f>VLOOKUP(1519,季財報!A:H,3)</f>
        <v>0</v>
      </c>
      <c r="D646" s="18">
        <f>VLOOKUP(1519,季財報!A:H,4)</f>
        <v>0</v>
      </c>
      <c r="E646" s="18">
        <f>VLOOKUP(1519,季財報!A:H,5)</f>
        <v>0</v>
      </c>
      <c r="F646" s="18">
        <f>VLOOKUP(1519,季財報!A:H,6)</f>
        <v>0</v>
      </c>
      <c r="G646" s="18">
        <f>VLOOKUP(1519,季財報!A:H,7)</f>
        <v>0</v>
      </c>
      <c r="N646" s="20">
        <f t="shared" si="10"/>
        <v>0</v>
      </c>
    </row>
    <row r="647" spans="1:14">
      <c r="A647" s="308" t="str">
        <f>HYPERLINK("http://www.wantgoo.com/stock/chart.aspx?stockno=3653","3653")</f>
        <v>3653</v>
      </c>
      <c r="C647" s="18">
        <f>VLOOKUP(3653,季財報!A:H,3)</f>
        <v>1</v>
      </c>
      <c r="D647" s="18">
        <f>VLOOKUP(3653,季財報!A:H,4)</f>
        <v>1</v>
      </c>
      <c r="E647" s="18">
        <f>VLOOKUP(3653,季財報!A:H,5)</f>
        <v>0</v>
      </c>
      <c r="F647" s="18">
        <f>VLOOKUP(3653,季財報!A:H,6)</f>
        <v>1</v>
      </c>
      <c r="G647" s="18">
        <f>VLOOKUP(3653,季財報!A:H,7)</f>
        <v>0</v>
      </c>
      <c r="N647" s="20">
        <f t="shared" si="10"/>
        <v>3</v>
      </c>
    </row>
    <row r="648" spans="1:14">
      <c r="A648" s="307" t="str">
        <f>HYPERLINK("http://www.wantgoo.com/stock/chart.aspx?stockno=3552","3552")</f>
        <v>3552</v>
      </c>
      <c r="C648" s="18">
        <f>VLOOKUP(3552,季財報!A:H,3)</f>
        <v>1</v>
      </c>
      <c r="D648" s="18">
        <f>VLOOKUP(3552,季財報!A:H,4)</f>
        <v>1</v>
      </c>
      <c r="E648" s="18">
        <f>VLOOKUP(3552,季財報!A:H,5)</f>
        <v>0</v>
      </c>
      <c r="F648" s="18">
        <f>VLOOKUP(3552,季財報!A:H,6)</f>
        <v>1</v>
      </c>
      <c r="G648" s="18">
        <f>VLOOKUP(3552,季財報!A:H,7)</f>
        <v>0</v>
      </c>
      <c r="N648" s="20">
        <f t="shared" si="10"/>
        <v>3</v>
      </c>
    </row>
    <row r="649" spans="1:14">
      <c r="A649" s="308" t="str">
        <f>HYPERLINK("http://www.wantgoo.com/stock/chart.aspx?stockno=8044","8044")</f>
        <v>8044</v>
      </c>
      <c r="C649" s="18">
        <f>VLOOKUP(8044,季財報!A:H,3)</f>
        <v>0</v>
      </c>
      <c r="D649" s="18">
        <f>VLOOKUP(8044,季財報!A:H,4)</f>
        <v>1</v>
      </c>
      <c r="E649" s="18">
        <f>VLOOKUP(8044,季財報!A:H,5)</f>
        <v>0</v>
      </c>
      <c r="F649" s="18">
        <f>VLOOKUP(8044,季財報!A:H,6)</f>
        <v>0</v>
      </c>
      <c r="G649" s="18">
        <f>VLOOKUP(8044,季財報!A:H,7)</f>
        <v>0</v>
      </c>
      <c r="N649" s="20">
        <f t="shared" si="10"/>
        <v>1</v>
      </c>
    </row>
    <row r="650" spans="1:14">
      <c r="A650" s="308" t="str">
        <f>HYPERLINK("http://www.wantgoo.com/stock/chart.aspx?stockno=1568","1568")</f>
        <v>1568</v>
      </c>
      <c r="C650" s="18">
        <f>VLOOKUP(1568,季財報!A:H,3)</f>
        <v>1</v>
      </c>
      <c r="D650" s="18">
        <f>VLOOKUP(1568,季財報!A:H,4)</f>
        <v>1</v>
      </c>
      <c r="E650" s="18">
        <f>VLOOKUP(1568,季財報!A:H,5)</f>
        <v>0</v>
      </c>
      <c r="F650" s="18">
        <f>VLOOKUP(1568,季財報!A:H,6)</f>
        <v>1</v>
      </c>
      <c r="G650" s="18">
        <f>VLOOKUP(1568,季財報!A:H,7)</f>
        <v>0</v>
      </c>
      <c r="N650" s="20">
        <f t="shared" si="10"/>
        <v>3</v>
      </c>
    </row>
    <row r="651" spans="1:14">
      <c r="A651" s="308" t="str">
        <f>HYPERLINK("http://www.wantgoo.com/stock/chart.aspx?stockno=5704","5704")</f>
        <v>5704</v>
      </c>
      <c r="C651" s="18">
        <f>VLOOKUP(5704,季財報!A:H,3)</f>
        <v>0</v>
      </c>
      <c r="D651" s="18">
        <f>VLOOKUP(5704,季財報!A:H,4)</f>
        <v>1</v>
      </c>
      <c r="E651" s="18">
        <f>VLOOKUP(5704,季財報!A:H,5)</f>
        <v>0</v>
      </c>
      <c r="F651" s="18">
        <f>VLOOKUP(5704,季財報!A:H,6)</f>
        <v>0</v>
      </c>
      <c r="G651" s="18">
        <f>VLOOKUP(5704,季財報!A:H,7)</f>
        <v>0</v>
      </c>
      <c r="N651" s="20">
        <f t="shared" si="10"/>
        <v>1</v>
      </c>
    </row>
    <row r="652" spans="1:14">
      <c r="A652" s="308" t="str">
        <f>HYPERLINK("http://www.wantgoo.com/stock/chart.aspx?stockno=2485","2485")</f>
        <v>2485</v>
      </c>
      <c r="C652" s="18">
        <f>VLOOKUP(2485,季財報!A:H,3)</f>
        <v>1</v>
      </c>
      <c r="D652" s="18">
        <f>VLOOKUP(2485,季財報!A:H,4)</f>
        <v>1</v>
      </c>
      <c r="E652" s="18">
        <f>VLOOKUP(2485,季財報!A:H,5)</f>
        <v>1</v>
      </c>
      <c r="F652" s="18">
        <f>VLOOKUP(2485,季財報!A:H,6)</f>
        <v>1</v>
      </c>
      <c r="G652" s="18">
        <f>VLOOKUP(2485,季財報!A:H,7)</f>
        <v>1</v>
      </c>
      <c r="N652" s="20">
        <f t="shared" si="10"/>
        <v>5</v>
      </c>
    </row>
    <row r="653" spans="1:14">
      <c r="A653" s="308" t="str">
        <f>HYPERLINK("http://www.wantgoo.com/stock/chart.aspx?stockno=1752","1752")</f>
        <v>1752</v>
      </c>
      <c r="C653" s="18">
        <f>VLOOKUP(1752,季財報!A:H,3)</f>
        <v>1</v>
      </c>
      <c r="D653" s="18">
        <f>VLOOKUP(1752,季財報!A:H,4)</f>
        <v>1</v>
      </c>
      <c r="E653" s="18">
        <f>VLOOKUP(1752,季財報!A:H,5)</f>
        <v>0</v>
      </c>
      <c r="F653" s="18">
        <f>VLOOKUP(1752,季財報!A:H,6)</f>
        <v>1</v>
      </c>
      <c r="G653" s="18">
        <f>VLOOKUP(1752,季財報!A:H,7)</f>
        <v>0</v>
      </c>
      <c r="N653" s="20">
        <f t="shared" si="10"/>
        <v>3</v>
      </c>
    </row>
    <row r="654" spans="1:14">
      <c r="A654" s="308" t="str">
        <f>HYPERLINK("http://www.wantgoo.com/stock/chart.aspx?stockno=1460","1460")</f>
        <v>1460</v>
      </c>
      <c r="C654" s="18">
        <f>VLOOKUP(1460,季財報!A:H,3)</f>
        <v>0</v>
      </c>
      <c r="D654" s="18">
        <f>VLOOKUP(1460,季財報!A:H,4)</f>
        <v>1</v>
      </c>
      <c r="E654" s="18">
        <f>VLOOKUP(1460,季財報!A:H,5)</f>
        <v>1</v>
      </c>
      <c r="F654" s="18">
        <f>VLOOKUP(1460,季財報!A:H,6)</f>
        <v>1</v>
      </c>
      <c r="G654" s="18">
        <f>VLOOKUP(1460,季財報!A:H,7)</f>
        <v>0</v>
      </c>
      <c r="N654" s="20">
        <f t="shared" si="10"/>
        <v>3</v>
      </c>
    </row>
    <row r="655" spans="1:14">
      <c r="A655" s="308" t="str">
        <f>HYPERLINK("http://www.wantgoo.com/stock/chart.aspx?stockno=3035","3035")</f>
        <v>3035</v>
      </c>
      <c r="C655" s="18">
        <f>VLOOKUP(3035,季財報!A:H,3)</f>
        <v>0</v>
      </c>
      <c r="D655" s="18">
        <f>VLOOKUP(3035,季財報!A:H,4)</f>
        <v>1</v>
      </c>
      <c r="E655" s="18">
        <f>VLOOKUP(3035,季財報!A:H,5)</f>
        <v>0</v>
      </c>
      <c r="F655" s="18">
        <f>VLOOKUP(3035,季財報!A:H,6)</f>
        <v>0</v>
      </c>
      <c r="G655" s="18">
        <f>VLOOKUP(3035,季財報!A:H,7)</f>
        <v>0</v>
      </c>
      <c r="N655" s="20">
        <f t="shared" si="10"/>
        <v>1</v>
      </c>
    </row>
    <row r="656" spans="1:14">
      <c r="A656" s="308" t="str">
        <f>HYPERLINK("http://www.wantgoo.com/stock/chart.aspx?stockno=4127","4127")</f>
        <v>4127</v>
      </c>
      <c r="C656" s="18">
        <f>VLOOKUP(4127,季財報!A:H,3)</f>
        <v>0</v>
      </c>
      <c r="D656" s="18">
        <f>VLOOKUP(4127,季財報!A:H,4)</f>
        <v>0</v>
      </c>
      <c r="E656" s="18">
        <f>VLOOKUP(4127,季財報!A:H,5)</f>
        <v>0</v>
      </c>
      <c r="F656" s="18">
        <f>VLOOKUP(4127,季財報!A:H,6)</f>
        <v>0</v>
      </c>
      <c r="G656" s="18">
        <f>VLOOKUP(4127,季財報!A:H,7)</f>
        <v>0</v>
      </c>
      <c r="N656" s="20">
        <f t="shared" si="10"/>
        <v>0</v>
      </c>
    </row>
    <row r="657" spans="1:14">
      <c r="A657" s="307" t="str">
        <f>HYPERLINK("http://www.wantgoo.com/stock/chart.aspx?stockno=5609","5609")</f>
        <v>5609</v>
      </c>
      <c r="C657" s="18">
        <f>VLOOKUP(5609,季財報!A:H,3)</f>
        <v>0</v>
      </c>
      <c r="D657" s="18">
        <f>VLOOKUP(5609,季財報!A:H,4)</f>
        <v>0</v>
      </c>
      <c r="E657" s="18">
        <f>VLOOKUP(5609,季財報!A:H,5)</f>
        <v>1</v>
      </c>
      <c r="F657" s="18">
        <f>VLOOKUP(5609,季財報!A:H,6)</f>
        <v>0</v>
      </c>
      <c r="G657" s="18">
        <f>VLOOKUP(5609,季財報!A:H,7)</f>
        <v>0</v>
      </c>
      <c r="N657" s="20">
        <f t="shared" si="10"/>
        <v>1</v>
      </c>
    </row>
    <row r="658" spans="1:14">
      <c r="A658" s="308" t="str">
        <f>HYPERLINK("http://www.wantgoo.com/stock/chart.aspx?stockno=4702","4702")</f>
        <v>4702</v>
      </c>
      <c r="C658" s="18">
        <f>VLOOKUP(4702,季財報!A:H,3)</f>
        <v>0</v>
      </c>
      <c r="D658" s="18">
        <f>VLOOKUP(4702,季財報!A:H,4)</f>
        <v>0</v>
      </c>
      <c r="E658" s="18">
        <f>VLOOKUP(4702,季財報!A:H,5)</f>
        <v>0</v>
      </c>
      <c r="F658" s="18">
        <f>VLOOKUP(4702,季財報!A:H,6)</f>
        <v>1</v>
      </c>
      <c r="G658" s="18">
        <f>VLOOKUP(4702,季財報!A:H,7)</f>
        <v>0</v>
      </c>
      <c r="N658" s="20">
        <f t="shared" si="10"/>
        <v>1</v>
      </c>
    </row>
    <row r="659" spans="1:14">
      <c r="A659" s="307" t="str">
        <f>HYPERLINK("http://www.wantgoo.com/stock/chart.aspx?stockno=8923","8923")</f>
        <v>8923</v>
      </c>
      <c r="C659" s="18">
        <f>VLOOKUP(8923,季財報!A:H,3)</f>
        <v>0</v>
      </c>
      <c r="D659" s="18">
        <f>VLOOKUP(8923,季財報!A:H,4)</f>
        <v>1</v>
      </c>
      <c r="E659" s="18">
        <f>VLOOKUP(8923,季財報!A:H,5)</f>
        <v>0</v>
      </c>
      <c r="F659" s="18">
        <f>VLOOKUP(8923,季財報!A:H,6)</f>
        <v>0</v>
      </c>
      <c r="G659" s="18">
        <f>VLOOKUP(8923,季財報!A:H,7)</f>
        <v>0</v>
      </c>
      <c r="N659" s="20">
        <f t="shared" si="10"/>
        <v>1</v>
      </c>
    </row>
    <row r="660" spans="1:14">
      <c r="A660" s="308" t="str">
        <f>HYPERLINK("http://www.wantgoo.com/stock/chart.aspx?stockno=6123","6123")</f>
        <v>6123</v>
      </c>
      <c r="C660" s="18">
        <f>VLOOKUP(6123,季財報!A:H,3)</f>
        <v>1</v>
      </c>
      <c r="D660" s="18">
        <f>VLOOKUP(6123,季財報!A:H,4)</f>
        <v>1</v>
      </c>
      <c r="E660" s="18">
        <f>VLOOKUP(6123,季財報!A:H,5)</f>
        <v>1</v>
      </c>
      <c r="F660" s="18">
        <f>VLOOKUP(6123,季財報!A:H,6)</f>
        <v>0</v>
      </c>
      <c r="G660" s="18">
        <f>VLOOKUP(6123,季財報!A:H,7)</f>
        <v>0</v>
      </c>
      <c r="N660" s="20">
        <f t="shared" si="10"/>
        <v>3</v>
      </c>
    </row>
    <row r="661" spans="1:14">
      <c r="A661" s="308" t="str">
        <f>HYPERLINK("http://www.wantgoo.com/stock/chart.aspx?stockno=1724","1724")</f>
        <v>1724</v>
      </c>
      <c r="C661" s="18">
        <f>VLOOKUP(1724,季財報!A:H,3)</f>
        <v>1</v>
      </c>
      <c r="D661" s="18">
        <f>VLOOKUP(1724,季財報!A:H,4)</f>
        <v>1</v>
      </c>
      <c r="E661" s="18">
        <f>VLOOKUP(1724,季財報!A:H,5)</f>
        <v>1</v>
      </c>
      <c r="F661" s="18">
        <f>VLOOKUP(1724,季財報!A:H,6)</f>
        <v>1</v>
      </c>
      <c r="G661" s="18">
        <f>VLOOKUP(1724,季財報!A:H,7)</f>
        <v>0</v>
      </c>
      <c r="N661" s="20">
        <f t="shared" si="10"/>
        <v>4</v>
      </c>
    </row>
    <row r="662" spans="1:14">
      <c r="A662" s="308" t="str">
        <f>HYPERLINK("http://www.wantgoo.com/stock/chart.aspx?stockno=6180","6180")</f>
        <v>6180</v>
      </c>
      <c r="C662" s="18">
        <f>VLOOKUP(6180,季財報!A:H,3)</f>
        <v>0</v>
      </c>
      <c r="D662" s="18">
        <f>VLOOKUP(6180,季財報!A:H,4)</f>
        <v>0</v>
      </c>
      <c r="E662" s="18">
        <f>VLOOKUP(6180,季財報!A:H,5)</f>
        <v>2</v>
      </c>
      <c r="F662" s="18">
        <f>VLOOKUP(6180,季財報!A:H,6)</f>
        <v>0</v>
      </c>
      <c r="G662" s="18">
        <f>VLOOKUP(6180,季財報!A:H,7)</f>
        <v>0</v>
      </c>
      <c r="N662" s="20">
        <f t="shared" si="10"/>
        <v>2</v>
      </c>
    </row>
    <row r="663" spans="1:14">
      <c r="A663" s="307" t="str">
        <f>HYPERLINK("http://www.wantgoo.com/stock/chart.aspx?stockno=2379","2379")</f>
        <v>2379</v>
      </c>
      <c r="C663" s="18">
        <f>VLOOKUP(2379,季財報!A:H,3)</f>
        <v>0</v>
      </c>
      <c r="D663" s="18">
        <f>VLOOKUP(2379,季財報!A:H,4)</f>
        <v>1</v>
      </c>
      <c r="E663" s="18">
        <f>VLOOKUP(2379,季財報!A:H,5)</f>
        <v>1</v>
      </c>
      <c r="F663" s="18">
        <f>VLOOKUP(2379,季財報!A:H,6)</f>
        <v>0</v>
      </c>
      <c r="G663" s="18">
        <f>VLOOKUP(2379,季財報!A:H,7)</f>
        <v>0</v>
      </c>
      <c r="N663" s="20">
        <f t="shared" si="10"/>
        <v>2</v>
      </c>
    </row>
    <row r="664" spans="1:14">
      <c r="A664" s="307" t="str">
        <f>HYPERLINK("http://www.wantgoo.com/stock/chart.aspx?stockno=6218","6218")</f>
        <v>6218</v>
      </c>
      <c r="C664" s="18">
        <f>VLOOKUP(6218,季財報!A:H,3)</f>
        <v>1</v>
      </c>
      <c r="D664" s="18">
        <f>VLOOKUP(6218,季財報!A:H,4)</f>
        <v>1</v>
      </c>
      <c r="E664" s="18">
        <f>VLOOKUP(6218,季財報!A:H,5)</f>
        <v>0</v>
      </c>
      <c r="F664" s="18">
        <f>VLOOKUP(6218,季財報!A:H,6)</f>
        <v>0</v>
      </c>
      <c r="G664" s="18">
        <f>VLOOKUP(6218,季財報!A:H,7)</f>
        <v>0</v>
      </c>
      <c r="N664" s="20">
        <f t="shared" si="10"/>
        <v>2</v>
      </c>
    </row>
    <row r="665" spans="1:14">
      <c r="A665" s="307" t="str">
        <f>HYPERLINK("http://www.wantgoo.com/stock/chart.aspx?stockno=1504","1504")</f>
        <v>1504</v>
      </c>
      <c r="C665" s="18">
        <f>VLOOKUP(1504,季財報!A:H,3)</f>
        <v>0</v>
      </c>
      <c r="D665" s="18">
        <f>VLOOKUP(1504,季財報!A:H,4)</f>
        <v>1</v>
      </c>
      <c r="E665" s="18">
        <f>VLOOKUP(1504,季財報!A:H,5)</f>
        <v>0</v>
      </c>
      <c r="F665" s="18">
        <f>VLOOKUP(1504,季財報!A:H,6)</f>
        <v>1</v>
      </c>
      <c r="G665" s="18">
        <f>VLOOKUP(1504,季財報!A:H,7)</f>
        <v>0</v>
      </c>
      <c r="N665" s="20">
        <f t="shared" si="10"/>
        <v>2</v>
      </c>
    </row>
    <row r="666" spans="1:14">
      <c r="A666" s="308" t="str">
        <f>HYPERLINK("http://www.wantgoo.com/stock/chart.aspx?stockno=1301","1301")</f>
        <v>1301</v>
      </c>
      <c r="C666" s="18">
        <f>VLOOKUP(1301,季財報!A:H,3)</f>
        <v>0</v>
      </c>
      <c r="D666" s="18">
        <f>VLOOKUP(1301,季財報!A:H,4)</f>
        <v>1</v>
      </c>
      <c r="E666" s="18">
        <f>VLOOKUP(1301,季財報!A:H,5)</f>
        <v>0</v>
      </c>
      <c r="F666" s="18">
        <f>VLOOKUP(1301,季財報!A:H,6)</f>
        <v>1</v>
      </c>
      <c r="G666" s="18">
        <f>VLOOKUP(1301,季財報!A:H,7)</f>
        <v>0</v>
      </c>
      <c r="N666" s="20">
        <f t="shared" si="10"/>
        <v>2</v>
      </c>
    </row>
    <row r="667" spans="1:14">
      <c r="A667" s="307" t="str">
        <f>HYPERLINK("http://www.wantgoo.com/stock/chart.aspx?stockno=1305","1305")</f>
        <v>1305</v>
      </c>
      <c r="C667" s="18">
        <f>VLOOKUP(1305,季財報!A:H,3)</f>
        <v>0</v>
      </c>
      <c r="D667" s="18">
        <f>VLOOKUP(1305,季財報!A:H,4)</f>
        <v>1</v>
      </c>
      <c r="E667" s="18">
        <f>VLOOKUP(1305,季財報!A:H,5)</f>
        <v>0</v>
      </c>
      <c r="F667" s="18">
        <f>VLOOKUP(1305,季財報!A:H,6)</f>
        <v>1</v>
      </c>
      <c r="G667" s="18">
        <f>VLOOKUP(1305,季財報!A:H,7)</f>
        <v>0</v>
      </c>
      <c r="N667" s="20">
        <f t="shared" si="10"/>
        <v>2</v>
      </c>
    </row>
    <row r="668" spans="1:14">
      <c r="A668" s="308" t="str">
        <f>HYPERLINK("http://www.wantgoo.com/stock/chart.aspx?stockno=8222","8222")</f>
        <v>8222</v>
      </c>
      <c r="C668" s="18">
        <f>VLOOKUP(8222,季財報!A:H,3)</f>
        <v>1</v>
      </c>
      <c r="D668" s="18">
        <f>VLOOKUP(8222,季財報!A:H,4)</f>
        <v>1</v>
      </c>
      <c r="E668" s="18">
        <f>VLOOKUP(8222,季財報!A:H,5)</f>
        <v>0</v>
      </c>
      <c r="F668" s="18">
        <f>VLOOKUP(8222,季財報!A:H,6)</f>
        <v>1</v>
      </c>
      <c r="G668" s="18">
        <f>VLOOKUP(8222,季財報!A:H,7)</f>
        <v>0</v>
      </c>
      <c r="N668" s="20">
        <f t="shared" si="10"/>
        <v>3</v>
      </c>
    </row>
    <row r="669" spans="1:14">
      <c r="A669" s="307" t="str">
        <f>HYPERLINK("http://www.wantgoo.com/stock/chart.aspx?stockno=2489","2489")</f>
        <v>2489</v>
      </c>
      <c r="C669" s="18">
        <f>VLOOKUP(2489,季財報!A:H,3)</f>
        <v>0</v>
      </c>
      <c r="D669" s="18">
        <f>VLOOKUP(2489,季財報!A:H,4)</f>
        <v>1</v>
      </c>
      <c r="E669" s="18">
        <f>VLOOKUP(2489,季財報!A:H,5)</f>
        <v>1</v>
      </c>
      <c r="F669" s="18">
        <f>VLOOKUP(2489,季財報!A:H,6)</f>
        <v>0</v>
      </c>
      <c r="G669" s="18">
        <f>VLOOKUP(2489,季財報!A:H,7)</f>
        <v>0</v>
      </c>
      <c r="N669" s="20">
        <f t="shared" si="10"/>
        <v>2</v>
      </c>
    </row>
    <row r="670" spans="1:14">
      <c r="A670" s="307" t="str">
        <f>HYPERLINK("http://www.wantgoo.com/stock/chart.aspx?stockno=6404","6404")</f>
        <v>6404</v>
      </c>
      <c r="C670" s="18">
        <f>VLOOKUP(6404,季財報!A:H,3)</f>
        <v>0</v>
      </c>
      <c r="D670" s="18">
        <f>VLOOKUP(6404,季財報!A:H,4)</f>
        <v>0</v>
      </c>
      <c r="E670" s="18">
        <f>VLOOKUP(6404,季財報!A:H,5)</f>
        <v>1</v>
      </c>
      <c r="F670" s="18">
        <f>VLOOKUP(6404,季財報!A:H,6)</f>
        <v>0</v>
      </c>
      <c r="G670" s="18">
        <f>VLOOKUP(6404,季財報!A:H,7)</f>
        <v>0</v>
      </c>
      <c r="N670" s="20">
        <f t="shared" si="10"/>
        <v>1</v>
      </c>
    </row>
    <row r="671" spans="1:14">
      <c r="A671" s="308" t="str">
        <f>HYPERLINK("http://www.wantgoo.com/stock/chart.aspx?stockno=8908","8908")</f>
        <v>8908</v>
      </c>
      <c r="C671" s="18">
        <f>VLOOKUP(8908,季財報!A:H,3)</f>
        <v>0</v>
      </c>
      <c r="D671" s="18">
        <f>VLOOKUP(8908,季財報!A:H,4)</f>
        <v>0</v>
      </c>
      <c r="E671" s="18">
        <f>VLOOKUP(8908,季財報!A:H,5)</f>
        <v>1</v>
      </c>
      <c r="F671" s="18">
        <f>VLOOKUP(8908,季財報!A:H,6)</f>
        <v>1</v>
      </c>
      <c r="G671" s="18">
        <f>VLOOKUP(8908,季財報!A:H,7)</f>
        <v>0</v>
      </c>
      <c r="N671" s="20">
        <f t="shared" si="10"/>
        <v>2</v>
      </c>
    </row>
    <row r="672" spans="1:14">
      <c r="A672" s="308" t="str">
        <f>HYPERLINK("http://www.wantgoo.com/stock/chart.aspx?stockno=3169","3169")</f>
        <v>3169</v>
      </c>
      <c r="C672" s="18">
        <f>VLOOKUP(3169,季財報!A:H,3)</f>
        <v>0</v>
      </c>
      <c r="D672" s="18">
        <f>VLOOKUP(3169,季財報!A:H,4)</f>
        <v>0</v>
      </c>
      <c r="E672" s="18">
        <f>VLOOKUP(3169,季財報!A:H,5)</f>
        <v>0</v>
      </c>
      <c r="F672" s="18">
        <f>VLOOKUP(3169,季財報!A:H,6)</f>
        <v>1</v>
      </c>
      <c r="G672" s="18">
        <f>VLOOKUP(3169,季財報!A:H,7)</f>
        <v>0</v>
      </c>
      <c r="N672" s="20">
        <f t="shared" si="10"/>
        <v>1</v>
      </c>
    </row>
    <row r="673" spans="1:14">
      <c r="A673" s="307" t="str">
        <f>HYPERLINK("http://www.wantgoo.com/stock/chart.aspx?stockno=1451","1451")</f>
        <v>1451</v>
      </c>
      <c r="C673" s="18">
        <f>VLOOKUP(1451,季財報!A:H,3)</f>
        <v>1</v>
      </c>
      <c r="D673" s="18">
        <f>VLOOKUP(1451,季財報!A:H,4)</f>
        <v>1</v>
      </c>
      <c r="E673" s="18">
        <f>VLOOKUP(1451,季財報!A:H,5)</f>
        <v>0</v>
      </c>
      <c r="F673" s="18">
        <f>VLOOKUP(1451,季財報!A:H,6)</f>
        <v>1</v>
      </c>
      <c r="G673" s="18">
        <f>VLOOKUP(1451,季財報!A:H,7)</f>
        <v>0</v>
      </c>
      <c r="N673" s="20">
        <f t="shared" si="10"/>
        <v>3</v>
      </c>
    </row>
    <row r="674" spans="1:14">
      <c r="A674" s="308" t="str">
        <f>HYPERLINK("http://www.wantgoo.com/stock/chart.aspx?stockno=3293","3293")</f>
        <v>3293</v>
      </c>
      <c r="C674" s="18">
        <f>VLOOKUP(3293,季財報!A:H,3)</f>
        <v>1</v>
      </c>
      <c r="D674" s="18">
        <f>VLOOKUP(3293,季財報!A:H,4)</f>
        <v>1</v>
      </c>
      <c r="E674" s="18">
        <f>VLOOKUP(3293,季財報!A:H,5)</f>
        <v>2</v>
      </c>
      <c r="F674" s="18">
        <f>VLOOKUP(3293,季財報!A:H,6)</f>
        <v>1</v>
      </c>
      <c r="G674" s="18">
        <f>VLOOKUP(3293,季財報!A:H,7)</f>
        <v>0</v>
      </c>
      <c r="N674" s="20">
        <f t="shared" si="10"/>
        <v>5</v>
      </c>
    </row>
    <row r="675" spans="1:14">
      <c r="A675" s="308" t="str">
        <f>HYPERLINK("http://www.wantgoo.com/stock/chart.aspx?stockno=5530","5530")</f>
        <v>5530</v>
      </c>
      <c r="C675" s="18">
        <f>VLOOKUP(5530,季財報!A:H,3)</f>
        <v>0</v>
      </c>
      <c r="D675" s="18">
        <f>VLOOKUP(5530,季財報!A:H,4)</f>
        <v>1</v>
      </c>
      <c r="E675" s="18">
        <f>VLOOKUP(5530,季財報!A:H,5)</f>
        <v>0</v>
      </c>
      <c r="F675" s="18">
        <f>VLOOKUP(5530,季財報!A:H,6)</f>
        <v>1</v>
      </c>
      <c r="G675" s="18">
        <f>VLOOKUP(5530,季財報!A:H,7)</f>
        <v>0</v>
      </c>
      <c r="N675" s="20">
        <f t="shared" si="10"/>
        <v>2</v>
      </c>
    </row>
    <row r="676" spans="1:14">
      <c r="A676" s="307" t="str">
        <f>HYPERLINK("http://www.wantgoo.com/stock/chart.aspx?stockno=6282","6282")</f>
        <v>6282</v>
      </c>
      <c r="C676" s="18">
        <f>VLOOKUP(6282,季財報!A:H,3)</f>
        <v>0</v>
      </c>
      <c r="D676" s="18">
        <f>VLOOKUP(6282,季財報!A:H,4)</f>
        <v>1</v>
      </c>
      <c r="E676" s="18">
        <f>VLOOKUP(6282,季財報!A:H,5)</f>
        <v>2</v>
      </c>
      <c r="F676" s="18">
        <f>VLOOKUP(6282,季財報!A:H,6)</f>
        <v>0</v>
      </c>
      <c r="G676" s="18">
        <f>VLOOKUP(6282,季財報!A:H,7)</f>
        <v>0</v>
      </c>
      <c r="N676" s="20">
        <f t="shared" si="10"/>
        <v>3</v>
      </c>
    </row>
    <row r="677" spans="1:14">
      <c r="A677" s="308" t="str">
        <f>HYPERLINK("http://www.wantgoo.com/stock/chart.aspx?stockno=2723","2723")</f>
        <v>2723</v>
      </c>
      <c r="C677" s="18">
        <f>VLOOKUP(2723,季財報!A:H,3)</f>
        <v>1</v>
      </c>
      <c r="D677" s="18">
        <f>VLOOKUP(2723,季財報!A:H,4)</f>
        <v>1</v>
      </c>
      <c r="E677" s="18">
        <f>VLOOKUP(2723,季財報!A:H,5)</f>
        <v>2</v>
      </c>
      <c r="F677" s="18">
        <f>VLOOKUP(2723,季財報!A:H,6)</f>
        <v>1</v>
      </c>
      <c r="G677" s="18">
        <f>VLOOKUP(2723,季財報!A:H,7)</f>
        <v>0</v>
      </c>
      <c r="N677" s="20">
        <f t="shared" si="10"/>
        <v>5</v>
      </c>
    </row>
    <row r="678" spans="1:14">
      <c r="A678" s="308" t="str">
        <f>HYPERLINK("http://www.wantgoo.com/stock/chart.aspx?stockno=6107","6107")</f>
        <v>6107</v>
      </c>
      <c r="C678" s="18">
        <f>VLOOKUP(6107,季財報!A:H,3)</f>
        <v>0</v>
      </c>
      <c r="D678" s="18">
        <f>VLOOKUP(6107,季財報!A:H,4)</f>
        <v>1</v>
      </c>
      <c r="E678" s="18">
        <f>VLOOKUP(6107,季財報!A:H,5)</f>
        <v>0</v>
      </c>
      <c r="F678" s="18">
        <f>VLOOKUP(6107,季財報!A:H,6)</f>
        <v>0</v>
      </c>
      <c r="G678" s="18">
        <f>VLOOKUP(6107,季財報!A:H,7)</f>
        <v>0</v>
      </c>
      <c r="N678" s="20">
        <f t="shared" si="10"/>
        <v>1</v>
      </c>
    </row>
    <row r="679" spans="1:14">
      <c r="A679" s="308" t="str">
        <f>HYPERLINK("http://www.wantgoo.com/stock/chart.aspx?stockno=4106","4106")</f>
        <v>4106</v>
      </c>
      <c r="C679" s="18">
        <f>VLOOKUP(4106,季財報!A:H,3)</f>
        <v>0</v>
      </c>
      <c r="D679" s="18">
        <f>VLOOKUP(4106,季財報!A:H,4)</f>
        <v>0</v>
      </c>
      <c r="E679" s="18">
        <f>VLOOKUP(4106,季財報!A:H,5)</f>
        <v>0</v>
      </c>
      <c r="F679" s="18">
        <f>VLOOKUP(4106,季財報!A:H,6)</f>
        <v>1</v>
      </c>
      <c r="G679" s="18">
        <f>VLOOKUP(4106,季財報!A:H,7)</f>
        <v>0</v>
      </c>
      <c r="N679" s="20">
        <f t="shared" si="10"/>
        <v>1</v>
      </c>
    </row>
    <row r="680" spans="1:14">
      <c r="A680" s="307" t="str">
        <f>HYPERLINK("http://www.wantgoo.com/stock/chart.aspx?stockno=1216","1216")</f>
        <v>1216</v>
      </c>
      <c r="C680" s="18">
        <f>VLOOKUP(1216,季財報!A:H,3)</f>
        <v>0</v>
      </c>
      <c r="D680" s="18">
        <f>VLOOKUP(1216,季財報!A:H,4)</f>
        <v>1</v>
      </c>
      <c r="E680" s="18">
        <f>VLOOKUP(1216,季財報!A:H,5)</f>
        <v>2</v>
      </c>
      <c r="F680" s="18">
        <f>VLOOKUP(1216,季財報!A:H,6)</f>
        <v>1</v>
      </c>
      <c r="G680" s="18">
        <f>VLOOKUP(1216,季財報!A:H,7)</f>
        <v>0</v>
      </c>
      <c r="N680" s="20">
        <f t="shared" si="10"/>
        <v>4</v>
      </c>
    </row>
    <row r="681" spans="1:14">
      <c r="A681" s="307" t="str">
        <f>HYPERLINK("http://www.wantgoo.com/stock/chart.aspx?stockno=4706","4706")</f>
        <v>4706</v>
      </c>
      <c r="C681" s="18">
        <f>VLOOKUP(4706,季財報!A:H,3)</f>
        <v>1</v>
      </c>
      <c r="D681" s="18">
        <f>VLOOKUP(4706,季財報!A:H,4)</f>
        <v>1</v>
      </c>
      <c r="E681" s="18">
        <f>VLOOKUP(4706,季財報!A:H,5)</f>
        <v>1</v>
      </c>
      <c r="F681" s="18">
        <f>VLOOKUP(4706,季財報!A:H,6)</f>
        <v>1</v>
      </c>
      <c r="G681" s="18">
        <f>VLOOKUP(4706,季財報!A:H,7)</f>
        <v>0</v>
      </c>
      <c r="N681" s="20">
        <f t="shared" si="10"/>
        <v>4</v>
      </c>
    </row>
    <row r="682" spans="1:14">
      <c r="A682" s="307" t="str">
        <f>HYPERLINK("http://www.wantgoo.com/stock/chart.aspx?stockno=1308","1308")</f>
        <v>1308</v>
      </c>
      <c r="C682" s="18">
        <f>VLOOKUP(1308,季財報!A:H,3)</f>
        <v>0</v>
      </c>
      <c r="D682" s="18">
        <f>VLOOKUP(1308,季財報!A:H,4)</f>
        <v>0</v>
      </c>
      <c r="E682" s="18">
        <f>VLOOKUP(1308,季財報!A:H,5)</f>
        <v>0</v>
      </c>
      <c r="F682" s="18">
        <f>VLOOKUP(1308,季財報!A:H,6)</f>
        <v>1</v>
      </c>
      <c r="G682" s="18">
        <f>VLOOKUP(1308,季財報!A:H,7)</f>
        <v>0</v>
      </c>
      <c r="N682" s="20">
        <f t="shared" si="10"/>
        <v>1</v>
      </c>
    </row>
    <row r="683" spans="1:14">
      <c r="A683" s="308" t="str">
        <f>HYPERLINK("http://www.wantgoo.com/stock/chart.aspx?stockno=4747","4747")</f>
        <v>4747</v>
      </c>
      <c r="C683" s="18">
        <f>VLOOKUP(4747,季財報!A:H,3)</f>
        <v>0</v>
      </c>
      <c r="D683" s="18">
        <f>VLOOKUP(4747,季財報!A:H,4)</f>
        <v>1</v>
      </c>
      <c r="E683" s="18">
        <f>VLOOKUP(4747,季財報!A:H,5)</f>
        <v>0</v>
      </c>
      <c r="F683" s="18">
        <f>VLOOKUP(4747,季財報!A:H,6)</f>
        <v>1</v>
      </c>
      <c r="G683" s="18">
        <f>VLOOKUP(4747,季財報!A:H,7)</f>
        <v>0</v>
      </c>
      <c r="N683" s="20">
        <f t="shared" si="10"/>
        <v>2</v>
      </c>
    </row>
    <row r="684" spans="1:14">
      <c r="A684" s="308" t="str">
        <f>HYPERLINK("http://www.wantgoo.com/stock/chart.aspx?stockno=3218","3218")</f>
        <v>3218</v>
      </c>
      <c r="C684" s="18">
        <f>VLOOKUP(3218,季財報!A:H,3)</f>
        <v>0</v>
      </c>
      <c r="D684" s="18">
        <f>VLOOKUP(3218,季財報!A:H,4)</f>
        <v>1</v>
      </c>
      <c r="E684" s="18">
        <f>VLOOKUP(3218,季財報!A:H,5)</f>
        <v>1</v>
      </c>
      <c r="F684" s="18">
        <f>VLOOKUP(3218,季財報!A:H,6)</f>
        <v>1</v>
      </c>
      <c r="G684" s="18">
        <f>VLOOKUP(3218,季財報!A:H,7)</f>
        <v>1</v>
      </c>
      <c r="N684" s="20">
        <f t="shared" si="10"/>
        <v>4</v>
      </c>
    </row>
    <row r="685" spans="1:14">
      <c r="A685" s="308" t="str">
        <f>HYPERLINK("http://www.wantgoo.com/stock/chart.aspx?stockno=2401","2401")</f>
        <v>2401</v>
      </c>
      <c r="C685" s="18">
        <f>VLOOKUP(2401,季財報!A:H,3)</f>
        <v>0</v>
      </c>
      <c r="D685" s="18">
        <f>VLOOKUP(2401,季財報!A:H,4)</f>
        <v>0</v>
      </c>
      <c r="E685" s="18">
        <f>VLOOKUP(2401,季財報!A:H,5)</f>
        <v>0</v>
      </c>
      <c r="F685" s="18">
        <f>VLOOKUP(2401,季財報!A:H,6)</f>
        <v>0</v>
      </c>
      <c r="G685" s="18">
        <f>VLOOKUP(2401,季財報!A:H,7)</f>
        <v>0</v>
      </c>
      <c r="N685" s="20">
        <f t="shared" si="10"/>
        <v>0</v>
      </c>
    </row>
    <row r="686" spans="1:14">
      <c r="A686" s="308" t="str">
        <f>HYPERLINK("http://www.wantgoo.com/stock/chart.aspx?stockno=5102","5102")</f>
        <v>5102</v>
      </c>
      <c r="C686" s="18">
        <f>VLOOKUP(5102,季財報!A:H,3)</f>
        <v>0</v>
      </c>
      <c r="D686" s="18">
        <f>VLOOKUP(5102,季財報!A:H,4)</f>
        <v>1</v>
      </c>
      <c r="E686" s="18">
        <f>VLOOKUP(5102,季財報!A:H,5)</f>
        <v>0</v>
      </c>
      <c r="F686" s="18">
        <f>VLOOKUP(5102,季財報!A:H,6)</f>
        <v>0</v>
      </c>
      <c r="G686" s="18">
        <f>VLOOKUP(5102,季財報!A:H,7)</f>
        <v>0</v>
      </c>
      <c r="N686" s="20">
        <f t="shared" si="10"/>
        <v>1</v>
      </c>
    </row>
    <row r="687" spans="1:14">
      <c r="A687" s="308" t="str">
        <f>HYPERLINK("http://www.wantgoo.com/stock/chart.aspx?stockno=5230","5230")</f>
        <v>5230</v>
      </c>
      <c r="C687" s="18">
        <f>VLOOKUP(5230,季財報!A:H,3)</f>
        <v>0</v>
      </c>
      <c r="D687" s="18">
        <f>VLOOKUP(5230,季財報!A:H,4)</f>
        <v>1</v>
      </c>
      <c r="E687" s="18">
        <f>VLOOKUP(5230,季財報!A:H,5)</f>
        <v>1</v>
      </c>
      <c r="F687" s="18">
        <f>VLOOKUP(5230,季財報!A:H,6)</f>
        <v>1</v>
      </c>
      <c r="G687" s="18">
        <f>VLOOKUP(5230,季財報!A:H,7)</f>
        <v>0</v>
      </c>
      <c r="N687" s="20">
        <f t="shared" si="10"/>
        <v>3</v>
      </c>
    </row>
    <row r="688" spans="1:14">
      <c r="A688" s="308" t="str">
        <f>HYPERLINK("http://www.wantgoo.com/stock/chart.aspx?stockno=4129","4129")</f>
        <v>4129</v>
      </c>
      <c r="C688" s="18">
        <f>VLOOKUP(4129,季財報!A:H,3)</f>
        <v>0</v>
      </c>
      <c r="D688" s="18">
        <f>VLOOKUP(4129,季財報!A:H,4)</f>
        <v>1</v>
      </c>
      <c r="E688" s="18">
        <f>VLOOKUP(4129,季財報!A:H,5)</f>
        <v>0</v>
      </c>
      <c r="F688" s="18">
        <f>VLOOKUP(4129,季財報!A:H,6)</f>
        <v>1</v>
      </c>
      <c r="G688" s="18">
        <f>VLOOKUP(4129,季財報!A:H,7)</f>
        <v>1</v>
      </c>
      <c r="N688" s="20">
        <f t="shared" si="10"/>
        <v>3</v>
      </c>
    </row>
    <row r="689" spans="1:14">
      <c r="A689" s="307" t="str">
        <f>HYPERLINK("http://www.wantgoo.com/stock/chart.aspx?stockno=2230","2230")</f>
        <v>2230</v>
      </c>
      <c r="C689" s="18">
        <f>VLOOKUP(2230,季財報!A:H,3)</f>
        <v>0</v>
      </c>
      <c r="D689" s="18">
        <f>VLOOKUP(2230,季財報!A:H,4)</f>
        <v>1</v>
      </c>
      <c r="E689" s="18">
        <f>VLOOKUP(2230,季財報!A:H,5)</f>
        <v>0</v>
      </c>
      <c r="F689" s="18">
        <f>VLOOKUP(2230,季財報!A:H,6)</f>
        <v>0</v>
      </c>
      <c r="G689" s="18">
        <f>VLOOKUP(2230,季財報!A:H,7)</f>
        <v>0</v>
      </c>
      <c r="N689" s="20">
        <f t="shared" si="10"/>
        <v>1</v>
      </c>
    </row>
    <row r="690" spans="1:14">
      <c r="A690" s="308" t="str">
        <f>HYPERLINK("http://www.wantgoo.com/stock/chart.aspx?stockno=6138","6138")</f>
        <v>6138</v>
      </c>
      <c r="C690" s="18">
        <f>VLOOKUP(6138,季財報!A:H,3)</f>
        <v>0</v>
      </c>
      <c r="D690" s="18">
        <f>VLOOKUP(6138,季財報!A:H,4)</f>
        <v>1</v>
      </c>
      <c r="E690" s="18">
        <f>VLOOKUP(6138,季財報!A:H,5)</f>
        <v>1</v>
      </c>
      <c r="F690" s="18">
        <f>VLOOKUP(6138,季財報!A:H,6)</f>
        <v>1</v>
      </c>
      <c r="G690" s="18">
        <f>VLOOKUP(6138,季財報!A:H,7)</f>
        <v>0</v>
      </c>
      <c r="N690" s="20">
        <f t="shared" si="10"/>
        <v>3</v>
      </c>
    </row>
    <row r="691" spans="1:14">
      <c r="A691" s="308" t="str">
        <f>HYPERLINK("http://www.wantgoo.com/stock/chart.aspx?stockno=3577","3577")</f>
        <v>3577</v>
      </c>
      <c r="C691" s="18">
        <f>VLOOKUP(3577,季財報!A:H,3)</f>
        <v>0</v>
      </c>
      <c r="D691" s="18">
        <f>VLOOKUP(3577,季財報!A:H,4)</f>
        <v>1</v>
      </c>
      <c r="E691" s="18">
        <f>VLOOKUP(3577,季財報!A:H,5)</f>
        <v>0</v>
      </c>
      <c r="F691" s="18">
        <f>VLOOKUP(3577,季財報!A:H,6)</f>
        <v>1</v>
      </c>
      <c r="G691" s="18">
        <f>VLOOKUP(3577,季財報!A:H,7)</f>
        <v>0</v>
      </c>
      <c r="N691" s="20">
        <f t="shared" si="10"/>
        <v>2</v>
      </c>
    </row>
    <row r="692" spans="1:14">
      <c r="A692" s="308" t="str">
        <f>HYPERLINK("http://www.wantgoo.com/stock/chart.aspx?stockno=9940","9940")</f>
        <v>9940</v>
      </c>
      <c r="C692" s="18">
        <f>VLOOKUP(9940,季財報!A:H,3)</f>
        <v>0</v>
      </c>
      <c r="D692" s="18">
        <f>VLOOKUP(9940,季財報!A:H,4)</f>
        <v>1</v>
      </c>
      <c r="E692" s="18">
        <f>VLOOKUP(9940,季財報!A:H,5)</f>
        <v>0</v>
      </c>
      <c r="F692" s="18">
        <f>VLOOKUP(9940,季財報!A:H,6)</f>
        <v>1</v>
      </c>
      <c r="G692" s="18">
        <f>VLOOKUP(9940,季財報!A:H,7)</f>
        <v>0</v>
      </c>
      <c r="N692" s="20">
        <f t="shared" si="10"/>
        <v>2</v>
      </c>
    </row>
    <row r="693" spans="1:14">
      <c r="A693" s="307" t="str">
        <f>HYPERLINK("http://www.wantgoo.com/stock/chart.aspx?stockno=2482","2482")</f>
        <v>2482</v>
      </c>
      <c r="C693" s="18">
        <f>VLOOKUP(2482,季財報!A:H,3)</f>
        <v>1</v>
      </c>
      <c r="D693" s="18">
        <f>VLOOKUP(2482,季財報!A:H,4)</f>
        <v>1</v>
      </c>
      <c r="E693" s="18">
        <f>VLOOKUP(2482,季財報!A:H,5)</f>
        <v>2</v>
      </c>
      <c r="F693" s="18">
        <f>VLOOKUP(2482,季財報!A:H,6)</f>
        <v>1</v>
      </c>
      <c r="G693" s="18">
        <f>VLOOKUP(2482,季財報!A:H,7)</f>
        <v>1</v>
      </c>
      <c r="N693" s="20">
        <f t="shared" si="10"/>
        <v>6</v>
      </c>
    </row>
    <row r="694" spans="1:14">
      <c r="A694" s="308" t="str">
        <f>HYPERLINK("http://www.wantgoo.com/stock/chart.aspx?stockno=9926","9926")</f>
        <v>9926</v>
      </c>
      <c r="C694" s="18">
        <f>VLOOKUP(9926,季財報!A:H,3)</f>
        <v>0</v>
      </c>
      <c r="D694" s="18">
        <f>VLOOKUP(9926,季財報!A:H,4)</f>
        <v>1</v>
      </c>
      <c r="E694" s="18">
        <f>VLOOKUP(9926,季財報!A:H,5)</f>
        <v>0</v>
      </c>
      <c r="F694" s="18">
        <f>VLOOKUP(9926,季財報!A:H,6)</f>
        <v>1</v>
      </c>
      <c r="G694" s="18">
        <f>VLOOKUP(9926,季財報!A:H,7)</f>
        <v>0</v>
      </c>
      <c r="N694" s="20">
        <f t="shared" si="10"/>
        <v>2</v>
      </c>
    </row>
    <row r="695" spans="1:14">
      <c r="A695" s="308" t="str">
        <f>HYPERLINK("http://www.wantgoo.com/stock/chart.aspx?stockno=3021","3021")</f>
        <v>3021</v>
      </c>
      <c r="C695" s="18">
        <f>VLOOKUP(3021,季財報!A:H,3)</f>
        <v>1</v>
      </c>
      <c r="D695" s="18">
        <f>VLOOKUP(3021,季財報!A:H,4)</f>
        <v>1</v>
      </c>
      <c r="E695" s="18">
        <f>VLOOKUP(3021,季財報!A:H,5)</f>
        <v>0</v>
      </c>
      <c r="F695" s="18">
        <f>VLOOKUP(3021,季財報!A:H,6)</f>
        <v>1</v>
      </c>
      <c r="G695" s="18">
        <f>VLOOKUP(3021,季財報!A:H,7)</f>
        <v>0</v>
      </c>
      <c r="N695" s="20">
        <f t="shared" si="10"/>
        <v>3</v>
      </c>
    </row>
    <row r="696" spans="1:14">
      <c r="A696" s="308" t="str">
        <f>HYPERLINK("http://www.wantgoo.com/stock/chart.aspx?stockno=5443","5443")</f>
        <v>5443</v>
      </c>
      <c r="C696" s="18">
        <f>VLOOKUP(5443,季財報!A:H,3)</f>
        <v>1</v>
      </c>
      <c r="D696" s="18">
        <f>VLOOKUP(5443,季財報!A:H,4)</f>
        <v>1</v>
      </c>
      <c r="E696" s="18">
        <f>VLOOKUP(5443,季財報!A:H,5)</f>
        <v>0</v>
      </c>
      <c r="F696" s="18">
        <f>VLOOKUP(5443,季財報!A:H,6)</f>
        <v>1</v>
      </c>
      <c r="G696" s="18">
        <f>VLOOKUP(5443,季財報!A:H,7)</f>
        <v>1</v>
      </c>
      <c r="N696" s="20">
        <f t="shared" si="10"/>
        <v>4</v>
      </c>
    </row>
    <row r="697" spans="1:14">
      <c r="A697" s="308" t="str">
        <f>HYPERLINK("http://www.wantgoo.com/stock/chart.aspx?stockno=3232","3232")</f>
        <v>3232</v>
      </c>
      <c r="C697" s="18">
        <f>VLOOKUP(3232,季財報!A:H,3)</f>
        <v>0</v>
      </c>
      <c r="D697" s="18">
        <f>VLOOKUP(3232,季財報!A:H,4)</f>
        <v>0</v>
      </c>
      <c r="E697" s="18">
        <f>VLOOKUP(3232,季財報!A:H,5)</f>
        <v>0</v>
      </c>
      <c r="F697" s="18">
        <f>VLOOKUP(3232,季財報!A:H,6)</f>
        <v>1</v>
      </c>
      <c r="G697" s="18">
        <f>VLOOKUP(3232,季財報!A:H,7)</f>
        <v>0</v>
      </c>
      <c r="N697" s="20">
        <f t="shared" si="10"/>
        <v>1</v>
      </c>
    </row>
    <row r="698" spans="1:14">
      <c r="A698" s="308" t="str">
        <f>HYPERLINK("http://www.wantgoo.com/stock/chart.aspx?stockno=1434","1434")</f>
        <v>1434</v>
      </c>
      <c r="C698" s="18">
        <f>VLOOKUP(1434,季財報!A:H,3)</f>
        <v>0</v>
      </c>
      <c r="D698" s="18">
        <f>VLOOKUP(1434,季財報!A:H,4)</f>
        <v>1</v>
      </c>
      <c r="E698" s="18">
        <f>VLOOKUP(1434,季財報!A:H,5)</f>
        <v>0</v>
      </c>
      <c r="F698" s="18">
        <f>VLOOKUP(1434,季財報!A:H,6)</f>
        <v>1</v>
      </c>
      <c r="G698" s="18">
        <f>VLOOKUP(1434,季財報!A:H,7)</f>
        <v>0</v>
      </c>
      <c r="N698" s="20">
        <f t="shared" si="10"/>
        <v>2</v>
      </c>
    </row>
    <row r="699" spans="1:14">
      <c r="A699" s="307" t="str">
        <f>HYPERLINK("http://www.wantgoo.com/stock/chart.aspx?stockno=4433","4433")</f>
        <v>4433</v>
      </c>
      <c r="C699" s="18">
        <f>VLOOKUP(4433,季財報!A:H,3)</f>
        <v>0</v>
      </c>
      <c r="D699" s="18">
        <f>VLOOKUP(4433,季財報!A:H,4)</f>
        <v>1</v>
      </c>
      <c r="E699" s="18">
        <f>VLOOKUP(4433,季財報!A:H,5)</f>
        <v>0</v>
      </c>
      <c r="F699" s="18">
        <f>VLOOKUP(4433,季財報!A:H,6)</f>
        <v>1</v>
      </c>
      <c r="G699" s="18">
        <f>VLOOKUP(4433,季財報!A:H,7)</f>
        <v>0</v>
      </c>
      <c r="N699" s="20">
        <f t="shared" si="10"/>
        <v>2</v>
      </c>
    </row>
    <row r="700" spans="1:14">
      <c r="A700" s="307" t="str">
        <f>HYPERLINK("http://www.wantgoo.com/stock/chart.aspx?stockno=3324","3324")</f>
        <v>3324</v>
      </c>
      <c r="C700" s="18">
        <f>VLOOKUP(3324,季財報!A:H,3)</f>
        <v>1</v>
      </c>
      <c r="D700" s="18">
        <f>VLOOKUP(3324,季財報!A:H,4)</f>
        <v>1</v>
      </c>
      <c r="E700" s="18">
        <f>VLOOKUP(3324,季財報!A:H,5)</f>
        <v>2</v>
      </c>
      <c r="F700" s="18">
        <f>VLOOKUP(3324,季財報!A:H,6)</f>
        <v>0</v>
      </c>
      <c r="G700" s="18">
        <f>VLOOKUP(3324,季財報!A:H,7)</f>
        <v>0</v>
      </c>
      <c r="N700" s="20">
        <f t="shared" si="10"/>
        <v>4</v>
      </c>
    </row>
    <row r="701" spans="1:14">
      <c r="A701" s="307" t="str">
        <f>HYPERLINK("http://www.wantgoo.com/stock/chart.aspx?stockno=9931","9931")</f>
        <v>9931</v>
      </c>
      <c r="C701" s="18">
        <f>VLOOKUP(9931,季財報!A:H,3)</f>
        <v>0</v>
      </c>
      <c r="D701" s="18">
        <f>VLOOKUP(9931,季財報!A:H,4)</f>
        <v>1</v>
      </c>
      <c r="E701" s="18">
        <f>VLOOKUP(9931,季財報!A:H,5)</f>
        <v>0</v>
      </c>
      <c r="F701" s="18">
        <f>VLOOKUP(9931,季財報!A:H,6)</f>
        <v>1</v>
      </c>
      <c r="G701" s="18">
        <f>VLOOKUP(9931,季財報!A:H,7)</f>
        <v>0</v>
      </c>
      <c r="N701" s="20">
        <f t="shared" si="10"/>
        <v>2</v>
      </c>
    </row>
    <row r="702" spans="1:14">
      <c r="A702" s="308" t="str">
        <f>HYPERLINK("http://www.wantgoo.com/stock/chart.aspx?stockno=8423","8423")</f>
        <v>8423</v>
      </c>
      <c r="C702" s="18">
        <f>VLOOKUP(8423,季財報!A:H,3)</f>
        <v>1</v>
      </c>
      <c r="D702" s="18">
        <f>VLOOKUP(8423,季財報!A:H,4)</f>
        <v>1</v>
      </c>
      <c r="E702" s="18">
        <f>VLOOKUP(8423,季財報!A:H,5)</f>
        <v>0</v>
      </c>
      <c r="F702" s="18">
        <f>VLOOKUP(8423,季財報!A:H,6)</f>
        <v>1</v>
      </c>
      <c r="G702" s="18">
        <f>VLOOKUP(8423,季財報!A:H,7)</f>
        <v>0</v>
      </c>
      <c r="N702" s="20">
        <f t="shared" si="10"/>
        <v>3</v>
      </c>
    </row>
    <row r="703" spans="1:14">
      <c r="A703" s="308" t="str">
        <f>HYPERLINK("http://www.wantgoo.com/stock/chart.aspx?stockno=3094","3094")</f>
        <v>3094</v>
      </c>
      <c r="C703" s="18">
        <f>VLOOKUP(3094,季財報!A:H,3)</f>
        <v>1</v>
      </c>
      <c r="D703" s="18">
        <f>VLOOKUP(3094,季財報!A:H,4)</f>
        <v>1</v>
      </c>
      <c r="E703" s="18">
        <f>VLOOKUP(3094,季財報!A:H,5)</f>
        <v>0</v>
      </c>
      <c r="F703" s="18">
        <f>VLOOKUP(3094,季財報!A:H,6)</f>
        <v>1</v>
      </c>
      <c r="G703" s="18">
        <f>VLOOKUP(3094,季財報!A:H,7)</f>
        <v>1</v>
      </c>
      <c r="N703" s="20">
        <f t="shared" si="10"/>
        <v>4</v>
      </c>
    </row>
    <row r="704" spans="1:14">
      <c r="A704" s="307" t="str">
        <f>HYPERLINK("http://www.wantgoo.com/stock/chart.aspx?stockno=8261","8261")</f>
        <v>8261</v>
      </c>
      <c r="C704" s="18">
        <f>VLOOKUP(8261,季財報!A:H,3)</f>
        <v>0</v>
      </c>
      <c r="D704" s="18">
        <f>VLOOKUP(8261,季財報!A:H,4)</f>
        <v>1</v>
      </c>
      <c r="E704" s="18">
        <f>VLOOKUP(8261,季財報!A:H,5)</f>
        <v>1</v>
      </c>
      <c r="F704" s="18">
        <f>VLOOKUP(8261,季財報!A:H,6)</f>
        <v>1</v>
      </c>
      <c r="G704" s="18">
        <f>VLOOKUP(8261,季財報!A:H,7)</f>
        <v>0</v>
      </c>
      <c r="N704" s="20">
        <f t="shared" si="10"/>
        <v>3</v>
      </c>
    </row>
    <row r="705" spans="1:14">
      <c r="A705" s="308" t="str">
        <f>HYPERLINK("http://www.wantgoo.com/stock/chart.aspx?stockno=6231","6231")</f>
        <v>6231</v>
      </c>
      <c r="C705" s="18">
        <f>VLOOKUP(6231,季財報!A:H,3)</f>
        <v>0</v>
      </c>
      <c r="D705" s="18">
        <f>VLOOKUP(6231,季財報!A:H,4)</f>
        <v>0</v>
      </c>
      <c r="E705" s="18">
        <f>VLOOKUP(6231,季財報!A:H,5)</f>
        <v>1</v>
      </c>
      <c r="F705" s="18">
        <f>VLOOKUP(6231,季財報!A:H,6)</f>
        <v>1</v>
      </c>
      <c r="G705" s="18">
        <f>VLOOKUP(6231,季財報!A:H,7)</f>
        <v>0</v>
      </c>
      <c r="N705" s="20">
        <f t="shared" si="10"/>
        <v>2</v>
      </c>
    </row>
    <row r="706" spans="1:14">
      <c r="A706" s="307" t="str">
        <f>HYPERLINK("http://www.wantgoo.com/stock/chart.aspx?stockno=9937","9937")</f>
        <v>9937</v>
      </c>
      <c r="C706" s="18">
        <f>VLOOKUP(9937,季財報!A:H,3)</f>
        <v>0</v>
      </c>
      <c r="D706" s="18">
        <f>VLOOKUP(9937,季財報!A:H,4)</f>
        <v>1</v>
      </c>
      <c r="E706" s="18">
        <f>VLOOKUP(9937,季財報!A:H,5)</f>
        <v>2</v>
      </c>
      <c r="F706" s="18">
        <f>VLOOKUP(9937,季財報!A:H,6)</f>
        <v>0</v>
      </c>
      <c r="G706" s="18">
        <f>VLOOKUP(9937,季財報!A:H,7)</f>
        <v>0</v>
      </c>
      <c r="N706" s="20">
        <f t="shared" si="10"/>
        <v>3</v>
      </c>
    </row>
    <row r="707" spans="1:14">
      <c r="A707" s="308" t="str">
        <f>HYPERLINK("http://www.wantgoo.com/stock/chart.aspx?stockno=2221","2221")</f>
        <v>2221</v>
      </c>
      <c r="C707" s="18">
        <f>VLOOKUP(2221,季財報!A:H,3)</f>
        <v>0</v>
      </c>
      <c r="D707" s="18">
        <f>VLOOKUP(2221,季財報!A:H,4)</f>
        <v>1</v>
      </c>
      <c r="E707" s="18">
        <f>VLOOKUP(2221,季財報!A:H,5)</f>
        <v>0</v>
      </c>
      <c r="F707" s="18">
        <f>VLOOKUP(2221,季財報!A:H,6)</f>
        <v>0</v>
      </c>
      <c r="G707" s="18">
        <f>VLOOKUP(2221,季財報!A:H,7)</f>
        <v>0</v>
      </c>
      <c r="N707" s="20">
        <f t="shared" si="10"/>
        <v>1</v>
      </c>
    </row>
    <row r="708" spans="1:14">
      <c r="A708" s="307" t="str">
        <f>HYPERLINK("http://www.wantgoo.com/stock/chart.aspx?stockno=9908","9908")</f>
        <v>9908</v>
      </c>
      <c r="C708" s="18">
        <f>VLOOKUP(9908,季財報!A:H,3)</f>
        <v>1</v>
      </c>
      <c r="D708" s="18">
        <f>VLOOKUP(9908,季財報!A:H,4)</f>
        <v>1</v>
      </c>
      <c r="E708" s="18">
        <f>VLOOKUP(9908,季財報!A:H,5)</f>
        <v>1</v>
      </c>
      <c r="F708" s="18">
        <f>VLOOKUP(9908,季財報!A:H,6)</f>
        <v>1</v>
      </c>
      <c r="G708" s="18">
        <f>VLOOKUP(9908,季財報!A:H,7)</f>
        <v>0</v>
      </c>
      <c r="N708" s="20">
        <f t="shared" ref="N708:N737" si="11">SUM(C708:M708)</f>
        <v>4</v>
      </c>
    </row>
    <row r="709" spans="1:14">
      <c r="A709" s="308" t="str">
        <f>HYPERLINK("http://www.wantgoo.com/stock/chart.aspx?stockno=3068","3068")</f>
        <v>3068</v>
      </c>
      <c r="C709" s="18">
        <f>VLOOKUP(3068,季財報!A:H,3)</f>
        <v>1</v>
      </c>
      <c r="D709" s="18">
        <f>VLOOKUP(3068,季財報!A:H,4)</f>
        <v>1</v>
      </c>
      <c r="E709" s="18">
        <f>VLOOKUP(3068,季財報!A:H,5)</f>
        <v>2</v>
      </c>
      <c r="F709" s="18">
        <f>VLOOKUP(3068,季財報!A:H,6)</f>
        <v>1</v>
      </c>
      <c r="G709" s="18">
        <f>VLOOKUP(3068,季財報!A:H,7)</f>
        <v>0</v>
      </c>
      <c r="N709" s="20">
        <f t="shared" si="11"/>
        <v>5</v>
      </c>
    </row>
    <row r="710" spans="1:14">
      <c r="A710" s="308" t="str">
        <f>HYPERLINK("http://www.wantgoo.com/stock/chart.aspx?stockno=8921","8921")</f>
        <v>8921</v>
      </c>
      <c r="C710" s="18">
        <f>VLOOKUP(8921,季財報!A:H,3)</f>
        <v>0</v>
      </c>
      <c r="D710" s="18">
        <f>VLOOKUP(8921,季財報!A:H,4)</f>
        <v>1</v>
      </c>
      <c r="E710" s="18">
        <f>VLOOKUP(8921,季財報!A:H,5)</f>
        <v>1</v>
      </c>
      <c r="F710" s="18">
        <f>VLOOKUP(8921,季財報!A:H,6)</f>
        <v>1</v>
      </c>
      <c r="G710" s="18">
        <f>VLOOKUP(8921,季財報!A:H,7)</f>
        <v>0</v>
      </c>
      <c r="N710" s="20">
        <f t="shared" si="11"/>
        <v>3</v>
      </c>
    </row>
    <row r="711" spans="1:14">
      <c r="A711" s="307" t="str">
        <f>HYPERLINK("http://www.wantgoo.com/stock/chart.aspx?stockno=1325","1325")</f>
        <v>1325</v>
      </c>
      <c r="C711" s="18">
        <f>VLOOKUP(1325,季財報!A:H,3)</f>
        <v>1</v>
      </c>
      <c r="D711" s="18">
        <f>VLOOKUP(1325,季財報!A:H,4)</f>
        <v>1</v>
      </c>
      <c r="E711" s="18">
        <f>VLOOKUP(1325,季財報!A:H,5)</f>
        <v>0</v>
      </c>
      <c r="F711" s="18">
        <f>VLOOKUP(1325,季財報!A:H,6)</f>
        <v>1</v>
      </c>
      <c r="G711" s="18">
        <f>VLOOKUP(1325,季財報!A:H,7)</f>
        <v>0</v>
      </c>
      <c r="N711" s="20">
        <f t="shared" si="11"/>
        <v>3</v>
      </c>
    </row>
    <row r="712" spans="1:14">
      <c r="A712" s="307" t="str">
        <f>HYPERLINK("http://www.wantgoo.com/stock/chart.aspx?stockno=8069","8069")</f>
        <v>8069</v>
      </c>
      <c r="C712" s="18">
        <f>VLOOKUP(8069,季財報!A:H,3)</f>
        <v>1</v>
      </c>
      <c r="D712" s="18">
        <f>VLOOKUP(8069,季財報!A:H,4)</f>
        <v>1</v>
      </c>
      <c r="E712" s="18">
        <f>VLOOKUP(8069,季財報!A:H,5)</f>
        <v>0</v>
      </c>
      <c r="F712" s="18">
        <f>VLOOKUP(8069,季財報!A:H,6)</f>
        <v>1</v>
      </c>
      <c r="G712" s="18">
        <f>VLOOKUP(8069,季財報!A:H,7)</f>
        <v>0</v>
      </c>
      <c r="N712" s="20">
        <f t="shared" si="11"/>
        <v>3</v>
      </c>
    </row>
    <row r="713" spans="1:14">
      <c r="A713" s="308" t="str">
        <f>HYPERLINK("http://www.wantgoo.com/stock/chart.aspx?stockno=2726","2726")</f>
        <v>2726</v>
      </c>
      <c r="C713" s="18">
        <f>VLOOKUP(2726,季財報!A:H,3)</f>
        <v>1</v>
      </c>
      <c r="D713" s="18">
        <f>VLOOKUP(2726,季財報!A:H,4)</f>
        <v>1</v>
      </c>
      <c r="E713" s="18">
        <f>VLOOKUP(2726,季財報!A:H,5)</f>
        <v>2</v>
      </c>
      <c r="F713" s="18">
        <f>VLOOKUP(2726,季財報!A:H,6)</f>
        <v>1</v>
      </c>
      <c r="G713" s="18">
        <f>VLOOKUP(2726,季財報!A:H,7)</f>
        <v>0</v>
      </c>
      <c r="N713" s="20">
        <f t="shared" si="11"/>
        <v>5</v>
      </c>
    </row>
    <row r="714" spans="1:14">
      <c r="A714" s="307" t="str">
        <f>HYPERLINK("http://www.wantgoo.com/stock/chart.aspx?stockno=9918","9918")</f>
        <v>9918</v>
      </c>
      <c r="C714" s="18">
        <f>VLOOKUP(9918,季財報!A:H,3)</f>
        <v>0</v>
      </c>
      <c r="D714" s="18">
        <f>VLOOKUP(9918,季財報!A:H,4)</f>
        <v>1</v>
      </c>
      <c r="E714" s="18">
        <f>VLOOKUP(9918,季財報!A:H,5)</f>
        <v>0</v>
      </c>
      <c r="F714" s="18">
        <f>VLOOKUP(9918,季財報!A:H,6)</f>
        <v>1</v>
      </c>
      <c r="G714" s="18">
        <f>VLOOKUP(9918,季財報!A:H,7)</f>
        <v>0</v>
      </c>
      <c r="N714" s="20">
        <f t="shared" si="11"/>
        <v>2</v>
      </c>
    </row>
    <row r="715" spans="1:14">
      <c r="A715" s="308" t="str">
        <f>HYPERLINK("http://www.wantgoo.com/stock/chart.aspx?stockno=1533","1533")</f>
        <v>1533</v>
      </c>
      <c r="C715" s="18">
        <f>VLOOKUP(1533,季財報!A:H,3)</f>
        <v>1</v>
      </c>
      <c r="D715" s="18">
        <f>VLOOKUP(1533,季財報!A:H,4)</f>
        <v>1</v>
      </c>
      <c r="E715" s="18">
        <f>VLOOKUP(1533,季財報!A:H,5)</f>
        <v>0</v>
      </c>
      <c r="F715" s="18">
        <f>VLOOKUP(1533,季財報!A:H,6)</f>
        <v>1</v>
      </c>
      <c r="G715" s="18">
        <f>VLOOKUP(1533,季財報!A:H,7)</f>
        <v>0</v>
      </c>
      <c r="N715" s="20">
        <f t="shared" si="11"/>
        <v>3</v>
      </c>
    </row>
    <row r="716" spans="1:14">
      <c r="A716" s="308" t="str">
        <f>HYPERLINK("http://www.wantgoo.com/stock/chart.aspx?stockno=2712","2712")</f>
        <v>2712</v>
      </c>
      <c r="C716" s="18">
        <f>VLOOKUP(2712,季財報!A:H,3)</f>
        <v>0</v>
      </c>
      <c r="D716" s="18">
        <f>VLOOKUP(2712,季財報!A:H,4)</f>
        <v>1</v>
      </c>
      <c r="E716" s="18">
        <f>VLOOKUP(2712,季財報!A:H,5)</f>
        <v>0</v>
      </c>
      <c r="F716" s="18">
        <f>VLOOKUP(2712,季財報!A:H,6)</f>
        <v>1</v>
      </c>
      <c r="G716" s="18">
        <f>VLOOKUP(2712,季財報!A:H,7)</f>
        <v>0</v>
      </c>
      <c r="N716" s="20">
        <f t="shared" si="11"/>
        <v>2</v>
      </c>
    </row>
    <row r="717" spans="1:14">
      <c r="A717" s="308" t="str">
        <f>HYPERLINK("http://www.wantgoo.com/stock/chart.aspx?stockno=6505","6505")</f>
        <v>6505</v>
      </c>
      <c r="C717" s="18">
        <f>VLOOKUP(6505,季財報!A:H,3)</f>
        <v>0</v>
      </c>
      <c r="D717" s="18">
        <f>VLOOKUP(6505,季財報!A:H,4)</f>
        <v>1</v>
      </c>
      <c r="E717" s="18">
        <f>VLOOKUP(6505,季財報!A:H,5)</f>
        <v>0</v>
      </c>
      <c r="F717" s="18">
        <f>VLOOKUP(6505,季財報!A:H,6)</f>
        <v>1</v>
      </c>
      <c r="G717" s="18">
        <f>VLOOKUP(6505,季財報!A:H,7)</f>
        <v>0</v>
      </c>
      <c r="N717" s="20">
        <f t="shared" si="11"/>
        <v>2</v>
      </c>
    </row>
    <row r="718" spans="1:14">
      <c r="A718" s="307" t="str">
        <f>HYPERLINK("http://www.wantgoo.com/stock/chart.aspx?stockno=5212","5212")</f>
        <v>5212</v>
      </c>
      <c r="C718" s="18">
        <f>VLOOKUP(5212,季財報!A:H,3)</f>
        <v>0</v>
      </c>
      <c r="D718" s="18">
        <f>VLOOKUP(5212,季財報!A:H,4)</f>
        <v>1</v>
      </c>
      <c r="E718" s="18">
        <f>VLOOKUP(5212,季財報!A:H,5)</f>
        <v>1</v>
      </c>
      <c r="F718" s="18">
        <f>VLOOKUP(5212,季財報!A:H,6)</f>
        <v>0</v>
      </c>
      <c r="G718" s="18">
        <f>VLOOKUP(5212,季財報!A:H,7)</f>
        <v>0</v>
      </c>
      <c r="N718" s="20">
        <f t="shared" si="11"/>
        <v>2</v>
      </c>
    </row>
    <row r="719" spans="1:14">
      <c r="A719" s="307" t="str">
        <f>HYPERLINK("http://www.wantgoo.com/stock/chart.aspx?stockno=8234","8234")</f>
        <v>8234</v>
      </c>
      <c r="C719" s="18">
        <f>VLOOKUP(8234,季財報!A:H,3)</f>
        <v>0</v>
      </c>
      <c r="D719" s="18">
        <f>VLOOKUP(8234,季財報!A:H,4)</f>
        <v>1</v>
      </c>
      <c r="E719" s="18">
        <f>VLOOKUP(8234,季財報!A:H,5)</f>
        <v>0</v>
      </c>
      <c r="F719" s="18">
        <f>VLOOKUP(8234,季財報!A:H,6)</f>
        <v>1</v>
      </c>
      <c r="G719" s="18">
        <f>VLOOKUP(8234,季財報!A:H,7)</f>
        <v>0</v>
      </c>
      <c r="N719" s="20">
        <f t="shared" si="11"/>
        <v>2</v>
      </c>
    </row>
    <row r="720" spans="1:14">
      <c r="A720" s="307" t="str">
        <f>HYPERLINK("http://www.wantgoo.com/stock/chart.aspx?stockno=4746","4746")</f>
        <v>4746</v>
      </c>
      <c r="C720" s="18">
        <f>VLOOKUP(4746,季財報!A:H,3)</f>
        <v>1</v>
      </c>
      <c r="D720" s="18">
        <f>VLOOKUP(4746,季財報!A:H,4)</f>
        <v>1</v>
      </c>
      <c r="E720" s="18">
        <f>VLOOKUP(4746,季財報!A:H,5)</f>
        <v>2</v>
      </c>
      <c r="F720" s="18">
        <f>VLOOKUP(4746,季財報!A:H,6)</f>
        <v>1</v>
      </c>
      <c r="G720" s="18">
        <f>VLOOKUP(4746,季財報!A:H,7)</f>
        <v>0</v>
      </c>
      <c r="N720" s="20">
        <f t="shared" si="11"/>
        <v>5</v>
      </c>
    </row>
    <row r="721" spans="1:14">
      <c r="A721" s="307" t="str">
        <f>HYPERLINK("http://www.wantgoo.com/stock/chart.aspx?stockno=1721","1721")</f>
        <v>1721</v>
      </c>
      <c r="C721" s="18">
        <f>VLOOKUP(1721,季財報!A:H,3)</f>
        <v>1</v>
      </c>
      <c r="D721" s="18">
        <f>VLOOKUP(1721,季財報!A:H,4)</f>
        <v>1</v>
      </c>
      <c r="E721" s="18">
        <f>VLOOKUP(1721,季財報!A:H,5)</f>
        <v>0</v>
      </c>
      <c r="F721" s="18">
        <f>VLOOKUP(1721,季財報!A:H,6)</f>
        <v>1</v>
      </c>
      <c r="G721" s="18">
        <f>VLOOKUP(1721,季財報!A:H,7)</f>
        <v>0</v>
      </c>
      <c r="N721" s="20">
        <f t="shared" si="11"/>
        <v>3</v>
      </c>
    </row>
    <row r="722" spans="1:14">
      <c r="A722" s="308" t="str">
        <f>HYPERLINK("http://www.wantgoo.com/stock/chart.aspx?stockno=8931","8931")</f>
        <v>8931</v>
      </c>
      <c r="C722" s="18">
        <f>VLOOKUP(8931,季財報!A:H,3)</f>
        <v>0</v>
      </c>
      <c r="D722" s="18">
        <f>VLOOKUP(8931,季財報!A:H,4)</f>
        <v>1</v>
      </c>
      <c r="E722" s="18">
        <f>VLOOKUP(8931,季財報!A:H,5)</f>
        <v>2</v>
      </c>
      <c r="F722" s="18">
        <f>VLOOKUP(8931,季財報!A:H,6)</f>
        <v>1</v>
      </c>
      <c r="G722" s="18">
        <f>VLOOKUP(8931,季財報!A:H,7)</f>
        <v>0</v>
      </c>
      <c r="N722" s="20">
        <f t="shared" si="11"/>
        <v>4</v>
      </c>
    </row>
    <row r="723" spans="1:14">
      <c r="A723" s="307" t="str">
        <f>HYPERLINK("http://www.wantgoo.com/stock/chart.aspx?stockno=5903","5903")</f>
        <v>5903</v>
      </c>
      <c r="C723" s="18">
        <f>VLOOKUP(5903,季財報!A:H,3)</f>
        <v>1</v>
      </c>
      <c r="D723" s="18">
        <f>VLOOKUP(5903,季財報!A:H,4)</f>
        <v>1</v>
      </c>
      <c r="E723" s="18">
        <f>VLOOKUP(5903,季財報!A:H,5)</f>
        <v>0</v>
      </c>
      <c r="F723" s="18">
        <f>VLOOKUP(5903,季財報!A:H,6)</f>
        <v>0</v>
      </c>
      <c r="G723" s="18">
        <f>VLOOKUP(5903,季財報!A:H,7)</f>
        <v>0</v>
      </c>
      <c r="N723" s="20">
        <f t="shared" si="11"/>
        <v>2</v>
      </c>
    </row>
    <row r="724" spans="1:14">
      <c r="A724" s="307" t="str">
        <f>HYPERLINK("http://www.wantgoo.com/stock/chart.aspx?stockno=2718","2718")</f>
        <v>2718</v>
      </c>
      <c r="C724" s="18">
        <f>VLOOKUP(2718,季財報!A:H,3)</f>
        <v>0</v>
      </c>
      <c r="D724" s="18">
        <f>VLOOKUP(2718,季財報!A:H,4)</f>
        <v>1</v>
      </c>
      <c r="E724" s="18">
        <f>VLOOKUP(2718,季財報!A:H,5)</f>
        <v>1</v>
      </c>
      <c r="F724" s="18">
        <f>VLOOKUP(2718,季財報!A:H,6)</f>
        <v>1</v>
      </c>
      <c r="G724" s="18">
        <f>VLOOKUP(2718,季財報!A:H,7)</f>
        <v>0</v>
      </c>
      <c r="N724" s="20">
        <f t="shared" si="11"/>
        <v>3</v>
      </c>
    </row>
    <row r="725" spans="1:14">
      <c r="A725" s="308" t="str">
        <f>HYPERLINK("http://www.wantgoo.com/stock/chart.aspx?stockno=1470","1470")</f>
        <v>1470</v>
      </c>
      <c r="C725" s="18">
        <f>VLOOKUP(1470,季財報!A:H,3)</f>
        <v>0</v>
      </c>
      <c r="D725" s="18">
        <f>VLOOKUP(1470,季財報!A:H,4)</f>
        <v>1</v>
      </c>
      <c r="E725" s="18">
        <f>VLOOKUP(1470,季財報!A:H,5)</f>
        <v>0</v>
      </c>
      <c r="F725" s="18">
        <f>VLOOKUP(1470,季財報!A:H,6)</f>
        <v>1</v>
      </c>
      <c r="G725" s="18">
        <f>VLOOKUP(1470,季財報!A:H,7)</f>
        <v>0</v>
      </c>
      <c r="N725" s="20">
        <f t="shared" si="11"/>
        <v>2</v>
      </c>
    </row>
    <row r="726" spans="1:14">
      <c r="A726" s="308" t="str">
        <f>HYPERLINK("http://www.wantgoo.com/stock/chart.aspx?stockno=8432","8432")</f>
        <v>8432</v>
      </c>
      <c r="C726" s="18">
        <f>VLOOKUP(8432,季財報!A:H,3)</f>
        <v>0</v>
      </c>
      <c r="D726" s="18">
        <f>VLOOKUP(8432,季財報!A:H,4)</f>
        <v>1</v>
      </c>
      <c r="E726" s="18">
        <f>VLOOKUP(8432,季財報!A:H,5)</f>
        <v>0</v>
      </c>
      <c r="F726" s="18">
        <f>VLOOKUP(8432,季財報!A:H,6)</f>
        <v>0</v>
      </c>
      <c r="G726" s="18">
        <f>VLOOKUP(8432,季財報!A:H,7)</f>
        <v>0</v>
      </c>
      <c r="N726" s="20">
        <f t="shared" si="11"/>
        <v>1</v>
      </c>
    </row>
    <row r="727" spans="1:14">
      <c r="A727" s="307" t="str">
        <f>HYPERLINK("http://www.wantgoo.com/stock/chart.aspx?stockno=3049","3049")</f>
        <v>3049</v>
      </c>
      <c r="C727" s="18">
        <f>VLOOKUP(3049,季財報!A:H,3)</f>
        <v>1</v>
      </c>
      <c r="D727" s="18">
        <f>VLOOKUP(3049,季財報!A:H,4)</f>
        <v>1</v>
      </c>
      <c r="E727" s="18">
        <f>VLOOKUP(3049,季財報!A:H,5)</f>
        <v>2</v>
      </c>
      <c r="F727" s="18">
        <f>VLOOKUP(3049,季財報!A:H,6)</f>
        <v>1</v>
      </c>
      <c r="G727" s="18">
        <f>VLOOKUP(3049,季財報!A:H,7)</f>
        <v>0</v>
      </c>
      <c r="N727" s="20">
        <f t="shared" si="11"/>
        <v>5</v>
      </c>
    </row>
    <row r="728" spans="1:14">
      <c r="A728" s="307" t="str">
        <f>HYPERLINK("http://www.wantgoo.com/stock/chart.aspx?stockno=2727","2727")</f>
        <v>2727</v>
      </c>
      <c r="C728" s="18">
        <f>VLOOKUP(2727,季財報!A:H,3)</f>
        <v>0</v>
      </c>
      <c r="D728" s="18">
        <f>VLOOKUP(2727,季財報!A:H,4)</f>
        <v>0</v>
      </c>
      <c r="E728" s="18">
        <f>VLOOKUP(2727,季財報!A:H,5)</f>
        <v>0</v>
      </c>
      <c r="F728" s="18">
        <f>VLOOKUP(2727,季財報!A:H,6)</f>
        <v>1</v>
      </c>
      <c r="G728" s="18">
        <f>VLOOKUP(2727,季財報!A:H,7)</f>
        <v>0</v>
      </c>
      <c r="N728" s="20">
        <f t="shared" si="11"/>
        <v>1</v>
      </c>
    </row>
    <row r="729" spans="1:14">
      <c r="A729" s="307" t="str">
        <f>HYPERLINK("http://www.wantgoo.com/stock/chart.aspx?stockno=8917","8917")</f>
        <v>8917</v>
      </c>
      <c r="C729" s="18">
        <f>VLOOKUP(8917,季財報!A:H,3)</f>
        <v>0</v>
      </c>
      <c r="D729" s="18">
        <f>VLOOKUP(8917,季財報!A:H,4)</f>
        <v>1</v>
      </c>
      <c r="E729" s="18">
        <f>VLOOKUP(8917,季財報!A:H,5)</f>
        <v>1</v>
      </c>
      <c r="F729" s="18">
        <f>VLOOKUP(8917,季財報!A:H,6)</f>
        <v>1</v>
      </c>
      <c r="G729" s="18">
        <f>VLOOKUP(8917,季財報!A:H,7)</f>
        <v>0</v>
      </c>
      <c r="N729" s="20">
        <f t="shared" si="11"/>
        <v>3</v>
      </c>
    </row>
    <row r="730" spans="1:14">
      <c r="A730" s="308" t="str">
        <f>HYPERLINK("http://www.wantgoo.com/stock/chart.aspx?stockno=1326","1326")</f>
        <v>1326</v>
      </c>
      <c r="C730" s="18">
        <f>VLOOKUP(1326,季財報!A:H,3)</f>
        <v>0</v>
      </c>
      <c r="D730" s="18">
        <f>VLOOKUP(1326,季財報!A:H,4)</f>
        <v>1</v>
      </c>
      <c r="E730" s="18">
        <f>VLOOKUP(1326,季財報!A:H,5)</f>
        <v>0</v>
      </c>
      <c r="F730" s="18">
        <f>VLOOKUP(1326,季財報!A:H,6)</f>
        <v>1</v>
      </c>
      <c r="G730" s="18">
        <f>VLOOKUP(1326,季財報!A:H,7)</f>
        <v>0</v>
      </c>
      <c r="N730" s="20">
        <f t="shared" si="11"/>
        <v>2</v>
      </c>
    </row>
    <row r="731" spans="1:14">
      <c r="A731" s="307" t="str">
        <f>HYPERLINK("http://www.wantgoo.com/stock/chart.aspx?stockno=3227","3227")</f>
        <v>3227</v>
      </c>
      <c r="C731" s="18">
        <f>VLOOKUP(3227,季財報!A:H,3)</f>
        <v>1</v>
      </c>
      <c r="D731" s="18">
        <f>VLOOKUP(3227,季財報!A:H,4)</f>
        <v>1</v>
      </c>
      <c r="E731" s="18">
        <f>VLOOKUP(3227,季財報!A:H,5)</f>
        <v>0</v>
      </c>
      <c r="F731" s="18">
        <f>VLOOKUP(3227,季財報!A:H,6)</f>
        <v>1</v>
      </c>
      <c r="G731" s="18">
        <f>VLOOKUP(3227,季財報!A:H,7)</f>
        <v>0</v>
      </c>
      <c r="N731" s="20">
        <f t="shared" si="11"/>
        <v>3</v>
      </c>
    </row>
    <row r="732" spans="1:14">
      <c r="A732" s="308" t="str">
        <f>HYPERLINK("http://www.wantgoo.com/stock/chart.aspx?stockno=8107","8107")</f>
        <v>8107</v>
      </c>
      <c r="C732" s="18">
        <f>VLOOKUP(8107,季財報!A:H,3)</f>
        <v>1</v>
      </c>
      <c r="D732" s="18">
        <f>VLOOKUP(8107,季財報!A:H,4)</f>
        <v>1</v>
      </c>
      <c r="E732" s="18">
        <f>VLOOKUP(8107,季財報!A:H,5)</f>
        <v>2</v>
      </c>
      <c r="F732" s="18">
        <f>VLOOKUP(8107,季財報!A:H,6)</f>
        <v>1</v>
      </c>
      <c r="G732" s="18">
        <f>VLOOKUP(8107,季財報!A:H,7)</f>
        <v>0</v>
      </c>
      <c r="N732" s="20">
        <f t="shared" si="11"/>
        <v>5</v>
      </c>
    </row>
    <row r="733" spans="1:14">
      <c r="A733" s="308" t="str">
        <f>HYPERLINK("http://www.wantgoo.com/stock/chart.aspx?stockno=5301","5301")</f>
        <v>5301</v>
      </c>
      <c r="C733" s="18">
        <f>VLOOKUP(5301,季財報!A:H,3)</f>
        <v>0</v>
      </c>
      <c r="D733" s="18">
        <f>VLOOKUP(5301,季財報!A:H,4)</f>
        <v>0</v>
      </c>
      <c r="E733" s="18">
        <f>VLOOKUP(5301,季財報!A:H,5)</f>
        <v>0</v>
      </c>
      <c r="F733" s="18">
        <f>VLOOKUP(5301,季財報!A:H,6)</f>
        <v>0</v>
      </c>
      <c r="G733" s="18">
        <f>VLOOKUP(5301,季財報!A:H,7)</f>
        <v>0</v>
      </c>
      <c r="N733" s="20">
        <f t="shared" si="11"/>
        <v>0</v>
      </c>
    </row>
    <row r="734" spans="1:14">
      <c r="A734" s="308" t="str">
        <f>HYPERLINK("http://www.wantgoo.com/stock/chart.aspx?stockno=2430","2430")</f>
        <v>2430</v>
      </c>
      <c r="C734" s="18">
        <f>VLOOKUP(2430,季財報!A:H,3)</f>
        <v>1</v>
      </c>
      <c r="D734" s="18">
        <f>VLOOKUP(2430,季財報!A:H,4)</f>
        <v>1</v>
      </c>
      <c r="E734" s="18">
        <f>VLOOKUP(2430,季財報!A:H,5)</f>
        <v>0</v>
      </c>
      <c r="F734" s="18">
        <f>VLOOKUP(2430,季財報!A:H,6)</f>
        <v>0</v>
      </c>
      <c r="G734" s="18">
        <f>VLOOKUP(2430,季財報!A:H,7)</f>
        <v>0</v>
      </c>
      <c r="N734" s="20">
        <f t="shared" si="11"/>
        <v>2</v>
      </c>
    </row>
    <row r="735" spans="1:14">
      <c r="A735" s="308" t="str">
        <f>HYPERLINK("http://www.wantgoo.com/stock/chart.aspx?stockno=3583","3583")</f>
        <v>3583</v>
      </c>
      <c r="C735" s="18">
        <f>VLOOKUP(3583,季財報!A:H,3)</f>
        <v>0</v>
      </c>
      <c r="D735" s="18">
        <f>VLOOKUP(3583,季財報!A:H,4)</f>
        <v>1</v>
      </c>
      <c r="E735" s="18">
        <f>VLOOKUP(3583,季財報!A:H,5)</f>
        <v>1</v>
      </c>
      <c r="F735" s="18">
        <f>VLOOKUP(3583,季財報!A:H,6)</f>
        <v>1</v>
      </c>
      <c r="G735" s="18">
        <f>VLOOKUP(3583,季財報!A:H,7)</f>
        <v>0</v>
      </c>
      <c r="N735" s="20">
        <f t="shared" si="11"/>
        <v>3</v>
      </c>
    </row>
    <row r="736" spans="1:14">
      <c r="A736" s="307" t="str">
        <f>HYPERLINK("http://www.wantgoo.com/stock/chart.aspx?stockno=8996","8996")</f>
        <v>8996</v>
      </c>
      <c r="C736" s="18">
        <f>VLOOKUP(8996,季財報!A:H,3)</f>
        <v>0</v>
      </c>
      <c r="D736" s="18">
        <f>VLOOKUP(8996,季財報!A:H,4)</f>
        <v>1</v>
      </c>
      <c r="E736" s="18">
        <f>VLOOKUP(8996,季財報!A:H,5)</f>
        <v>0</v>
      </c>
      <c r="F736" s="18">
        <f>VLOOKUP(8996,季財報!A:H,6)</f>
        <v>0</v>
      </c>
      <c r="G736" s="18">
        <f>VLOOKUP(8996,季財報!A:H,7)</f>
        <v>0</v>
      </c>
      <c r="N736" s="20">
        <f t="shared" si="11"/>
        <v>1</v>
      </c>
    </row>
    <row r="737" spans="1:14">
      <c r="A737" s="308" t="str">
        <f>HYPERLINK("http://www.wantgoo.com/stock/chart.aspx?stockno=4994","4994")</f>
        <v>4994</v>
      </c>
      <c r="C737" s="18">
        <f>VLOOKUP(4994,季財報!A:H,3)</f>
        <v>0</v>
      </c>
      <c r="D737" s="18">
        <f>VLOOKUP(4994,季財報!A:H,4)</f>
        <v>1</v>
      </c>
      <c r="E737" s="18">
        <f>VLOOKUP(4994,季財報!A:H,5)</f>
        <v>2</v>
      </c>
      <c r="F737" s="18">
        <f>VLOOKUP(4994,季財報!A:H,6)</f>
        <v>1</v>
      </c>
      <c r="G737" s="18">
        <f>VLOOKUP(4994,季財報!A:H,7)</f>
        <v>0</v>
      </c>
      <c r="N737" s="20">
        <f t="shared" si="11"/>
        <v>4</v>
      </c>
    </row>
  </sheetData>
  <sortState ref="A4:S737">
    <sortCondition descending="1" ref="N3"/>
  </sortState>
  <mergeCells count="6">
    <mergeCell ref="A1:B1"/>
    <mergeCell ref="A2:B2"/>
    <mergeCell ref="C2:G2"/>
    <mergeCell ref="O2:S2"/>
    <mergeCell ref="H2:M2"/>
    <mergeCell ref="C1:G1"/>
  </mergeCells>
  <phoneticPr fontId="2" type="noConversion"/>
  <pageMargins left="0.7" right="0.7" top="0.75" bottom="0.75" header="0.3" footer="0.3"/>
  <pageSetup paperSize="9" orientation="portrait" r:id="rId1"/>
  <legacyDrawing r:id="rId2"/>
  <controls>
    <control shapeId="2067" r:id="rId3" name="CommandButton12"/>
    <control shapeId="2065" r:id="rId4" name="CommandButton11"/>
    <control shapeId="2064" r:id="rId5" name="CommandButton10"/>
    <control shapeId="2063" r:id="rId6" name="CommandButton8"/>
    <control shapeId="2057" r:id="rId7" name="CommandButton1"/>
    <control shapeId="2049" r:id="rId8" name="CommandButton2"/>
    <control shapeId="2050" r:id="rId9" name="CommandButton3"/>
    <control shapeId="2051" r:id="rId10" name="CommandButton4"/>
    <control shapeId="2052" r:id="rId11" name="CommandButton5"/>
    <control shapeId="2053" r:id="rId12" name="CommandButton6"/>
    <control shapeId="2059" r:id="rId13" name="CommandButton7"/>
    <control shapeId="2062" r:id="rId14" name="CommandButton9"/>
    <control shapeId="2068" r:id="rId15" name="CommandButton13"/>
    <control shapeId="2069" r:id="rId16" name="CommandButton14"/>
    <control shapeId="2070" r:id="rId17" name="CommandButton15"/>
    <control shapeId="2071" r:id="rId18" name="CommandButton16"/>
  </controls>
</worksheet>
</file>

<file path=xl/worksheets/sheet6.xml><?xml version="1.0" encoding="utf-8"?>
<worksheet xmlns="http://schemas.openxmlformats.org/spreadsheetml/2006/main" xmlns:r="http://schemas.openxmlformats.org/officeDocument/2006/relationships">
  <sheetPr codeName="C篩股系統"/>
  <dimension ref="A1:AB1543"/>
  <sheetViews>
    <sheetView zoomScale="80" zoomScaleNormal="80" workbookViewId="0">
      <pane xSplit="1" ySplit="1" topLeftCell="B2" activePane="bottomRight" state="frozen"/>
      <selection activeCell="D22" sqref="D22"/>
      <selection pane="topRight" activeCell="D22" sqref="D22"/>
      <selection pane="bottomLeft" activeCell="D22" sqref="D22"/>
      <selection pane="bottomRight" activeCell="B14" sqref="B14"/>
    </sheetView>
  </sheetViews>
  <sheetFormatPr defaultColWidth="9" defaultRowHeight="16.5"/>
  <cols>
    <col min="1" max="1" width="10.75" style="31" customWidth="1"/>
    <col min="2" max="18" width="10.75" customWidth="1"/>
    <col min="19" max="22" width="9.625" customWidth="1"/>
    <col min="23" max="26" width="12.125" customWidth="1"/>
    <col min="27" max="16384" width="9" style="29"/>
  </cols>
  <sheetData>
    <row r="1" spans="1:28" ht="33.75" customHeight="1">
      <c r="A1" s="28" t="s">
        <v>151</v>
      </c>
      <c r="B1" t="s">
        <v>1979</v>
      </c>
      <c r="C1">
        <v>20151120</v>
      </c>
      <c r="D1">
        <v>20151127</v>
      </c>
      <c r="E1">
        <v>20151204</v>
      </c>
      <c r="AB1" s="30"/>
    </row>
    <row r="2" spans="1:28">
      <c r="A2" s="31">
        <v>1101</v>
      </c>
      <c r="B2" s="305" t="s">
        <v>2028</v>
      </c>
      <c r="C2" s="32" t="s">
        <v>2027</v>
      </c>
      <c r="D2" s="32" t="s">
        <v>1980</v>
      </c>
      <c r="E2" s="32" t="s">
        <v>1981</v>
      </c>
      <c r="F2" s="32" t="s">
        <v>1982</v>
      </c>
      <c r="G2" s="32" t="s">
        <v>1983</v>
      </c>
      <c r="H2" s="32" t="s">
        <v>2027</v>
      </c>
      <c r="I2" s="32" t="s">
        <v>1980</v>
      </c>
      <c r="J2" s="32" t="s">
        <v>1981</v>
      </c>
      <c r="K2" s="32" t="s">
        <v>1982</v>
      </c>
      <c r="L2" s="32" t="s">
        <v>1983</v>
      </c>
      <c r="M2" s="32" t="s">
        <v>2027</v>
      </c>
      <c r="N2" s="32" t="s">
        <v>1980</v>
      </c>
      <c r="O2" s="32" t="s">
        <v>1981</v>
      </c>
      <c r="P2" s="32" t="s">
        <v>1982</v>
      </c>
      <c r="Q2" s="32" t="s">
        <v>1983</v>
      </c>
    </row>
    <row r="3" spans="1:28">
      <c r="A3" s="31">
        <v>1103</v>
      </c>
      <c r="B3" s="305" t="s">
        <v>2029</v>
      </c>
      <c r="C3" s="32">
        <v>1</v>
      </c>
      <c r="D3" s="32" t="s">
        <v>1984</v>
      </c>
      <c r="E3" s="154">
        <v>1213</v>
      </c>
      <c r="F3" s="154">
        <v>202001</v>
      </c>
      <c r="G3" s="32">
        <v>0.22</v>
      </c>
      <c r="H3" s="32">
        <v>1</v>
      </c>
      <c r="I3" s="32" t="s">
        <v>1984</v>
      </c>
      <c r="J3" s="154">
        <v>1213</v>
      </c>
      <c r="K3" s="154">
        <v>202327</v>
      </c>
      <c r="L3" s="32">
        <v>0.22</v>
      </c>
      <c r="M3" s="32">
        <v>1</v>
      </c>
      <c r="N3" s="32" t="s">
        <v>1984</v>
      </c>
      <c r="O3" s="154">
        <v>1214</v>
      </c>
      <c r="P3" s="154">
        <v>202498</v>
      </c>
      <c r="Q3" s="32">
        <v>0.22</v>
      </c>
    </row>
    <row r="4" spans="1:28">
      <c r="A4" s="31">
        <v>1104</v>
      </c>
      <c r="B4" s="305" t="s">
        <v>2030</v>
      </c>
      <c r="C4" s="32">
        <v>2</v>
      </c>
      <c r="D4" s="32" t="s">
        <v>1985</v>
      </c>
      <c r="E4" s="154">
        <v>2002</v>
      </c>
      <c r="F4" s="154">
        <v>4626904</v>
      </c>
      <c r="G4" s="32">
        <v>5.12</v>
      </c>
      <c r="H4" s="32">
        <v>2</v>
      </c>
      <c r="I4" s="32" t="s">
        <v>1985</v>
      </c>
      <c r="J4" s="154">
        <v>1996</v>
      </c>
      <c r="K4" s="154">
        <v>4614060</v>
      </c>
      <c r="L4" s="32">
        <v>5.1100000000000003</v>
      </c>
      <c r="M4" s="32">
        <v>2</v>
      </c>
      <c r="N4" s="32" t="s">
        <v>1985</v>
      </c>
      <c r="O4" s="154">
        <v>1991</v>
      </c>
      <c r="P4" s="154">
        <v>4601296</v>
      </c>
      <c r="Q4" s="32">
        <v>5.0999999999999996</v>
      </c>
    </row>
    <row r="5" spans="1:28">
      <c r="A5" s="31">
        <v>1108</v>
      </c>
      <c r="B5" s="305" t="s">
        <v>2031</v>
      </c>
      <c r="C5" s="32">
        <v>3</v>
      </c>
      <c r="D5" s="32" t="s">
        <v>1986</v>
      </c>
      <c r="E5" s="32">
        <v>560</v>
      </c>
      <c r="F5" s="154">
        <v>4105226</v>
      </c>
      <c r="G5" s="32">
        <v>4.55</v>
      </c>
      <c r="H5" s="32">
        <v>3</v>
      </c>
      <c r="I5" s="32" t="s">
        <v>1986</v>
      </c>
      <c r="J5" s="32">
        <v>560</v>
      </c>
      <c r="K5" s="154">
        <v>4105226</v>
      </c>
      <c r="L5" s="32">
        <v>4.55</v>
      </c>
      <c r="M5" s="32">
        <v>3</v>
      </c>
      <c r="N5" s="32" t="s">
        <v>1986</v>
      </c>
      <c r="O5" s="32">
        <v>560</v>
      </c>
      <c r="P5" s="154">
        <v>4104300</v>
      </c>
      <c r="Q5" s="32">
        <v>4.54</v>
      </c>
    </row>
    <row r="6" spans="1:28">
      <c r="A6" s="31">
        <v>1109</v>
      </c>
      <c r="B6" s="305" t="s">
        <v>2032</v>
      </c>
      <c r="C6" s="32">
        <v>4</v>
      </c>
      <c r="D6" s="32" t="s">
        <v>1987</v>
      </c>
      <c r="E6" s="32">
        <v>268</v>
      </c>
      <c r="F6" s="154">
        <v>3288940</v>
      </c>
      <c r="G6" s="32">
        <v>3.64</v>
      </c>
      <c r="H6" s="32">
        <v>4</v>
      </c>
      <c r="I6" s="32" t="s">
        <v>1987</v>
      </c>
      <c r="J6" s="32">
        <v>267</v>
      </c>
      <c r="K6" s="154">
        <v>3274940</v>
      </c>
      <c r="L6" s="32">
        <v>3.62</v>
      </c>
      <c r="M6" s="32">
        <v>4</v>
      </c>
      <c r="N6" s="32" t="s">
        <v>1987</v>
      </c>
      <c r="O6" s="32">
        <v>267</v>
      </c>
      <c r="P6" s="154">
        <v>3275459</v>
      </c>
      <c r="Q6" s="32">
        <v>3.63</v>
      </c>
    </row>
    <row r="7" spans="1:28">
      <c r="A7" s="31">
        <v>1110</v>
      </c>
      <c r="B7" s="305" t="s">
        <v>2033</v>
      </c>
      <c r="C7" s="32">
        <v>5</v>
      </c>
      <c r="D7" s="32" t="s">
        <v>1988</v>
      </c>
      <c r="E7" s="32">
        <v>118</v>
      </c>
      <c r="F7" s="154">
        <v>2125269</v>
      </c>
      <c r="G7" s="32">
        <v>2.35</v>
      </c>
      <c r="H7" s="32">
        <v>5</v>
      </c>
      <c r="I7" s="32" t="s">
        <v>1988</v>
      </c>
      <c r="J7" s="32">
        <v>118</v>
      </c>
      <c r="K7" s="154">
        <v>2127887</v>
      </c>
      <c r="L7" s="32">
        <v>2.35</v>
      </c>
      <c r="M7" s="32">
        <v>5</v>
      </c>
      <c r="N7" s="32" t="s">
        <v>1988</v>
      </c>
      <c r="O7" s="32">
        <v>118</v>
      </c>
      <c r="P7" s="154">
        <v>2128887</v>
      </c>
      <c r="Q7" s="32">
        <v>2.35</v>
      </c>
    </row>
    <row r="8" spans="1:28">
      <c r="A8" s="31">
        <v>1201</v>
      </c>
      <c r="B8" s="305" t="s">
        <v>2034</v>
      </c>
      <c r="C8" s="32">
        <v>6</v>
      </c>
      <c r="D8" s="32" t="s">
        <v>1989</v>
      </c>
      <c r="E8" s="32">
        <v>139</v>
      </c>
      <c r="F8" s="154">
        <v>3414911</v>
      </c>
      <c r="G8" s="32">
        <v>3.78</v>
      </c>
      <c r="H8" s="32">
        <v>6</v>
      </c>
      <c r="I8" s="32" t="s">
        <v>1989</v>
      </c>
      <c r="J8" s="32">
        <v>137</v>
      </c>
      <c r="K8" s="154">
        <v>3359811</v>
      </c>
      <c r="L8" s="32">
        <v>3.72</v>
      </c>
      <c r="M8" s="32">
        <v>6</v>
      </c>
      <c r="N8" s="32" t="s">
        <v>1989</v>
      </c>
      <c r="O8" s="32">
        <v>137</v>
      </c>
      <c r="P8" s="154">
        <v>3359811</v>
      </c>
      <c r="Q8" s="32">
        <v>3.72</v>
      </c>
    </row>
    <row r="9" spans="1:28">
      <c r="A9" s="31">
        <v>1203</v>
      </c>
      <c r="B9" s="305" t="s">
        <v>2035</v>
      </c>
      <c r="C9" s="32">
        <v>7</v>
      </c>
      <c r="D9" s="32" t="s">
        <v>1990</v>
      </c>
      <c r="E9" s="32">
        <v>59</v>
      </c>
      <c r="F9" s="154">
        <v>2092232</v>
      </c>
      <c r="G9" s="32">
        <v>2.31</v>
      </c>
      <c r="H9" s="32">
        <v>7</v>
      </c>
      <c r="I9" s="32" t="s">
        <v>1990</v>
      </c>
      <c r="J9" s="32">
        <v>58</v>
      </c>
      <c r="K9" s="154">
        <v>2054232</v>
      </c>
      <c r="L9" s="32">
        <v>2.27</v>
      </c>
      <c r="M9" s="32">
        <v>7</v>
      </c>
      <c r="N9" s="32" t="s">
        <v>1990</v>
      </c>
      <c r="O9" s="32">
        <v>58</v>
      </c>
      <c r="P9" s="154">
        <v>2054232</v>
      </c>
      <c r="Q9" s="32">
        <v>2.27</v>
      </c>
    </row>
    <row r="10" spans="1:28">
      <c r="A10" s="31">
        <v>1213</v>
      </c>
      <c r="B10" s="305" t="s">
        <v>2036</v>
      </c>
      <c r="C10" s="32">
        <v>8</v>
      </c>
      <c r="D10" s="32" t="s">
        <v>1991</v>
      </c>
      <c r="E10" s="32">
        <v>38</v>
      </c>
      <c r="F10" s="154">
        <v>1765566</v>
      </c>
      <c r="G10" s="32">
        <v>1.95</v>
      </c>
      <c r="H10" s="32">
        <v>8</v>
      </c>
      <c r="I10" s="32" t="s">
        <v>1991</v>
      </c>
      <c r="J10" s="32">
        <v>39</v>
      </c>
      <c r="K10" s="154">
        <v>1815566</v>
      </c>
      <c r="L10" s="32">
        <v>2.0099999999999998</v>
      </c>
      <c r="M10" s="32">
        <v>8</v>
      </c>
      <c r="N10" s="32" t="s">
        <v>1991</v>
      </c>
      <c r="O10" s="32">
        <v>39</v>
      </c>
      <c r="P10" s="154">
        <v>1815566</v>
      </c>
      <c r="Q10" s="32">
        <v>2.0099999999999998</v>
      </c>
    </row>
    <row r="11" spans="1:28">
      <c r="A11" s="31">
        <v>1215</v>
      </c>
      <c r="B11" s="305" t="s">
        <v>2037</v>
      </c>
      <c r="C11" s="32">
        <v>9</v>
      </c>
      <c r="D11" s="32" t="s">
        <v>1992</v>
      </c>
      <c r="E11" s="32">
        <v>82</v>
      </c>
      <c r="F11" s="154">
        <v>5677611</v>
      </c>
      <c r="G11" s="32">
        <v>6.29</v>
      </c>
      <c r="H11" s="32">
        <v>9</v>
      </c>
      <c r="I11" s="32" t="s">
        <v>1992</v>
      </c>
      <c r="J11" s="32">
        <v>82</v>
      </c>
      <c r="K11" s="154">
        <v>5667611</v>
      </c>
      <c r="L11" s="32">
        <v>6.28</v>
      </c>
      <c r="M11" s="32">
        <v>9</v>
      </c>
      <c r="N11" s="32" t="s">
        <v>1992</v>
      </c>
      <c r="O11" s="32">
        <v>82</v>
      </c>
      <c r="P11" s="154">
        <v>5661611</v>
      </c>
      <c r="Q11" s="32">
        <v>6.27</v>
      </c>
    </row>
    <row r="12" spans="1:28">
      <c r="A12" s="31">
        <v>1216</v>
      </c>
      <c r="B12" s="305" t="s">
        <v>2038</v>
      </c>
      <c r="C12" s="32">
        <v>10</v>
      </c>
      <c r="D12" s="32" t="s">
        <v>1993</v>
      </c>
      <c r="E12" s="32">
        <v>36</v>
      </c>
      <c r="F12" s="154">
        <v>5029703</v>
      </c>
      <c r="G12" s="32">
        <v>5.57</v>
      </c>
      <c r="H12" s="32">
        <v>10</v>
      </c>
      <c r="I12" s="32" t="s">
        <v>1993</v>
      </c>
      <c r="J12" s="32">
        <v>35</v>
      </c>
      <c r="K12" s="154">
        <v>4858703</v>
      </c>
      <c r="L12" s="32">
        <v>5.38</v>
      </c>
      <c r="M12" s="32">
        <v>10</v>
      </c>
      <c r="N12" s="32" t="s">
        <v>1993</v>
      </c>
      <c r="O12" s="32">
        <v>35</v>
      </c>
      <c r="P12" s="154">
        <v>4855703</v>
      </c>
      <c r="Q12" s="32">
        <v>5.38</v>
      </c>
    </row>
    <row r="13" spans="1:28">
      <c r="A13" s="31">
        <v>1217</v>
      </c>
      <c r="B13" s="305" t="s">
        <v>2039</v>
      </c>
      <c r="C13" s="32">
        <v>11</v>
      </c>
      <c r="D13" s="32" t="s">
        <v>1994</v>
      </c>
      <c r="E13" s="32">
        <v>19</v>
      </c>
      <c r="F13" s="154">
        <v>5434248</v>
      </c>
      <c r="G13" s="32">
        <v>6.02</v>
      </c>
      <c r="H13" s="32">
        <v>11</v>
      </c>
      <c r="I13" s="32" t="s">
        <v>1994</v>
      </c>
      <c r="J13" s="32">
        <v>20</v>
      </c>
      <c r="K13" s="154">
        <v>5668248</v>
      </c>
      <c r="L13" s="32">
        <v>6.28</v>
      </c>
      <c r="M13" s="32">
        <v>11</v>
      </c>
      <c r="N13" s="32" t="s">
        <v>1994</v>
      </c>
      <c r="O13" s="32">
        <v>20</v>
      </c>
      <c r="P13" s="154">
        <v>5663248</v>
      </c>
      <c r="Q13" s="32">
        <v>6.27</v>
      </c>
    </row>
    <row r="14" spans="1:28">
      <c r="A14" s="31">
        <v>1218</v>
      </c>
      <c r="B14" s="305" t="s">
        <v>2040</v>
      </c>
      <c r="C14" s="32">
        <v>12</v>
      </c>
      <c r="D14" s="32" t="s">
        <v>1995</v>
      </c>
      <c r="E14" s="32">
        <v>17</v>
      </c>
      <c r="F14" s="154">
        <v>8377419</v>
      </c>
      <c r="G14" s="32">
        <v>9.2799999999999994</v>
      </c>
      <c r="H14" s="32">
        <v>12</v>
      </c>
      <c r="I14" s="32" t="s">
        <v>1995</v>
      </c>
      <c r="J14" s="32">
        <v>17</v>
      </c>
      <c r="K14" s="154">
        <v>8377419</v>
      </c>
      <c r="L14" s="32">
        <v>9.2799999999999994</v>
      </c>
      <c r="M14" s="32">
        <v>12</v>
      </c>
      <c r="N14" s="32" t="s">
        <v>1995</v>
      </c>
      <c r="O14" s="32">
        <v>17</v>
      </c>
      <c r="P14" s="154">
        <v>8377419</v>
      </c>
      <c r="Q14" s="32">
        <v>9.2799999999999994</v>
      </c>
    </row>
    <row r="15" spans="1:28">
      <c r="A15" s="31">
        <v>1219</v>
      </c>
      <c r="B15" s="305" t="s">
        <v>2041</v>
      </c>
      <c r="C15" s="32">
        <v>13</v>
      </c>
      <c r="D15" s="32" t="s">
        <v>1996</v>
      </c>
      <c r="E15" s="32">
        <v>3</v>
      </c>
      <c r="F15" s="154">
        <v>2043808</v>
      </c>
      <c r="G15" s="32">
        <v>2.2599999999999998</v>
      </c>
      <c r="H15" s="32">
        <v>13</v>
      </c>
      <c r="I15" s="32" t="s">
        <v>1996</v>
      </c>
      <c r="J15" s="32">
        <v>3</v>
      </c>
      <c r="K15" s="154">
        <v>2043808</v>
      </c>
      <c r="L15" s="32">
        <v>2.2599999999999998</v>
      </c>
      <c r="M15" s="32">
        <v>13</v>
      </c>
      <c r="N15" s="32" t="s">
        <v>1996</v>
      </c>
      <c r="O15" s="32">
        <v>3</v>
      </c>
      <c r="P15" s="154">
        <v>2043808</v>
      </c>
      <c r="Q15" s="32">
        <v>2.2599999999999998</v>
      </c>
    </row>
    <row r="16" spans="1:28">
      <c r="A16" s="31">
        <v>1220</v>
      </c>
      <c r="B16" s="305" t="s">
        <v>2042</v>
      </c>
      <c r="C16" s="32">
        <v>14</v>
      </c>
      <c r="D16" s="32" t="s">
        <v>1997</v>
      </c>
      <c r="E16" s="32">
        <v>4</v>
      </c>
      <c r="F16" s="154">
        <v>3574983</v>
      </c>
      <c r="G16" s="32">
        <v>3.96</v>
      </c>
      <c r="H16" s="32">
        <v>14</v>
      </c>
      <c r="I16" s="32" t="s">
        <v>1997</v>
      </c>
      <c r="J16" s="32">
        <v>4</v>
      </c>
      <c r="K16" s="154">
        <v>3574983</v>
      </c>
      <c r="L16" s="32">
        <v>3.96</v>
      </c>
      <c r="M16" s="32">
        <v>14</v>
      </c>
      <c r="N16" s="32" t="s">
        <v>1997</v>
      </c>
      <c r="O16" s="32">
        <v>4</v>
      </c>
      <c r="P16" s="154">
        <v>3574983</v>
      </c>
      <c r="Q16" s="32">
        <v>3.96</v>
      </c>
    </row>
    <row r="17" spans="1:17">
      <c r="A17" s="31">
        <v>1225</v>
      </c>
      <c r="B17" s="305" t="s">
        <v>2043</v>
      </c>
      <c r="C17" s="32">
        <v>15</v>
      </c>
      <c r="D17" s="32" t="s">
        <v>1998</v>
      </c>
      <c r="E17" s="32">
        <v>13</v>
      </c>
      <c r="F17" s="154">
        <v>38461439</v>
      </c>
      <c r="G17" s="32">
        <v>42.63</v>
      </c>
      <c r="H17" s="32">
        <v>15</v>
      </c>
      <c r="I17" s="32" t="s">
        <v>1998</v>
      </c>
      <c r="J17" s="32">
        <v>13</v>
      </c>
      <c r="K17" s="154">
        <v>38475439</v>
      </c>
      <c r="L17" s="32">
        <v>42.64</v>
      </c>
      <c r="M17" s="32">
        <v>15</v>
      </c>
      <c r="N17" s="32" t="s">
        <v>1998</v>
      </c>
      <c r="O17" s="32">
        <v>13</v>
      </c>
      <c r="P17" s="154">
        <v>38501439</v>
      </c>
      <c r="Q17" s="32">
        <v>42.67</v>
      </c>
    </row>
    <row r="18" spans="1:17">
      <c r="A18" s="31">
        <v>1227</v>
      </c>
      <c r="B18" s="305" t="s">
        <v>2044</v>
      </c>
      <c r="C18" s="32"/>
      <c r="D18" s="32" t="s">
        <v>1999</v>
      </c>
      <c r="E18" s="154">
        <v>4571</v>
      </c>
      <c r="F18" s="154">
        <v>90220260</v>
      </c>
      <c r="G18" s="32">
        <v>100</v>
      </c>
      <c r="H18" s="32"/>
      <c r="I18" s="32" t="s">
        <v>1999</v>
      </c>
      <c r="J18" s="154">
        <v>4562</v>
      </c>
      <c r="K18" s="154">
        <v>90220260</v>
      </c>
      <c r="L18" s="32">
        <v>100</v>
      </c>
      <c r="M18" s="32"/>
      <c r="N18" s="32" t="s">
        <v>1999</v>
      </c>
      <c r="O18" s="154">
        <v>4558</v>
      </c>
      <c r="P18" s="154">
        <v>90220260</v>
      </c>
      <c r="Q18" s="32">
        <v>100</v>
      </c>
    </row>
    <row r="19" spans="1:17">
      <c r="A19" s="31">
        <v>1229</v>
      </c>
      <c r="B19" s="305" t="s">
        <v>2045</v>
      </c>
      <c r="C19" s="32"/>
      <c r="D19" s="32" t="s">
        <v>1999</v>
      </c>
      <c r="E19" s="154">
        <v>5475</v>
      </c>
      <c r="F19" s="154">
        <v>61350880</v>
      </c>
      <c r="G19" s="32">
        <v>100</v>
      </c>
      <c r="H19" s="32"/>
      <c r="I19" s="32" t="s">
        <v>1999</v>
      </c>
      <c r="J19" s="154">
        <v>1487</v>
      </c>
      <c r="K19" s="154">
        <v>52577600</v>
      </c>
      <c r="L19" s="32">
        <v>100</v>
      </c>
      <c r="M19" s="32"/>
      <c r="N19" s="32" t="s">
        <v>1999</v>
      </c>
      <c r="O19" s="154">
        <v>4998</v>
      </c>
      <c r="P19" s="154">
        <v>61350880</v>
      </c>
      <c r="Q19" s="32">
        <v>100</v>
      </c>
    </row>
    <row r="20" spans="1:17">
      <c r="A20" s="31">
        <v>1231</v>
      </c>
    </row>
    <row r="21" spans="1:17">
      <c r="A21" s="31">
        <v>1232</v>
      </c>
    </row>
    <row r="22" spans="1:17">
      <c r="A22" s="31">
        <v>1233</v>
      </c>
    </row>
    <row r="23" spans="1:17">
      <c r="A23" s="31">
        <v>1234</v>
      </c>
    </row>
    <row r="24" spans="1:17">
      <c r="A24" s="31">
        <v>1235</v>
      </c>
    </row>
    <row r="25" spans="1:17">
      <c r="A25" s="31">
        <v>1236</v>
      </c>
    </row>
    <row r="26" spans="1:17">
      <c r="A26" s="31">
        <v>1256</v>
      </c>
    </row>
    <row r="27" spans="1:17">
      <c r="A27" s="31">
        <v>1258</v>
      </c>
    </row>
    <row r="28" spans="1:17">
      <c r="A28" s="31">
        <v>1259</v>
      </c>
    </row>
    <row r="29" spans="1:17">
      <c r="A29" s="31">
        <v>1262</v>
      </c>
    </row>
    <row r="30" spans="1:17">
      <c r="A30" s="31">
        <v>1264</v>
      </c>
    </row>
    <row r="31" spans="1:17">
      <c r="A31" s="31">
        <v>1301</v>
      </c>
    </row>
    <row r="32" spans="1:17">
      <c r="A32" s="31">
        <v>1303</v>
      </c>
    </row>
    <row r="33" spans="1:1">
      <c r="A33" s="31">
        <v>1304</v>
      </c>
    </row>
    <row r="34" spans="1:1">
      <c r="A34" s="31">
        <v>1305</v>
      </c>
    </row>
    <row r="35" spans="1:1">
      <c r="A35" s="31">
        <v>1307</v>
      </c>
    </row>
    <row r="36" spans="1:1">
      <c r="A36" s="31">
        <v>1308</v>
      </c>
    </row>
    <row r="37" spans="1:1">
      <c r="A37" s="31">
        <v>1309</v>
      </c>
    </row>
    <row r="38" spans="1:1">
      <c r="A38" s="31">
        <v>1310</v>
      </c>
    </row>
    <row r="39" spans="1:1">
      <c r="A39" s="31">
        <v>1312</v>
      </c>
    </row>
    <row r="40" spans="1:1">
      <c r="A40" s="31">
        <v>1313</v>
      </c>
    </row>
    <row r="41" spans="1:1">
      <c r="A41" s="31">
        <v>1314</v>
      </c>
    </row>
    <row r="42" spans="1:1">
      <c r="A42" s="31">
        <v>1315</v>
      </c>
    </row>
    <row r="43" spans="1:1">
      <c r="A43" s="31">
        <v>1316</v>
      </c>
    </row>
    <row r="44" spans="1:1">
      <c r="A44" s="31">
        <v>1319</v>
      </c>
    </row>
    <row r="45" spans="1:1">
      <c r="A45" s="31">
        <v>1321</v>
      </c>
    </row>
    <row r="46" spans="1:1">
      <c r="A46" s="31">
        <v>1323</v>
      </c>
    </row>
    <row r="47" spans="1:1">
      <c r="A47" s="31">
        <v>1324</v>
      </c>
    </row>
    <row r="48" spans="1:1">
      <c r="A48" s="31">
        <v>1325</v>
      </c>
    </row>
    <row r="49" spans="1:1">
      <c r="A49" s="31">
        <v>1326</v>
      </c>
    </row>
    <row r="50" spans="1:1">
      <c r="A50" s="31">
        <v>1333</v>
      </c>
    </row>
    <row r="51" spans="1:1">
      <c r="A51" s="31">
        <v>1336</v>
      </c>
    </row>
    <row r="52" spans="1:1">
      <c r="A52" s="31">
        <v>1337</v>
      </c>
    </row>
    <row r="53" spans="1:1">
      <c r="A53" s="31">
        <v>1338</v>
      </c>
    </row>
    <row r="54" spans="1:1">
      <c r="A54" s="31">
        <v>1339</v>
      </c>
    </row>
    <row r="55" spans="1:1">
      <c r="A55" s="31">
        <v>1340</v>
      </c>
    </row>
    <row r="56" spans="1:1">
      <c r="A56" s="31">
        <v>1402</v>
      </c>
    </row>
    <row r="57" spans="1:1">
      <c r="A57" s="31">
        <v>1409</v>
      </c>
    </row>
    <row r="58" spans="1:1">
      <c r="A58" s="31">
        <v>1410</v>
      </c>
    </row>
    <row r="59" spans="1:1">
      <c r="A59" s="31">
        <v>1413</v>
      </c>
    </row>
    <row r="60" spans="1:1">
      <c r="A60" s="31">
        <v>1414</v>
      </c>
    </row>
    <row r="61" spans="1:1">
      <c r="A61" s="31">
        <v>1416</v>
      </c>
    </row>
    <row r="62" spans="1:1">
      <c r="A62" s="31">
        <v>1417</v>
      </c>
    </row>
    <row r="63" spans="1:1">
      <c r="A63" s="31">
        <v>1418</v>
      </c>
    </row>
    <row r="64" spans="1:1">
      <c r="A64" s="31">
        <v>1419</v>
      </c>
    </row>
    <row r="65" spans="1:1">
      <c r="A65" s="31">
        <v>1423</v>
      </c>
    </row>
    <row r="66" spans="1:1">
      <c r="A66" s="31">
        <v>1432</v>
      </c>
    </row>
    <row r="67" spans="1:1">
      <c r="A67" s="31">
        <v>1434</v>
      </c>
    </row>
    <row r="68" spans="1:1">
      <c r="A68" s="31">
        <v>1435</v>
      </c>
    </row>
    <row r="69" spans="1:1">
      <c r="A69" s="31">
        <v>1436</v>
      </c>
    </row>
    <row r="70" spans="1:1">
      <c r="A70" s="31">
        <v>1437</v>
      </c>
    </row>
    <row r="71" spans="1:1">
      <c r="A71" s="31">
        <v>1438</v>
      </c>
    </row>
    <row r="72" spans="1:1">
      <c r="A72" s="31">
        <v>1439</v>
      </c>
    </row>
    <row r="73" spans="1:1">
      <c r="A73" s="31">
        <v>1440</v>
      </c>
    </row>
    <row r="74" spans="1:1">
      <c r="A74" s="31">
        <v>1441</v>
      </c>
    </row>
    <row r="75" spans="1:1">
      <c r="A75" s="31">
        <v>1442</v>
      </c>
    </row>
    <row r="76" spans="1:1">
      <c r="A76" s="31">
        <v>1443</v>
      </c>
    </row>
    <row r="77" spans="1:1">
      <c r="A77" s="31">
        <v>1444</v>
      </c>
    </row>
    <row r="78" spans="1:1">
      <c r="A78" s="31">
        <v>1445</v>
      </c>
    </row>
    <row r="79" spans="1:1">
      <c r="A79" s="31">
        <v>1446</v>
      </c>
    </row>
    <row r="80" spans="1:1">
      <c r="A80" s="31">
        <v>1447</v>
      </c>
    </row>
    <row r="81" spans="1:1">
      <c r="A81" s="31">
        <v>1449</v>
      </c>
    </row>
    <row r="82" spans="1:1">
      <c r="A82" s="31">
        <v>1451</v>
      </c>
    </row>
    <row r="83" spans="1:1">
      <c r="A83" s="31">
        <v>1452</v>
      </c>
    </row>
    <row r="84" spans="1:1">
      <c r="A84" s="31">
        <v>1453</v>
      </c>
    </row>
    <row r="85" spans="1:1">
      <c r="A85" s="31">
        <v>1454</v>
      </c>
    </row>
    <row r="86" spans="1:1">
      <c r="A86" s="31">
        <v>1455</v>
      </c>
    </row>
    <row r="87" spans="1:1">
      <c r="A87" s="31">
        <v>1456</v>
      </c>
    </row>
    <row r="88" spans="1:1">
      <c r="A88" s="31">
        <v>1457</v>
      </c>
    </row>
    <row r="89" spans="1:1">
      <c r="A89" s="31">
        <v>1459</v>
      </c>
    </row>
    <row r="90" spans="1:1">
      <c r="A90" s="31">
        <v>1460</v>
      </c>
    </row>
    <row r="91" spans="1:1">
      <c r="A91" s="31">
        <v>1463</v>
      </c>
    </row>
    <row r="92" spans="1:1">
      <c r="A92" s="31">
        <v>1464</v>
      </c>
    </row>
    <row r="93" spans="1:1">
      <c r="A93" s="31">
        <v>1465</v>
      </c>
    </row>
    <row r="94" spans="1:1">
      <c r="A94" s="31">
        <v>1466</v>
      </c>
    </row>
    <row r="95" spans="1:1">
      <c r="A95" s="31">
        <v>1467</v>
      </c>
    </row>
    <row r="96" spans="1:1">
      <c r="A96" s="31">
        <v>1468</v>
      </c>
    </row>
    <row r="97" spans="1:1">
      <c r="A97" s="31">
        <v>1469</v>
      </c>
    </row>
    <row r="98" spans="1:1">
      <c r="A98" s="31">
        <v>1470</v>
      </c>
    </row>
    <row r="99" spans="1:1">
      <c r="A99" s="31">
        <v>1471</v>
      </c>
    </row>
    <row r="100" spans="1:1">
      <c r="A100" s="31">
        <v>1472</v>
      </c>
    </row>
    <row r="101" spans="1:1">
      <c r="A101" s="31">
        <v>1473</v>
      </c>
    </row>
    <row r="102" spans="1:1">
      <c r="A102" s="31">
        <v>1474</v>
      </c>
    </row>
    <row r="103" spans="1:1">
      <c r="A103" s="31">
        <v>1475</v>
      </c>
    </row>
    <row r="104" spans="1:1">
      <c r="A104" s="31">
        <v>1476</v>
      </c>
    </row>
    <row r="105" spans="1:1">
      <c r="A105" s="31">
        <v>1477</v>
      </c>
    </row>
    <row r="106" spans="1:1">
      <c r="A106" s="31">
        <v>1503</v>
      </c>
    </row>
    <row r="107" spans="1:1">
      <c r="A107" s="31">
        <v>1504</v>
      </c>
    </row>
    <row r="108" spans="1:1">
      <c r="A108" s="31">
        <v>1506</v>
      </c>
    </row>
    <row r="109" spans="1:1">
      <c r="A109" s="31">
        <v>1507</v>
      </c>
    </row>
    <row r="110" spans="1:1">
      <c r="A110" s="31">
        <v>1512</v>
      </c>
    </row>
    <row r="111" spans="1:1">
      <c r="A111" s="31">
        <v>1513</v>
      </c>
    </row>
    <row r="112" spans="1:1">
      <c r="A112" s="31">
        <v>1514</v>
      </c>
    </row>
    <row r="113" spans="1:1">
      <c r="A113" s="31">
        <v>1515</v>
      </c>
    </row>
    <row r="114" spans="1:1">
      <c r="A114" s="31">
        <v>1516</v>
      </c>
    </row>
    <row r="115" spans="1:1">
      <c r="A115" s="31">
        <v>1517</v>
      </c>
    </row>
    <row r="116" spans="1:1">
      <c r="A116" s="31">
        <v>1519</v>
      </c>
    </row>
    <row r="117" spans="1:1">
      <c r="A117" s="31">
        <v>1521</v>
      </c>
    </row>
    <row r="118" spans="1:1">
      <c r="A118" s="31">
        <v>1522</v>
      </c>
    </row>
    <row r="119" spans="1:1">
      <c r="A119" s="31">
        <v>1524</v>
      </c>
    </row>
    <row r="120" spans="1:1">
      <c r="A120" s="31">
        <v>1525</v>
      </c>
    </row>
    <row r="121" spans="1:1">
      <c r="A121" s="31">
        <v>1526</v>
      </c>
    </row>
    <row r="122" spans="1:1">
      <c r="A122" s="31">
        <v>1527</v>
      </c>
    </row>
    <row r="123" spans="1:1">
      <c r="A123" s="31">
        <v>1528</v>
      </c>
    </row>
    <row r="124" spans="1:1">
      <c r="A124" s="31">
        <v>1529</v>
      </c>
    </row>
    <row r="125" spans="1:1">
      <c r="A125" s="31">
        <v>1530</v>
      </c>
    </row>
    <row r="126" spans="1:1">
      <c r="A126" s="31">
        <v>1531</v>
      </c>
    </row>
    <row r="127" spans="1:1">
      <c r="A127" s="31">
        <v>1532</v>
      </c>
    </row>
    <row r="128" spans="1:1">
      <c r="A128" s="31">
        <v>1533</v>
      </c>
    </row>
    <row r="129" spans="1:1">
      <c r="A129" s="31">
        <v>1535</v>
      </c>
    </row>
    <row r="130" spans="1:1">
      <c r="A130" s="31">
        <v>1536</v>
      </c>
    </row>
    <row r="131" spans="1:1">
      <c r="A131" s="31">
        <v>1537</v>
      </c>
    </row>
    <row r="132" spans="1:1">
      <c r="A132" s="31">
        <v>1538</v>
      </c>
    </row>
    <row r="133" spans="1:1">
      <c r="A133" s="31">
        <v>1539</v>
      </c>
    </row>
    <row r="134" spans="1:1">
      <c r="A134" s="31">
        <v>1540</v>
      </c>
    </row>
    <row r="135" spans="1:1">
      <c r="A135" s="31">
        <v>1541</v>
      </c>
    </row>
    <row r="136" spans="1:1">
      <c r="A136" s="31">
        <v>1558</v>
      </c>
    </row>
    <row r="137" spans="1:1">
      <c r="A137" s="31">
        <v>1560</v>
      </c>
    </row>
    <row r="138" spans="1:1">
      <c r="A138" s="31">
        <v>1565</v>
      </c>
    </row>
    <row r="139" spans="1:1">
      <c r="A139" s="31">
        <v>1566</v>
      </c>
    </row>
    <row r="140" spans="1:1">
      <c r="A140" s="31">
        <v>1568</v>
      </c>
    </row>
    <row r="141" spans="1:1">
      <c r="A141" s="31">
        <v>1569</v>
      </c>
    </row>
    <row r="142" spans="1:1">
      <c r="A142" s="31">
        <v>1570</v>
      </c>
    </row>
    <row r="143" spans="1:1">
      <c r="A143" s="31">
        <v>1580</v>
      </c>
    </row>
    <row r="144" spans="1:1">
      <c r="A144" s="31">
        <v>1582</v>
      </c>
    </row>
    <row r="145" spans="1:1">
      <c r="A145" s="31">
        <v>1583</v>
      </c>
    </row>
    <row r="146" spans="1:1">
      <c r="A146" s="31">
        <v>1584</v>
      </c>
    </row>
    <row r="147" spans="1:1">
      <c r="A147" s="31">
        <v>1586</v>
      </c>
    </row>
    <row r="148" spans="1:1">
      <c r="A148" s="31">
        <v>1589</v>
      </c>
    </row>
    <row r="149" spans="1:1">
      <c r="A149" s="31">
        <v>1590</v>
      </c>
    </row>
    <row r="150" spans="1:1">
      <c r="A150" s="31">
        <v>1591</v>
      </c>
    </row>
    <row r="151" spans="1:1">
      <c r="A151" s="31">
        <v>1592</v>
      </c>
    </row>
    <row r="152" spans="1:1">
      <c r="A152" s="31">
        <v>1593</v>
      </c>
    </row>
    <row r="153" spans="1:1">
      <c r="A153" s="31">
        <v>1595</v>
      </c>
    </row>
    <row r="154" spans="1:1">
      <c r="A154" s="31">
        <v>1597</v>
      </c>
    </row>
    <row r="155" spans="1:1">
      <c r="A155" s="31">
        <v>1599</v>
      </c>
    </row>
    <row r="156" spans="1:1">
      <c r="A156" s="31">
        <v>1603</v>
      </c>
    </row>
    <row r="157" spans="1:1">
      <c r="A157" s="31">
        <v>1604</v>
      </c>
    </row>
    <row r="158" spans="1:1">
      <c r="A158" s="31">
        <v>1605</v>
      </c>
    </row>
    <row r="159" spans="1:1">
      <c r="A159" s="31">
        <v>1608</v>
      </c>
    </row>
    <row r="160" spans="1:1">
      <c r="A160" s="31">
        <v>1609</v>
      </c>
    </row>
    <row r="161" spans="1:1">
      <c r="A161" s="31">
        <v>1611</v>
      </c>
    </row>
    <row r="162" spans="1:1">
      <c r="A162" s="31">
        <v>1612</v>
      </c>
    </row>
    <row r="163" spans="1:1">
      <c r="A163" s="31">
        <v>1613</v>
      </c>
    </row>
    <row r="164" spans="1:1">
      <c r="A164" s="31">
        <v>1614</v>
      </c>
    </row>
    <row r="165" spans="1:1">
      <c r="A165" s="31">
        <v>1615</v>
      </c>
    </row>
    <row r="166" spans="1:1">
      <c r="A166" s="31">
        <v>1616</v>
      </c>
    </row>
    <row r="167" spans="1:1">
      <c r="A167" s="31">
        <v>1617</v>
      </c>
    </row>
    <row r="168" spans="1:1">
      <c r="A168" s="31">
        <v>1618</v>
      </c>
    </row>
    <row r="169" spans="1:1">
      <c r="A169" s="31">
        <v>1626</v>
      </c>
    </row>
    <row r="170" spans="1:1">
      <c r="A170" s="31">
        <v>1701</v>
      </c>
    </row>
    <row r="171" spans="1:1">
      <c r="A171" s="31">
        <v>1702</v>
      </c>
    </row>
    <row r="172" spans="1:1">
      <c r="A172" s="31">
        <v>1704</v>
      </c>
    </row>
    <row r="173" spans="1:1">
      <c r="A173" s="31">
        <v>1707</v>
      </c>
    </row>
    <row r="174" spans="1:1">
      <c r="A174" s="31">
        <v>1708</v>
      </c>
    </row>
    <row r="175" spans="1:1">
      <c r="A175" s="31">
        <v>1709</v>
      </c>
    </row>
    <row r="176" spans="1:1">
      <c r="A176" s="31">
        <v>1710</v>
      </c>
    </row>
    <row r="177" spans="1:1">
      <c r="A177" s="31">
        <v>1711</v>
      </c>
    </row>
    <row r="178" spans="1:1">
      <c r="A178" s="31">
        <v>1712</v>
      </c>
    </row>
    <row r="179" spans="1:1">
      <c r="A179" s="31">
        <v>1713</v>
      </c>
    </row>
    <row r="180" spans="1:1">
      <c r="A180" s="31">
        <v>1714</v>
      </c>
    </row>
    <row r="181" spans="1:1">
      <c r="A181" s="31">
        <v>1715</v>
      </c>
    </row>
    <row r="182" spans="1:1">
      <c r="A182" s="31">
        <v>1717</v>
      </c>
    </row>
    <row r="183" spans="1:1">
      <c r="A183" s="31">
        <v>1718</v>
      </c>
    </row>
    <row r="184" spans="1:1">
      <c r="A184" s="31">
        <v>1720</v>
      </c>
    </row>
    <row r="185" spans="1:1">
      <c r="A185" s="31">
        <v>1721</v>
      </c>
    </row>
    <row r="186" spans="1:1">
      <c r="A186" s="31">
        <v>1722</v>
      </c>
    </row>
    <row r="187" spans="1:1">
      <c r="A187" s="31">
        <v>1723</v>
      </c>
    </row>
    <row r="188" spans="1:1">
      <c r="A188" s="31">
        <v>1724</v>
      </c>
    </row>
    <row r="189" spans="1:1">
      <c r="A189" s="31">
        <v>1725</v>
      </c>
    </row>
    <row r="190" spans="1:1">
      <c r="A190" s="31">
        <v>1726</v>
      </c>
    </row>
    <row r="191" spans="1:1">
      <c r="A191" s="31">
        <v>1727</v>
      </c>
    </row>
    <row r="192" spans="1:1">
      <c r="A192" s="31">
        <v>1729</v>
      </c>
    </row>
    <row r="193" spans="1:1">
      <c r="A193" s="31">
        <v>1730</v>
      </c>
    </row>
    <row r="194" spans="1:1">
      <c r="A194" s="31">
        <v>1731</v>
      </c>
    </row>
    <row r="195" spans="1:1">
      <c r="A195" s="31">
        <v>1732</v>
      </c>
    </row>
    <row r="196" spans="1:1">
      <c r="A196" s="31">
        <v>1733</v>
      </c>
    </row>
    <row r="197" spans="1:1">
      <c r="A197" s="31">
        <v>1734</v>
      </c>
    </row>
    <row r="198" spans="1:1">
      <c r="A198" s="31">
        <v>1735</v>
      </c>
    </row>
    <row r="199" spans="1:1">
      <c r="A199" s="31">
        <v>1736</v>
      </c>
    </row>
    <row r="200" spans="1:1">
      <c r="A200" s="31">
        <v>1737</v>
      </c>
    </row>
    <row r="201" spans="1:1">
      <c r="A201" s="31">
        <v>1742</v>
      </c>
    </row>
    <row r="202" spans="1:1">
      <c r="A202" s="31">
        <v>1752</v>
      </c>
    </row>
    <row r="203" spans="1:1">
      <c r="A203" s="31">
        <v>1762</v>
      </c>
    </row>
    <row r="204" spans="1:1">
      <c r="A204" s="31">
        <v>1773</v>
      </c>
    </row>
    <row r="205" spans="1:1">
      <c r="A205" s="31">
        <v>1777</v>
      </c>
    </row>
    <row r="206" spans="1:1">
      <c r="A206" s="31">
        <v>1781</v>
      </c>
    </row>
    <row r="207" spans="1:1">
      <c r="A207" s="31">
        <v>1783</v>
      </c>
    </row>
    <row r="208" spans="1:1">
      <c r="A208" s="31">
        <v>1784</v>
      </c>
    </row>
    <row r="209" spans="1:1">
      <c r="A209" s="31">
        <v>1785</v>
      </c>
    </row>
    <row r="210" spans="1:1">
      <c r="A210" s="31">
        <v>1786</v>
      </c>
    </row>
    <row r="211" spans="1:1">
      <c r="A211" s="31">
        <v>1787</v>
      </c>
    </row>
    <row r="212" spans="1:1">
      <c r="A212" s="31">
        <v>1788</v>
      </c>
    </row>
    <row r="213" spans="1:1">
      <c r="A213" s="31">
        <v>1789</v>
      </c>
    </row>
    <row r="214" spans="1:1">
      <c r="A214" s="31">
        <v>1795</v>
      </c>
    </row>
    <row r="215" spans="1:1">
      <c r="A215" s="31">
        <v>1799</v>
      </c>
    </row>
    <row r="216" spans="1:1">
      <c r="A216" s="31">
        <v>1802</v>
      </c>
    </row>
    <row r="217" spans="1:1">
      <c r="A217" s="31">
        <v>1805</v>
      </c>
    </row>
    <row r="218" spans="1:1">
      <c r="A218" s="31">
        <v>1806</v>
      </c>
    </row>
    <row r="219" spans="1:1">
      <c r="A219" s="31">
        <v>1808</v>
      </c>
    </row>
    <row r="220" spans="1:1">
      <c r="A220" s="31">
        <v>1809</v>
      </c>
    </row>
    <row r="221" spans="1:1">
      <c r="A221" s="31">
        <v>1810</v>
      </c>
    </row>
    <row r="222" spans="1:1">
      <c r="A222" s="31">
        <v>1813</v>
      </c>
    </row>
    <row r="223" spans="1:1">
      <c r="A223" s="31">
        <v>1815</v>
      </c>
    </row>
    <row r="224" spans="1:1">
      <c r="A224" s="31">
        <v>1902</v>
      </c>
    </row>
    <row r="225" spans="1:1">
      <c r="A225" s="31">
        <v>1903</v>
      </c>
    </row>
    <row r="226" spans="1:1">
      <c r="A226" s="31">
        <v>1904</v>
      </c>
    </row>
    <row r="227" spans="1:1">
      <c r="A227" s="31">
        <v>1905</v>
      </c>
    </row>
    <row r="228" spans="1:1">
      <c r="A228" s="31">
        <v>1906</v>
      </c>
    </row>
    <row r="229" spans="1:1">
      <c r="A229" s="31">
        <v>1907</v>
      </c>
    </row>
    <row r="230" spans="1:1">
      <c r="A230" s="31">
        <v>1909</v>
      </c>
    </row>
    <row r="231" spans="1:1">
      <c r="A231" s="31">
        <v>2002</v>
      </c>
    </row>
    <row r="232" spans="1:1">
      <c r="A232" s="31">
        <v>2006</v>
      </c>
    </row>
    <row r="233" spans="1:1">
      <c r="A233" s="31">
        <v>2007</v>
      </c>
    </row>
    <row r="234" spans="1:1">
      <c r="A234" s="31">
        <v>2008</v>
      </c>
    </row>
    <row r="235" spans="1:1">
      <c r="A235" s="31">
        <v>2009</v>
      </c>
    </row>
    <row r="236" spans="1:1">
      <c r="A236" s="31">
        <v>2010</v>
      </c>
    </row>
    <row r="237" spans="1:1">
      <c r="A237" s="31">
        <v>2012</v>
      </c>
    </row>
    <row r="238" spans="1:1">
      <c r="A238" s="31">
        <v>2013</v>
      </c>
    </row>
    <row r="239" spans="1:1">
      <c r="A239" s="31">
        <v>2014</v>
      </c>
    </row>
    <row r="240" spans="1:1">
      <c r="A240" s="31">
        <v>2015</v>
      </c>
    </row>
    <row r="241" spans="1:1">
      <c r="A241" s="31">
        <v>2017</v>
      </c>
    </row>
    <row r="242" spans="1:1">
      <c r="A242" s="31">
        <v>2020</v>
      </c>
    </row>
    <row r="243" spans="1:1">
      <c r="A243" s="31">
        <v>2022</v>
      </c>
    </row>
    <row r="244" spans="1:1">
      <c r="A244" s="31">
        <v>2023</v>
      </c>
    </row>
    <row r="245" spans="1:1">
      <c r="A245" s="31">
        <v>2024</v>
      </c>
    </row>
    <row r="246" spans="1:1">
      <c r="A246" s="31">
        <v>2025</v>
      </c>
    </row>
    <row r="247" spans="1:1">
      <c r="A247" s="31">
        <v>2027</v>
      </c>
    </row>
    <row r="248" spans="1:1">
      <c r="A248" s="31">
        <v>2028</v>
      </c>
    </row>
    <row r="249" spans="1:1">
      <c r="A249" s="31">
        <v>2029</v>
      </c>
    </row>
    <row r="250" spans="1:1">
      <c r="A250" s="31">
        <v>2030</v>
      </c>
    </row>
    <row r="251" spans="1:1">
      <c r="A251" s="31">
        <v>2031</v>
      </c>
    </row>
    <row r="252" spans="1:1">
      <c r="A252" s="31">
        <v>2032</v>
      </c>
    </row>
    <row r="253" spans="1:1">
      <c r="A253" s="31">
        <v>2033</v>
      </c>
    </row>
    <row r="254" spans="1:1">
      <c r="A254" s="31">
        <v>2034</v>
      </c>
    </row>
    <row r="255" spans="1:1">
      <c r="A255" s="31">
        <v>2035</v>
      </c>
    </row>
    <row r="256" spans="1:1">
      <c r="A256" s="31">
        <v>2038</v>
      </c>
    </row>
    <row r="257" spans="1:1">
      <c r="A257" s="31">
        <v>2049</v>
      </c>
    </row>
    <row r="258" spans="1:1">
      <c r="A258" s="31">
        <v>2059</v>
      </c>
    </row>
    <row r="259" spans="1:1">
      <c r="A259" s="31">
        <v>2061</v>
      </c>
    </row>
    <row r="260" spans="1:1">
      <c r="A260" s="31">
        <v>2062</v>
      </c>
    </row>
    <row r="261" spans="1:1">
      <c r="A261" s="31">
        <v>2063</v>
      </c>
    </row>
    <row r="262" spans="1:1">
      <c r="A262" s="31">
        <v>2064</v>
      </c>
    </row>
    <row r="263" spans="1:1">
      <c r="A263" s="31">
        <v>2066</v>
      </c>
    </row>
    <row r="264" spans="1:1">
      <c r="A264" s="31">
        <v>2067</v>
      </c>
    </row>
    <row r="265" spans="1:1">
      <c r="A265" s="31">
        <v>2101</v>
      </c>
    </row>
    <row r="266" spans="1:1">
      <c r="A266" s="31">
        <v>2102</v>
      </c>
    </row>
    <row r="267" spans="1:1">
      <c r="A267" s="31">
        <v>2103</v>
      </c>
    </row>
    <row r="268" spans="1:1">
      <c r="A268" s="31">
        <v>2104</v>
      </c>
    </row>
    <row r="269" spans="1:1">
      <c r="A269" s="31">
        <v>2105</v>
      </c>
    </row>
    <row r="270" spans="1:1">
      <c r="A270" s="31">
        <v>2106</v>
      </c>
    </row>
    <row r="271" spans="1:1">
      <c r="A271" s="31">
        <v>2107</v>
      </c>
    </row>
    <row r="272" spans="1:1">
      <c r="A272" s="31">
        <v>2108</v>
      </c>
    </row>
    <row r="273" spans="1:1">
      <c r="A273" s="31">
        <v>2109</v>
      </c>
    </row>
    <row r="274" spans="1:1">
      <c r="A274" s="31">
        <v>2114</v>
      </c>
    </row>
    <row r="275" spans="1:1">
      <c r="A275" s="31">
        <v>2115</v>
      </c>
    </row>
    <row r="276" spans="1:1">
      <c r="A276" s="31">
        <v>2201</v>
      </c>
    </row>
    <row r="277" spans="1:1">
      <c r="A277" s="31">
        <v>2204</v>
      </c>
    </row>
    <row r="278" spans="1:1">
      <c r="A278" s="31">
        <v>2206</v>
      </c>
    </row>
    <row r="279" spans="1:1">
      <c r="A279" s="31">
        <v>2207</v>
      </c>
    </row>
    <row r="280" spans="1:1">
      <c r="A280" s="31">
        <v>2208</v>
      </c>
    </row>
    <row r="281" spans="1:1">
      <c r="A281" s="31">
        <v>2221</v>
      </c>
    </row>
    <row r="282" spans="1:1">
      <c r="A282" s="31">
        <v>2227</v>
      </c>
    </row>
    <row r="283" spans="1:1">
      <c r="A283" s="31">
        <v>2228</v>
      </c>
    </row>
    <row r="284" spans="1:1">
      <c r="A284" s="31">
        <v>2230</v>
      </c>
    </row>
    <row r="285" spans="1:1">
      <c r="A285" s="31">
        <v>2231</v>
      </c>
    </row>
    <row r="286" spans="1:1">
      <c r="A286" s="31">
        <v>2233</v>
      </c>
    </row>
    <row r="287" spans="1:1">
      <c r="A287" s="31">
        <v>2235</v>
      </c>
    </row>
    <row r="288" spans="1:1">
      <c r="A288" s="31">
        <v>2301</v>
      </c>
    </row>
    <row r="289" spans="1:1">
      <c r="A289" s="31">
        <v>2302</v>
      </c>
    </row>
    <row r="290" spans="1:1">
      <c r="A290" s="31">
        <v>2303</v>
      </c>
    </row>
    <row r="291" spans="1:1">
      <c r="A291" s="31">
        <v>2305</v>
      </c>
    </row>
    <row r="292" spans="1:1">
      <c r="A292" s="31">
        <v>2308</v>
      </c>
    </row>
    <row r="293" spans="1:1">
      <c r="A293" s="31">
        <v>2311</v>
      </c>
    </row>
    <row r="294" spans="1:1">
      <c r="A294" s="31">
        <v>2312</v>
      </c>
    </row>
    <row r="295" spans="1:1">
      <c r="A295" s="31">
        <v>2313</v>
      </c>
    </row>
    <row r="296" spans="1:1">
      <c r="A296" s="31">
        <v>2314</v>
      </c>
    </row>
    <row r="297" spans="1:1">
      <c r="A297" s="31">
        <v>2316</v>
      </c>
    </row>
    <row r="298" spans="1:1">
      <c r="A298" s="31">
        <v>2317</v>
      </c>
    </row>
    <row r="299" spans="1:1">
      <c r="A299" s="31">
        <v>2321</v>
      </c>
    </row>
    <row r="300" spans="1:1">
      <c r="A300" s="31">
        <v>2323</v>
      </c>
    </row>
    <row r="301" spans="1:1">
      <c r="A301" s="31">
        <v>2324</v>
      </c>
    </row>
    <row r="302" spans="1:1">
      <c r="A302" s="31">
        <v>2325</v>
      </c>
    </row>
    <row r="303" spans="1:1">
      <c r="A303" s="31">
        <v>2327</v>
      </c>
    </row>
    <row r="304" spans="1:1">
      <c r="A304" s="31">
        <v>2328</v>
      </c>
    </row>
    <row r="305" spans="1:1">
      <c r="A305" s="31">
        <v>2329</v>
      </c>
    </row>
    <row r="306" spans="1:1">
      <c r="A306" s="31">
        <v>2330</v>
      </c>
    </row>
    <row r="307" spans="1:1">
      <c r="A307" s="31">
        <v>2331</v>
      </c>
    </row>
    <row r="308" spans="1:1">
      <c r="A308" s="31">
        <v>2332</v>
      </c>
    </row>
    <row r="309" spans="1:1">
      <c r="A309" s="31">
        <v>2337</v>
      </c>
    </row>
    <row r="310" spans="1:1">
      <c r="A310" s="31">
        <v>2338</v>
      </c>
    </row>
    <row r="311" spans="1:1">
      <c r="A311" s="31">
        <v>2340</v>
      </c>
    </row>
    <row r="312" spans="1:1">
      <c r="A312" s="31">
        <v>2342</v>
      </c>
    </row>
    <row r="313" spans="1:1">
      <c r="A313" s="31">
        <v>2344</v>
      </c>
    </row>
    <row r="314" spans="1:1">
      <c r="A314" s="31">
        <v>2345</v>
      </c>
    </row>
    <row r="315" spans="1:1">
      <c r="A315" s="31">
        <v>2347</v>
      </c>
    </row>
    <row r="316" spans="1:1">
      <c r="A316" s="31">
        <v>2348</v>
      </c>
    </row>
    <row r="317" spans="1:1">
      <c r="A317" s="31">
        <v>2349</v>
      </c>
    </row>
    <row r="318" spans="1:1">
      <c r="A318" s="31">
        <v>2351</v>
      </c>
    </row>
    <row r="319" spans="1:1">
      <c r="A319" s="31">
        <v>2352</v>
      </c>
    </row>
    <row r="320" spans="1:1">
      <c r="A320" s="31">
        <v>2353</v>
      </c>
    </row>
    <row r="321" spans="1:1">
      <c r="A321" s="31">
        <v>2354</v>
      </c>
    </row>
    <row r="322" spans="1:1">
      <c r="A322" s="31">
        <v>2355</v>
      </c>
    </row>
    <row r="323" spans="1:1">
      <c r="A323" s="31">
        <v>2356</v>
      </c>
    </row>
    <row r="324" spans="1:1">
      <c r="A324" s="31">
        <v>2357</v>
      </c>
    </row>
    <row r="325" spans="1:1">
      <c r="A325" s="31">
        <v>2358</v>
      </c>
    </row>
    <row r="326" spans="1:1">
      <c r="A326" s="31">
        <v>2359</v>
      </c>
    </row>
    <row r="327" spans="1:1">
      <c r="A327" s="31">
        <v>2360</v>
      </c>
    </row>
    <row r="328" spans="1:1">
      <c r="A328" s="31">
        <v>2361</v>
      </c>
    </row>
    <row r="329" spans="1:1">
      <c r="A329" s="31">
        <v>2362</v>
      </c>
    </row>
    <row r="330" spans="1:1">
      <c r="A330" s="31">
        <v>2363</v>
      </c>
    </row>
    <row r="331" spans="1:1">
      <c r="A331" s="31">
        <v>2364</v>
      </c>
    </row>
    <row r="332" spans="1:1">
      <c r="A332" s="31">
        <v>2365</v>
      </c>
    </row>
    <row r="333" spans="1:1">
      <c r="A333" s="31">
        <v>2367</v>
      </c>
    </row>
    <row r="334" spans="1:1">
      <c r="A334" s="31">
        <v>2368</v>
      </c>
    </row>
    <row r="335" spans="1:1">
      <c r="A335" s="31">
        <v>2369</v>
      </c>
    </row>
    <row r="336" spans="1:1">
      <c r="A336" s="31">
        <v>2371</v>
      </c>
    </row>
    <row r="337" spans="1:1">
      <c r="A337" s="31">
        <v>2373</v>
      </c>
    </row>
    <row r="338" spans="1:1">
      <c r="A338" s="31">
        <v>2374</v>
      </c>
    </row>
    <row r="339" spans="1:1">
      <c r="A339" s="31">
        <v>2375</v>
      </c>
    </row>
    <row r="340" spans="1:1">
      <c r="A340" s="31">
        <v>2376</v>
      </c>
    </row>
    <row r="341" spans="1:1">
      <c r="A341" s="31">
        <v>2377</v>
      </c>
    </row>
    <row r="342" spans="1:1">
      <c r="A342" s="31">
        <v>2379</v>
      </c>
    </row>
    <row r="343" spans="1:1">
      <c r="A343" s="31">
        <v>2380</v>
      </c>
    </row>
    <row r="344" spans="1:1">
      <c r="A344" s="31">
        <v>2382</v>
      </c>
    </row>
    <row r="345" spans="1:1">
      <c r="A345" s="31">
        <v>2383</v>
      </c>
    </row>
    <row r="346" spans="1:1">
      <c r="A346" s="31">
        <v>2385</v>
      </c>
    </row>
    <row r="347" spans="1:1">
      <c r="A347" s="31">
        <v>2387</v>
      </c>
    </row>
    <row r="348" spans="1:1">
      <c r="A348" s="31">
        <v>2388</v>
      </c>
    </row>
    <row r="349" spans="1:1">
      <c r="A349" s="31">
        <v>2390</v>
      </c>
    </row>
    <row r="350" spans="1:1">
      <c r="A350" s="31">
        <v>2392</v>
      </c>
    </row>
    <row r="351" spans="1:1">
      <c r="A351" s="31">
        <v>2393</v>
      </c>
    </row>
    <row r="352" spans="1:1">
      <c r="A352" s="31">
        <v>2395</v>
      </c>
    </row>
    <row r="353" spans="1:1">
      <c r="A353" s="31">
        <v>2397</v>
      </c>
    </row>
    <row r="354" spans="1:1">
      <c r="A354" s="31">
        <v>2399</v>
      </c>
    </row>
    <row r="355" spans="1:1">
      <c r="A355" s="31">
        <v>2401</v>
      </c>
    </row>
    <row r="356" spans="1:1">
      <c r="A356" s="31">
        <v>2402</v>
      </c>
    </row>
    <row r="357" spans="1:1">
      <c r="A357" s="31">
        <v>2404</v>
      </c>
    </row>
    <row r="358" spans="1:1">
      <c r="A358" s="31">
        <v>2405</v>
      </c>
    </row>
    <row r="359" spans="1:1">
      <c r="A359" s="31">
        <v>2406</v>
      </c>
    </row>
    <row r="360" spans="1:1">
      <c r="A360" s="31">
        <v>2408</v>
      </c>
    </row>
    <row r="361" spans="1:1">
      <c r="A361" s="31">
        <v>2409</v>
      </c>
    </row>
    <row r="362" spans="1:1">
      <c r="A362" s="31">
        <v>2412</v>
      </c>
    </row>
    <row r="363" spans="1:1">
      <c r="A363" s="31">
        <v>2413</v>
      </c>
    </row>
    <row r="364" spans="1:1">
      <c r="A364" s="31">
        <v>2414</v>
      </c>
    </row>
    <row r="365" spans="1:1">
      <c r="A365" s="31">
        <v>2415</v>
      </c>
    </row>
    <row r="366" spans="1:1">
      <c r="A366" s="31">
        <v>2417</v>
      </c>
    </row>
    <row r="367" spans="1:1">
      <c r="A367" s="31">
        <v>2419</v>
      </c>
    </row>
    <row r="368" spans="1:1">
      <c r="A368" s="31">
        <v>2420</v>
      </c>
    </row>
    <row r="369" spans="1:1">
      <c r="A369" s="31">
        <v>2421</v>
      </c>
    </row>
    <row r="370" spans="1:1">
      <c r="A370" s="31">
        <v>2423</v>
      </c>
    </row>
    <row r="371" spans="1:1">
      <c r="A371" s="31">
        <v>2424</v>
      </c>
    </row>
    <row r="372" spans="1:1">
      <c r="A372" s="31">
        <v>2425</v>
      </c>
    </row>
    <row r="373" spans="1:1">
      <c r="A373" s="31">
        <v>2426</v>
      </c>
    </row>
    <row r="374" spans="1:1">
      <c r="A374" s="31">
        <v>2427</v>
      </c>
    </row>
    <row r="375" spans="1:1">
      <c r="A375" s="31">
        <v>2428</v>
      </c>
    </row>
    <row r="376" spans="1:1">
      <c r="A376" s="31">
        <v>2429</v>
      </c>
    </row>
    <row r="377" spans="1:1">
      <c r="A377" s="31">
        <v>2430</v>
      </c>
    </row>
    <row r="378" spans="1:1">
      <c r="A378" s="31">
        <v>2431</v>
      </c>
    </row>
    <row r="379" spans="1:1">
      <c r="A379" s="31">
        <v>2433</v>
      </c>
    </row>
    <row r="380" spans="1:1">
      <c r="A380" s="31">
        <v>2434</v>
      </c>
    </row>
    <row r="381" spans="1:1">
      <c r="A381" s="31">
        <v>2436</v>
      </c>
    </row>
    <row r="382" spans="1:1">
      <c r="A382" s="31">
        <v>2437</v>
      </c>
    </row>
    <row r="383" spans="1:1">
      <c r="A383" s="31">
        <v>2438</v>
      </c>
    </row>
    <row r="384" spans="1:1">
      <c r="A384" s="31">
        <v>2439</v>
      </c>
    </row>
    <row r="385" spans="1:1">
      <c r="A385" s="31">
        <v>2440</v>
      </c>
    </row>
    <row r="386" spans="1:1">
      <c r="A386" s="31">
        <v>2441</v>
      </c>
    </row>
    <row r="387" spans="1:1">
      <c r="A387" s="31">
        <v>2442</v>
      </c>
    </row>
    <row r="388" spans="1:1">
      <c r="A388" s="31">
        <v>2443</v>
      </c>
    </row>
    <row r="389" spans="1:1">
      <c r="A389" s="31">
        <v>2444</v>
      </c>
    </row>
    <row r="390" spans="1:1">
      <c r="A390" s="31">
        <v>2448</v>
      </c>
    </row>
    <row r="391" spans="1:1">
      <c r="A391" s="31">
        <v>2449</v>
      </c>
    </row>
    <row r="392" spans="1:1">
      <c r="A392" s="31">
        <v>2450</v>
      </c>
    </row>
    <row r="393" spans="1:1">
      <c r="A393" s="31">
        <v>2451</v>
      </c>
    </row>
    <row r="394" spans="1:1">
      <c r="A394" s="31">
        <v>2453</v>
      </c>
    </row>
    <row r="395" spans="1:1">
      <c r="A395" s="31">
        <v>2454</v>
      </c>
    </row>
    <row r="396" spans="1:1">
      <c r="A396" s="31">
        <v>2455</v>
      </c>
    </row>
    <row r="397" spans="1:1">
      <c r="A397" s="31">
        <v>2456</v>
      </c>
    </row>
    <row r="398" spans="1:1">
      <c r="A398" s="31">
        <v>2457</v>
      </c>
    </row>
    <row r="399" spans="1:1">
      <c r="A399" s="31">
        <v>2458</v>
      </c>
    </row>
    <row r="400" spans="1:1">
      <c r="A400" s="31">
        <v>2459</v>
      </c>
    </row>
    <row r="401" spans="1:1">
      <c r="A401" s="31">
        <v>2460</v>
      </c>
    </row>
    <row r="402" spans="1:1">
      <c r="A402" s="31">
        <v>2461</v>
      </c>
    </row>
    <row r="403" spans="1:1">
      <c r="A403" s="31">
        <v>2462</v>
      </c>
    </row>
    <row r="404" spans="1:1">
      <c r="A404" s="31">
        <v>2464</v>
      </c>
    </row>
    <row r="405" spans="1:1">
      <c r="A405" s="31">
        <v>2465</v>
      </c>
    </row>
    <row r="406" spans="1:1">
      <c r="A406" s="31">
        <v>2466</v>
      </c>
    </row>
    <row r="407" spans="1:1">
      <c r="A407" s="31">
        <v>2467</v>
      </c>
    </row>
    <row r="408" spans="1:1">
      <c r="A408" s="31">
        <v>2468</v>
      </c>
    </row>
    <row r="409" spans="1:1">
      <c r="A409" s="31">
        <v>2471</v>
      </c>
    </row>
    <row r="410" spans="1:1">
      <c r="A410" s="31">
        <v>2472</v>
      </c>
    </row>
    <row r="411" spans="1:1">
      <c r="A411" s="31">
        <v>2474</v>
      </c>
    </row>
    <row r="412" spans="1:1">
      <c r="A412" s="31">
        <v>2475</v>
      </c>
    </row>
    <row r="413" spans="1:1">
      <c r="A413" s="31">
        <v>2476</v>
      </c>
    </row>
    <row r="414" spans="1:1">
      <c r="A414" s="31">
        <v>2477</v>
      </c>
    </row>
    <row r="415" spans="1:1">
      <c r="A415" s="31">
        <v>2478</v>
      </c>
    </row>
    <row r="416" spans="1:1">
      <c r="A416" s="31">
        <v>2480</v>
      </c>
    </row>
    <row r="417" spans="1:1">
      <c r="A417" s="31">
        <v>2481</v>
      </c>
    </row>
    <row r="418" spans="1:1">
      <c r="A418" s="31">
        <v>2482</v>
      </c>
    </row>
    <row r="419" spans="1:1">
      <c r="A419" s="31">
        <v>2483</v>
      </c>
    </row>
    <row r="420" spans="1:1">
      <c r="A420" s="31">
        <v>2484</v>
      </c>
    </row>
    <row r="421" spans="1:1">
      <c r="A421" s="31">
        <v>2485</v>
      </c>
    </row>
    <row r="422" spans="1:1">
      <c r="A422" s="31">
        <v>2486</v>
      </c>
    </row>
    <row r="423" spans="1:1">
      <c r="A423" s="31">
        <v>2488</v>
      </c>
    </row>
    <row r="424" spans="1:1">
      <c r="A424" s="31">
        <v>2489</v>
      </c>
    </row>
    <row r="425" spans="1:1">
      <c r="A425" s="31">
        <v>2491</v>
      </c>
    </row>
    <row r="426" spans="1:1">
      <c r="A426" s="31">
        <v>2492</v>
      </c>
    </row>
    <row r="427" spans="1:1">
      <c r="A427" s="31">
        <v>2493</v>
      </c>
    </row>
    <row r="428" spans="1:1">
      <c r="A428" s="31">
        <v>2495</v>
      </c>
    </row>
    <row r="429" spans="1:1">
      <c r="A429" s="31">
        <v>2496</v>
      </c>
    </row>
    <row r="430" spans="1:1">
      <c r="A430" s="31">
        <v>2497</v>
      </c>
    </row>
    <row r="431" spans="1:1">
      <c r="A431" s="31">
        <v>2498</v>
      </c>
    </row>
    <row r="432" spans="1:1">
      <c r="A432" s="31">
        <v>2499</v>
      </c>
    </row>
    <row r="433" spans="1:1">
      <c r="A433" s="31">
        <v>2501</v>
      </c>
    </row>
    <row r="434" spans="1:1">
      <c r="A434" s="31">
        <v>2504</v>
      </c>
    </row>
    <row r="435" spans="1:1">
      <c r="A435" s="31">
        <v>2505</v>
      </c>
    </row>
    <row r="436" spans="1:1">
      <c r="A436" s="31">
        <v>2506</v>
      </c>
    </row>
    <row r="437" spans="1:1">
      <c r="A437" s="31">
        <v>2509</v>
      </c>
    </row>
    <row r="438" spans="1:1">
      <c r="A438" s="31">
        <v>2511</v>
      </c>
    </row>
    <row r="439" spans="1:1">
      <c r="A439" s="31">
        <v>2514</v>
      </c>
    </row>
    <row r="440" spans="1:1">
      <c r="A440" s="31">
        <v>2515</v>
      </c>
    </row>
    <row r="441" spans="1:1">
      <c r="A441" s="31">
        <v>2516</v>
      </c>
    </row>
    <row r="442" spans="1:1">
      <c r="A442" s="31">
        <v>2520</v>
      </c>
    </row>
    <row r="443" spans="1:1">
      <c r="A443" s="31">
        <v>2524</v>
      </c>
    </row>
    <row r="444" spans="1:1">
      <c r="A444" s="31">
        <v>2527</v>
      </c>
    </row>
    <row r="445" spans="1:1">
      <c r="A445" s="31">
        <v>2528</v>
      </c>
    </row>
    <row r="446" spans="1:1">
      <c r="A446" s="31">
        <v>2530</v>
      </c>
    </row>
    <row r="447" spans="1:1">
      <c r="A447" s="31">
        <v>2534</v>
      </c>
    </row>
    <row r="448" spans="1:1">
      <c r="A448" s="31">
        <v>2535</v>
      </c>
    </row>
    <row r="449" spans="1:1">
      <c r="A449" s="31">
        <v>2536</v>
      </c>
    </row>
    <row r="450" spans="1:1">
      <c r="A450" s="31">
        <v>2537</v>
      </c>
    </row>
    <row r="451" spans="1:1">
      <c r="A451" s="31">
        <v>2538</v>
      </c>
    </row>
    <row r="452" spans="1:1">
      <c r="A452" s="31">
        <v>2539</v>
      </c>
    </row>
    <row r="453" spans="1:1">
      <c r="A453" s="31">
        <v>2540</v>
      </c>
    </row>
    <row r="454" spans="1:1">
      <c r="A454" s="31">
        <v>2542</v>
      </c>
    </row>
    <row r="455" spans="1:1">
      <c r="A455" s="31">
        <v>2543</v>
      </c>
    </row>
    <row r="456" spans="1:1">
      <c r="A456" s="31">
        <v>2545</v>
      </c>
    </row>
    <row r="457" spans="1:1">
      <c r="A457" s="31">
        <v>2546</v>
      </c>
    </row>
    <row r="458" spans="1:1">
      <c r="A458" s="31">
        <v>2547</v>
      </c>
    </row>
    <row r="459" spans="1:1">
      <c r="A459" s="31">
        <v>2548</v>
      </c>
    </row>
    <row r="460" spans="1:1">
      <c r="A460" s="31">
        <v>2596</v>
      </c>
    </row>
    <row r="461" spans="1:1">
      <c r="A461" s="31">
        <v>2597</v>
      </c>
    </row>
    <row r="462" spans="1:1">
      <c r="A462" s="31">
        <v>2601</v>
      </c>
    </row>
    <row r="463" spans="1:1">
      <c r="A463" s="31">
        <v>2603</v>
      </c>
    </row>
    <row r="464" spans="1:1">
      <c r="A464" s="31">
        <v>2605</v>
      </c>
    </row>
    <row r="465" spans="1:1">
      <c r="A465" s="31">
        <v>2606</v>
      </c>
    </row>
    <row r="466" spans="1:1">
      <c r="A466" s="31">
        <v>2607</v>
      </c>
    </row>
    <row r="467" spans="1:1">
      <c r="A467" s="31">
        <v>2608</v>
      </c>
    </row>
    <row r="468" spans="1:1">
      <c r="A468" s="31">
        <v>2609</v>
      </c>
    </row>
    <row r="469" spans="1:1">
      <c r="A469" s="31">
        <v>2610</v>
      </c>
    </row>
    <row r="470" spans="1:1">
      <c r="A470" s="31">
        <v>2611</v>
      </c>
    </row>
    <row r="471" spans="1:1">
      <c r="A471" s="31">
        <v>2612</v>
      </c>
    </row>
    <row r="472" spans="1:1">
      <c r="A472" s="31">
        <v>2613</v>
      </c>
    </row>
    <row r="473" spans="1:1">
      <c r="A473" s="31">
        <v>2614</v>
      </c>
    </row>
    <row r="474" spans="1:1">
      <c r="A474" s="31">
        <v>2615</v>
      </c>
    </row>
    <row r="475" spans="1:1">
      <c r="A475" s="31">
        <v>2616</v>
      </c>
    </row>
    <row r="476" spans="1:1">
      <c r="A476" s="31">
        <v>2617</v>
      </c>
    </row>
    <row r="477" spans="1:1">
      <c r="A477" s="31">
        <v>2618</v>
      </c>
    </row>
    <row r="478" spans="1:1">
      <c r="A478" s="31">
        <v>2634</v>
      </c>
    </row>
    <row r="479" spans="1:1">
      <c r="A479" s="31">
        <v>2636</v>
      </c>
    </row>
    <row r="480" spans="1:1">
      <c r="A480" s="31">
        <v>2637</v>
      </c>
    </row>
    <row r="481" spans="1:1">
      <c r="A481" s="31">
        <v>2640</v>
      </c>
    </row>
    <row r="482" spans="1:1">
      <c r="A482" s="31">
        <v>2641</v>
      </c>
    </row>
    <row r="483" spans="1:1">
      <c r="A483" s="31">
        <v>2642</v>
      </c>
    </row>
    <row r="484" spans="1:1">
      <c r="A484" s="31">
        <v>2701</v>
      </c>
    </row>
    <row r="485" spans="1:1">
      <c r="A485" s="31">
        <v>2702</v>
      </c>
    </row>
    <row r="486" spans="1:1">
      <c r="A486" s="31">
        <v>2704</v>
      </c>
    </row>
    <row r="487" spans="1:1">
      <c r="A487" s="31">
        <v>2705</v>
      </c>
    </row>
    <row r="488" spans="1:1">
      <c r="A488" s="31">
        <v>2706</v>
      </c>
    </row>
    <row r="489" spans="1:1">
      <c r="A489" s="31">
        <v>2707</v>
      </c>
    </row>
    <row r="490" spans="1:1">
      <c r="A490" s="31">
        <v>2712</v>
      </c>
    </row>
    <row r="491" spans="1:1">
      <c r="A491" s="31">
        <v>2718</v>
      </c>
    </row>
    <row r="492" spans="1:1">
      <c r="A492" s="31">
        <v>2719</v>
      </c>
    </row>
    <row r="493" spans="1:1">
      <c r="A493" s="31">
        <v>2722</v>
      </c>
    </row>
    <row r="494" spans="1:1">
      <c r="A494" s="31">
        <v>2723</v>
      </c>
    </row>
    <row r="495" spans="1:1">
      <c r="A495" s="31">
        <v>2724</v>
      </c>
    </row>
    <row r="496" spans="1:1">
      <c r="A496" s="31">
        <v>2726</v>
      </c>
    </row>
    <row r="497" spans="1:1">
      <c r="A497" s="31">
        <v>2727</v>
      </c>
    </row>
    <row r="498" spans="1:1">
      <c r="A498" s="31">
        <v>2729</v>
      </c>
    </row>
    <row r="499" spans="1:1">
      <c r="A499" s="31">
        <v>2731</v>
      </c>
    </row>
    <row r="500" spans="1:1">
      <c r="A500" s="31">
        <v>2732</v>
      </c>
    </row>
    <row r="501" spans="1:1">
      <c r="A501" s="31">
        <v>2734</v>
      </c>
    </row>
    <row r="502" spans="1:1">
      <c r="A502" s="31">
        <v>2801</v>
      </c>
    </row>
    <row r="503" spans="1:1">
      <c r="A503" s="31">
        <v>2809</v>
      </c>
    </row>
    <row r="504" spans="1:1">
      <c r="A504" s="31">
        <v>2812</v>
      </c>
    </row>
    <row r="505" spans="1:1">
      <c r="A505" s="31">
        <v>2816</v>
      </c>
    </row>
    <row r="506" spans="1:1">
      <c r="A506" s="31">
        <v>2820</v>
      </c>
    </row>
    <row r="507" spans="1:1">
      <c r="A507" s="31">
        <v>2823</v>
      </c>
    </row>
    <row r="508" spans="1:1">
      <c r="A508" s="31">
        <v>2832</v>
      </c>
    </row>
    <row r="509" spans="1:1">
      <c r="A509" s="31">
        <v>2833</v>
      </c>
    </row>
    <row r="510" spans="1:1">
      <c r="A510" s="31">
        <v>2834</v>
      </c>
    </row>
    <row r="511" spans="1:1">
      <c r="A511" s="31">
        <v>2836</v>
      </c>
    </row>
    <row r="512" spans="1:1">
      <c r="A512" s="31">
        <v>2838</v>
      </c>
    </row>
    <row r="513" spans="1:1">
      <c r="A513" s="31">
        <v>2841</v>
      </c>
    </row>
    <row r="514" spans="1:1">
      <c r="A514" s="31">
        <v>2845</v>
      </c>
    </row>
    <row r="515" spans="1:1">
      <c r="A515" s="31">
        <v>2847</v>
      </c>
    </row>
    <row r="516" spans="1:1">
      <c r="A516" s="31">
        <v>2849</v>
      </c>
    </row>
    <row r="517" spans="1:1">
      <c r="A517" s="31">
        <v>2850</v>
      </c>
    </row>
    <row r="518" spans="1:1">
      <c r="A518" s="31">
        <v>2851</v>
      </c>
    </row>
    <row r="519" spans="1:1">
      <c r="A519" s="31">
        <v>2852</v>
      </c>
    </row>
    <row r="520" spans="1:1">
      <c r="A520" s="31">
        <v>2855</v>
      </c>
    </row>
    <row r="521" spans="1:1">
      <c r="A521" s="31">
        <v>2856</v>
      </c>
    </row>
    <row r="522" spans="1:1">
      <c r="A522" s="31">
        <v>2867</v>
      </c>
    </row>
    <row r="523" spans="1:1">
      <c r="A523" s="31">
        <v>2880</v>
      </c>
    </row>
    <row r="524" spans="1:1">
      <c r="A524" s="31">
        <v>2881</v>
      </c>
    </row>
    <row r="525" spans="1:1">
      <c r="A525" s="31">
        <v>2882</v>
      </c>
    </row>
    <row r="526" spans="1:1">
      <c r="A526" s="31">
        <v>2883</v>
      </c>
    </row>
    <row r="527" spans="1:1">
      <c r="A527" s="31">
        <v>2884</v>
      </c>
    </row>
    <row r="528" spans="1:1">
      <c r="A528" s="31">
        <v>2885</v>
      </c>
    </row>
    <row r="529" spans="1:1">
      <c r="A529" s="31">
        <v>2886</v>
      </c>
    </row>
    <row r="530" spans="1:1">
      <c r="A530" s="31">
        <v>2887</v>
      </c>
    </row>
    <row r="531" spans="1:1">
      <c r="A531" s="31">
        <v>2888</v>
      </c>
    </row>
    <row r="532" spans="1:1">
      <c r="A532" s="31">
        <v>2889</v>
      </c>
    </row>
    <row r="533" spans="1:1">
      <c r="A533" s="31">
        <v>2890</v>
      </c>
    </row>
    <row r="534" spans="1:1">
      <c r="A534" s="31">
        <v>2891</v>
      </c>
    </row>
    <row r="535" spans="1:1">
      <c r="A535" s="31">
        <v>2892</v>
      </c>
    </row>
    <row r="536" spans="1:1">
      <c r="A536" s="31">
        <v>2901</v>
      </c>
    </row>
    <row r="537" spans="1:1">
      <c r="A537" s="31">
        <v>2903</v>
      </c>
    </row>
    <row r="538" spans="1:1">
      <c r="A538" s="31">
        <v>2904</v>
      </c>
    </row>
    <row r="539" spans="1:1">
      <c r="A539" s="31">
        <v>2905</v>
      </c>
    </row>
    <row r="540" spans="1:1">
      <c r="A540" s="31">
        <v>2906</v>
      </c>
    </row>
    <row r="541" spans="1:1">
      <c r="A541" s="31">
        <v>2908</v>
      </c>
    </row>
    <row r="542" spans="1:1">
      <c r="A542" s="31">
        <v>2910</v>
      </c>
    </row>
    <row r="543" spans="1:1">
      <c r="A543" s="31">
        <v>2911</v>
      </c>
    </row>
    <row r="544" spans="1:1">
      <c r="A544" s="31">
        <v>2912</v>
      </c>
    </row>
    <row r="545" spans="1:1">
      <c r="A545" s="31">
        <v>2913</v>
      </c>
    </row>
    <row r="546" spans="1:1">
      <c r="A546" s="31">
        <v>2915</v>
      </c>
    </row>
    <row r="547" spans="1:1">
      <c r="A547" s="31">
        <v>2916</v>
      </c>
    </row>
    <row r="548" spans="1:1">
      <c r="A548" s="31">
        <v>2923</v>
      </c>
    </row>
    <row r="549" spans="1:1">
      <c r="A549" s="31">
        <v>2924</v>
      </c>
    </row>
    <row r="550" spans="1:1">
      <c r="A550" s="31">
        <v>2926</v>
      </c>
    </row>
    <row r="551" spans="1:1">
      <c r="A551" s="31">
        <v>2929</v>
      </c>
    </row>
    <row r="552" spans="1:1">
      <c r="A552" s="31">
        <v>3002</v>
      </c>
    </row>
    <row r="553" spans="1:1">
      <c r="A553" s="31">
        <v>3003</v>
      </c>
    </row>
    <row r="554" spans="1:1">
      <c r="A554" s="31">
        <v>3004</v>
      </c>
    </row>
    <row r="555" spans="1:1">
      <c r="A555" s="31">
        <v>3005</v>
      </c>
    </row>
    <row r="556" spans="1:1">
      <c r="A556" s="31">
        <v>3006</v>
      </c>
    </row>
    <row r="557" spans="1:1">
      <c r="A557" s="31">
        <v>3008</v>
      </c>
    </row>
    <row r="558" spans="1:1">
      <c r="A558" s="31">
        <v>3010</v>
      </c>
    </row>
    <row r="559" spans="1:1">
      <c r="A559" s="31">
        <v>3011</v>
      </c>
    </row>
    <row r="560" spans="1:1">
      <c r="A560" s="31">
        <v>3013</v>
      </c>
    </row>
    <row r="561" spans="1:1">
      <c r="A561" s="31">
        <v>3014</v>
      </c>
    </row>
    <row r="562" spans="1:1">
      <c r="A562" s="31">
        <v>3015</v>
      </c>
    </row>
    <row r="563" spans="1:1">
      <c r="A563" s="31">
        <v>3016</v>
      </c>
    </row>
    <row r="564" spans="1:1">
      <c r="A564" s="31">
        <v>3017</v>
      </c>
    </row>
    <row r="565" spans="1:1">
      <c r="A565" s="31">
        <v>3018</v>
      </c>
    </row>
    <row r="566" spans="1:1">
      <c r="A566" s="31">
        <v>3019</v>
      </c>
    </row>
    <row r="567" spans="1:1">
      <c r="A567" s="31">
        <v>3021</v>
      </c>
    </row>
    <row r="568" spans="1:1">
      <c r="A568" s="31">
        <v>3022</v>
      </c>
    </row>
    <row r="569" spans="1:1">
      <c r="A569" s="31">
        <v>3023</v>
      </c>
    </row>
    <row r="570" spans="1:1">
      <c r="A570" s="31">
        <v>3024</v>
      </c>
    </row>
    <row r="571" spans="1:1">
      <c r="A571" s="31">
        <v>3025</v>
      </c>
    </row>
    <row r="572" spans="1:1">
      <c r="A572" s="31">
        <v>3026</v>
      </c>
    </row>
    <row r="573" spans="1:1">
      <c r="A573" s="31">
        <v>3027</v>
      </c>
    </row>
    <row r="574" spans="1:1">
      <c r="A574" s="31">
        <v>3028</v>
      </c>
    </row>
    <row r="575" spans="1:1">
      <c r="A575" s="31">
        <v>3029</v>
      </c>
    </row>
    <row r="576" spans="1:1">
      <c r="A576" s="31">
        <v>3030</v>
      </c>
    </row>
    <row r="577" spans="1:1">
      <c r="A577" s="31">
        <v>3031</v>
      </c>
    </row>
    <row r="578" spans="1:1">
      <c r="A578" s="31">
        <v>3032</v>
      </c>
    </row>
    <row r="579" spans="1:1">
      <c r="A579" s="31">
        <v>3033</v>
      </c>
    </row>
    <row r="580" spans="1:1">
      <c r="A580" s="31">
        <v>3034</v>
      </c>
    </row>
    <row r="581" spans="1:1">
      <c r="A581" s="31">
        <v>3035</v>
      </c>
    </row>
    <row r="582" spans="1:1">
      <c r="A582" s="31">
        <v>3036</v>
      </c>
    </row>
    <row r="583" spans="1:1">
      <c r="A583" s="31">
        <v>3037</v>
      </c>
    </row>
    <row r="584" spans="1:1">
      <c r="A584" s="31">
        <v>3038</v>
      </c>
    </row>
    <row r="585" spans="1:1">
      <c r="A585" s="31">
        <v>3040</v>
      </c>
    </row>
    <row r="586" spans="1:1">
      <c r="A586" s="31">
        <v>3041</v>
      </c>
    </row>
    <row r="587" spans="1:1">
      <c r="A587" s="31">
        <v>3042</v>
      </c>
    </row>
    <row r="588" spans="1:1">
      <c r="A588" s="31">
        <v>3043</v>
      </c>
    </row>
    <row r="589" spans="1:1">
      <c r="A589" s="31">
        <v>3044</v>
      </c>
    </row>
    <row r="590" spans="1:1">
      <c r="A590" s="31">
        <v>3045</v>
      </c>
    </row>
    <row r="591" spans="1:1">
      <c r="A591" s="31">
        <v>3046</v>
      </c>
    </row>
    <row r="592" spans="1:1">
      <c r="A592" s="31">
        <v>3047</v>
      </c>
    </row>
    <row r="593" spans="1:1">
      <c r="A593" s="31">
        <v>3048</v>
      </c>
    </row>
    <row r="594" spans="1:1">
      <c r="A594" s="31">
        <v>3049</v>
      </c>
    </row>
    <row r="595" spans="1:1">
      <c r="A595" s="31">
        <v>3050</v>
      </c>
    </row>
    <row r="596" spans="1:1">
      <c r="A596" s="31">
        <v>3051</v>
      </c>
    </row>
    <row r="597" spans="1:1">
      <c r="A597" s="31">
        <v>3052</v>
      </c>
    </row>
    <row r="598" spans="1:1">
      <c r="A598" s="31">
        <v>3054</v>
      </c>
    </row>
    <row r="599" spans="1:1">
      <c r="A599" s="31">
        <v>3055</v>
      </c>
    </row>
    <row r="600" spans="1:1">
      <c r="A600" s="31">
        <v>3056</v>
      </c>
    </row>
    <row r="601" spans="1:1">
      <c r="A601" s="31">
        <v>3057</v>
      </c>
    </row>
    <row r="602" spans="1:1">
      <c r="A602" s="31">
        <v>3058</v>
      </c>
    </row>
    <row r="603" spans="1:1">
      <c r="A603" s="31">
        <v>3059</v>
      </c>
    </row>
    <row r="604" spans="1:1">
      <c r="A604" s="31">
        <v>3060</v>
      </c>
    </row>
    <row r="605" spans="1:1">
      <c r="A605" s="31">
        <v>3062</v>
      </c>
    </row>
    <row r="606" spans="1:1">
      <c r="A606" s="31">
        <v>3064</v>
      </c>
    </row>
    <row r="607" spans="1:1">
      <c r="A607" s="31">
        <v>3066</v>
      </c>
    </row>
    <row r="608" spans="1:1">
      <c r="A608" s="31">
        <v>3067</v>
      </c>
    </row>
    <row r="609" spans="1:1">
      <c r="A609" s="31">
        <v>3068</v>
      </c>
    </row>
    <row r="610" spans="1:1">
      <c r="A610" s="31">
        <v>3071</v>
      </c>
    </row>
    <row r="611" spans="1:1">
      <c r="A611" s="31">
        <v>3073</v>
      </c>
    </row>
    <row r="612" spans="1:1">
      <c r="A612" s="31">
        <v>3078</v>
      </c>
    </row>
    <row r="613" spans="1:1">
      <c r="A613" s="31">
        <v>3083</v>
      </c>
    </row>
    <row r="614" spans="1:1">
      <c r="A614" s="31">
        <v>3085</v>
      </c>
    </row>
    <row r="615" spans="1:1">
      <c r="A615" s="31">
        <v>3086</v>
      </c>
    </row>
    <row r="616" spans="1:1">
      <c r="A616" s="31">
        <v>3088</v>
      </c>
    </row>
    <row r="617" spans="1:1">
      <c r="A617" s="31">
        <v>3089</v>
      </c>
    </row>
    <row r="618" spans="1:1">
      <c r="A618" s="31">
        <v>3090</v>
      </c>
    </row>
    <row r="619" spans="1:1">
      <c r="A619" s="31">
        <v>3092</v>
      </c>
    </row>
    <row r="620" spans="1:1">
      <c r="A620" s="31">
        <v>3093</v>
      </c>
    </row>
    <row r="621" spans="1:1">
      <c r="A621" s="31">
        <v>3094</v>
      </c>
    </row>
    <row r="622" spans="1:1">
      <c r="A622" s="31">
        <v>3095</v>
      </c>
    </row>
    <row r="623" spans="1:1">
      <c r="A623" s="31">
        <v>3105</v>
      </c>
    </row>
    <row r="624" spans="1:1">
      <c r="A624" s="31">
        <v>3114</v>
      </c>
    </row>
    <row r="625" spans="1:1">
      <c r="A625" s="31">
        <v>3115</v>
      </c>
    </row>
    <row r="626" spans="1:1">
      <c r="A626" s="31">
        <v>3118</v>
      </c>
    </row>
    <row r="627" spans="1:1">
      <c r="A627" s="31">
        <v>3122</v>
      </c>
    </row>
    <row r="628" spans="1:1">
      <c r="A628" s="31">
        <v>3128</v>
      </c>
    </row>
    <row r="629" spans="1:1">
      <c r="A629" s="31">
        <v>3130</v>
      </c>
    </row>
    <row r="630" spans="1:1">
      <c r="A630" s="31">
        <v>3131</v>
      </c>
    </row>
    <row r="631" spans="1:1">
      <c r="A631" s="31">
        <v>3141</v>
      </c>
    </row>
    <row r="632" spans="1:1">
      <c r="A632" s="31">
        <v>3144</v>
      </c>
    </row>
    <row r="633" spans="1:1">
      <c r="A633" s="31">
        <v>3149</v>
      </c>
    </row>
    <row r="634" spans="1:1">
      <c r="A634" s="31">
        <v>3152</v>
      </c>
    </row>
    <row r="635" spans="1:1">
      <c r="A635" s="31">
        <v>3162</v>
      </c>
    </row>
    <row r="636" spans="1:1">
      <c r="A636" s="31">
        <v>3163</v>
      </c>
    </row>
    <row r="637" spans="1:1">
      <c r="A637" s="31">
        <v>3164</v>
      </c>
    </row>
    <row r="638" spans="1:1">
      <c r="A638" s="31">
        <v>3167</v>
      </c>
    </row>
    <row r="639" spans="1:1">
      <c r="A639" s="31">
        <v>3169</v>
      </c>
    </row>
    <row r="640" spans="1:1">
      <c r="A640" s="31">
        <v>3171</v>
      </c>
    </row>
    <row r="641" spans="1:1">
      <c r="A641" s="31">
        <v>3176</v>
      </c>
    </row>
    <row r="642" spans="1:1">
      <c r="A642" s="31">
        <v>3188</v>
      </c>
    </row>
    <row r="643" spans="1:1">
      <c r="A643" s="31">
        <v>3189</v>
      </c>
    </row>
    <row r="644" spans="1:1">
      <c r="A644" s="31">
        <v>3191</v>
      </c>
    </row>
    <row r="645" spans="1:1">
      <c r="A645" s="31">
        <v>3202</v>
      </c>
    </row>
    <row r="646" spans="1:1">
      <c r="A646" s="31">
        <v>3205</v>
      </c>
    </row>
    <row r="647" spans="1:1">
      <c r="A647" s="31">
        <v>3206</v>
      </c>
    </row>
    <row r="648" spans="1:1">
      <c r="A648" s="31">
        <v>3207</v>
      </c>
    </row>
    <row r="649" spans="1:1">
      <c r="A649" s="31">
        <v>3209</v>
      </c>
    </row>
    <row r="650" spans="1:1">
      <c r="A650" s="31">
        <v>3211</v>
      </c>
    </row>
    <row r="651" spans="1:1">
      <c r="A651" s="31">
        <v>3213</v>
      </c>
    </row>
    <row r="652" spans="1:1">
      <c r="A652" s="31">
        <v>3217</v>
      </c>
    </row>
    <row r="653" spans="1:1">
      <c r="A653" s="31">
        <v>3218</v>
      </c>
    </row>
    <row r="654" spans="1:1">
      <c r="A654" s="31">
        <v>3219</v>
      </c>
    </row>
    <row r="655" spans="1:1">
      <c r="A655" s="31">
        <v>3221</v>
      </c>
    </row>
    <row r="656" spans="1:1">
      <c r="A656" s="31">
        <v>3224</v>
      </c>
    </row>
    <row r="657" spans="1:1">
      <c r="A657" s="31">
        <v>3226</v>
      </c>
    </row>
    <row r="658" spans="1:1">
      <c r="A658" s="31">
        <v>3227</v>
      </c>
    </row>
    <row r="659" spans="1:1">
      <c r="A659" s="31">
        <v>3228</v>
      </c>
    </row>
    <row r="660" spans="1:1">
      <c r="A660" s="31">
        <v>3229</v>
      </c>
    </row>
    <row r="661" spans="1:1">
      <c r="A661" s="31">
        <v>3230</v>
      </c>
    </row>
    <row r="662" spans="1:1">
      <c r="A662" s="31">
        <v>3231</v>
      </c>
    </row>
    <row r="663" spans="1:1">
      <c r="A663" s="31">
        <v>3232</v>
      </c>
    </row>
    <row r="664" spans="1:1">
      <c r="A664" s="31">
        <v>3234</v>
      </c>
    </row>
    <row r="665" spans="1:1">
      <c r="A665" s="31">
        <v>3236</v>
      </c>
    </row>
    <row r="666" spans="1:1">
      <c r="A666" s="31">
        <v>3252</v>
      </c>
    </row>
    <row r="667" spans="1:1">
      <c r="A667" s="31">
        <v>3257</v>
      </c>
    </row>
    <row r="668" spans="1:1">
      <c r="A668" s="31">
        <v>3259</v>
      </c>
    </row>
    <row r="669" spans="1:1">
      <c r="A669" s="31">
        <v>3260</v>
      </c>
    </row>
    <row r="670" spans="1:1">
      <c r="A670" s="31">
        <v>3264</v>
      </c>
    </row>
    <row r="671" spans="1:1">
      <c r="A671" s="31">
        <v>3265</v>
      </c>
    </row>
    <row r="672" spans="1:1">
      <c r="A672" s="31">
        <v>3266</v>
      </c>
    </row>
    <row r="673" spans="1:1">
      <c r="A673" s="31">
        <v>3268</v>
      </c>
    </row>
    <row r="674" spans="1:1">
      <c r="A674" s="31">
        <v>3272</v>
      </c>
    </row>
    <row r="675" spans="1:1">
      <c r="A675" s="31">
        <v>3276</v>
      </c>
    </row>
    <row r="676" spans="1:1">
      <c r="A676" s="31">
        <v>3284</v>
      </c>
    </row>
    <row r="677" spans="1:1">
      <c r="A677" s="31">
        <v>3285</v>
      </c>
    </row>
    <row r="678" spans="1:1">
      <c r="A678" s="31">
        <v>3287</v>
      </c>
    </row>
    <row r="679" spans="1:1">
      <c r="A679" s="31">
        <v>3288</v>
      </c>
    </row>
    <row r="680" spans="1:1">
      <c r="A680" s="31">
        <v>3289</v>
      </c>
    </row>
    <row r="681" spans="1:1">
      <c r="A681" s="31">
        <v>3290</v>
      </c>
    </row>
    <row r="682" spans="1:1">
      <c r="A682" s="31">
        <v>3291</v>
      </c>
    </row>
    <row r="683" spans="1:1">
      <c r="A683" s="31">
        <v>3293</v>
      </c>
    </row>
    <row r="684" spans="1:1">
      <c r="A684" s="31">
        <v>3294</v>
      </c>
    </row>
    <row r="685" spans="1:1">
      <c r="A685" s="31">
        <v>3296</v>
      </c>
    </row>
    <row r="686" spans="1:1">
      <c r="A686" s="31">
        <v>3297</v>
      </c>
    </row>
    <row r="687" spans="1:1">
      <c r="A687" s="31">
        <v>3299</v>
      </c>
    </row>
    <row r="688" spans="1:1">
      <c r="A688" s="31">
        <v>3303</v>
      </c>
    </row>
    <row r="689" spans="1:1">
      <c r="A689" s="31">
        <v>3305</v>
      </c>
    </row>
    <row r="690" spans="1:1">
      <c r="A690" s="31">
        <v>3306</v>
      </c>
    </row>
    <row r="691" spans="1:1">
      <c r="A691" s="31">
        <v>3308</v>
      </c>
    </row>
    <row r="692" spans="1:1">
      <c r="A692" s="31">
        <v>3310</v>
      </c>
    </row>
    <row r="693" spans="1:1">
      <c r="A693" s="31">
        <v>3311</v>
      </c>
    </row>
    <row r="694" spans="1:1">
      <c r="A694" s="31">
        <v>3312</v>
      </c>
    </row>
    <row r="695" spans="1:1">
      <c r="A695" s="31">
        <v>3313</v>
      </c>
    </row>
    <row r="696" spans="1:1">
      <c r="A696" s="31">
        <v>3315</v>
      </c>
    </row>
    <row r="697" spans="1:1">
      <c r="A697" s="31">
        <v>3317</v>
      </c>
    </row>
    <row r="698" spans="1:1">
      <c r="A698" s="31">
        <v>3322</v>
      </c>
    </row>
    <row r="699" spans="1:1">
      <c r="A699" s="31">
        <v>3323</v>
      </c>
    </row>
    <row r="700" spans="1:1">
      <c r="A700" s="31">
        <v>3324</v>
      </c>
    </row>
    <row r="701" spans="1:1">
      <c r="A701" s="31">
        <v>3325</v>
      </c>
    </row>
    <row r="702" spans="1:1">
      <c r="A702" s="31">
        <v>3332</v>
      </c>
    </row>
    <row r="703" spans="1:1">
      <c r="A703" s="31">
        <v>3338</v>
      </c>
    </row>
    <row r="704" spans="1:1">
      <c r="A704" s="31">
        <v>3339</v>
      </c>
    </row>
    <row r="705" spans="1:1">
      <c r="A705" s="31">
        <v>3354</v>
      </c>
    </row>
    <row r="706" spans="1:1">
      <c r="A706" s="31">
        <v>3356</v>
      </c>
    </row>
    <row r="707" spans="1:1">
      <c r="A707" s="31">
        <v>3360</v>
      </c>
    </row>
    <row r="708" spans="1:1">
      <c r="A708" s="31">
        <v>3362</v>
      </c>
    </row>
    <row r="709" spans="1:1">
      <c r="A709" s="31">
        <v>3363</v>
      </c>
    </row>
    <row r="710" spans="1:1">
      <c r="A710" s="31">
        <v>3372</v>
      </c>
    </row>
    <row r="711" spans="1:1">
      <c r="A711" s="31">
        <v>3373</v>
      </c>
    </row>
    <row r="712" spans="1:1">
      <c r="A712" s="31">
        <v>3374</v>
      </c>
    </row>
    <row r="713" spans="1:1">
      <c r="A713" s="31">
        <v>3376</v>
      </c>
    </row>
    <row r="714" spans="1:1">
      <c r="A714" s="31">
        <v>3379</v>
      </c>
    </row>
    <row r="715" spans="1:1">
      <c r="A715" s="31">
        <v>3380</v>
      </c>
    </row>
    <row r="716" spans="1:1">
      <c r="A716" s="31">
        <v>3383</v>
      </c>
    </row>
    <row r="717" spans="1:1">
      <c r="A717" s="31">
        <v>3388</v>
      </c>
    </row>
    <row r="718" spans="1:1">
      <c r="A718" s="31">
        <v>3390</v>
      </c>
    </row>
    <row r="719" spans="1:1">
      <c r="A719" s="31">
        <v>3402</v>
      </c>
    </row>
    <row r="720" spans="1:1">
      <c r="A720" s="31">
        <v>3406</v>
      </c>
    </row>
    <row r="721" spans="1:1">
      <c r="A721" s="31">
        <v>3416</v>
      </c>
    </row>
    <row r="722" spans="1:1">
      <c r="A722" s="31">
        <v>3419</v>
      </c>
    </row>
    <row r="723" spans="1:1">
      <c r="A723" s="31">
        <v>3428</v>
      </c>
    </row>
    <row r="724" spans="1:1">
      <c r="A724" s="31">
        <v>3431</v>
      </c>
    </row>
    <row r="725" spans="1:1">
      <c r="A725" s="31">
        <v>3432</v>
      </c>
    </row>
    <row r="726" spans="1:1">
      <c r="A726" s="31">
        <v>3434</v>
      </c>
    </row>
    <row r="727" spans="1:1">
      <c r="A727" s="31">
        <v>3437</v>
      </c>
    </row>
    <row r="728" spans="1:1">
      <c r="A728" s="31">
        <v>3438</v>
      </c>
    </row>
    <row r="729" spans="1:1">
      <c r="A729" s="31">
        <v>3441</v>
      </c>
    </row>
    <row r="730" spans="1:1">
      <c r="A730" s="31">
        <v>3443</v>
      </c>
    </row>
    <row r="731" spans="1:1">
      <c r="A731" s="31">
        <v>3444</v>
      </c>
    </row>
    <row r="732" spans="1:1">
      <c r="A732" s="31">
        <v>3450</v>
      </c>
    </row>
    <row r="733" spans="1:1">
      <c r="A733" s="31">
        <v>3452</v>
      </c>
    </row>
    <row r="734" spans="1:1">
      <c r="A734" s="31">
        <v>3454</v>
      </c>
    </row>
    <row r="735" spans="1:1">
      <c r="A735" s="31">
        <v>3455</v>
      </c>
    </row>
    <row r="736" spans="1:1">
      <c r="A736" s="31">
        <v>3465</v>
      </c>
    </row>
    <row r="737" spans="1:1">
      <c r="A737" s="31">
        <v>3466</v>
      </c>
    </row>
    <row r="738" spans="1:1">
      <c r="A738" s="31">
        <v>3474</v>
      </c>
    </row>
    <row r="739" spans="1:1">
      <c r="A739" s="31">
        <v>3479</v>
      </c>
    </row>
    <row r="740" spans="1:1">
      <c r="A740" s="31">
        <v>3481</v>
      </c>
    </row>
    <row r="741" spans="1:1">
      <c r="A741" s="31">
        <v>3483</v>
      </c>
    </row>
    <row r="742" spans="1:1">
      <c r="A742" s="31">
        <v>3484</v>
      </c>
    </row>
    <row r="743" spans="1:1">
      <c r="A743" s="31">
        <v>3489</v>
      </c>
    </row>
    <row r="744" spans="1:1">
      <c r="A744" s="31">
        <v>3490</v>
      </c>
    </row>
    <row r="745" spans="1:1">
      <c r="A745" s="31">
        <v>3491</v>
      </c>
    </row>
    <row r="746" spans="1:1">
      <c r="A746" s="31">
        <v>3494</v>
      </c>
    </row>
    <row r="747" spans="1:1">
      <c r="A747" s="31">
        <v>3498</v>
      </c>
    </row>
    <row r="748" spans="1:1">
      <c r="A748" s="31">
        <v>3499</v>
      </c>
    </row>
    <row r="749" spans="1:1">
      <c r="A749" s="31">
        <v>3501</v>
      </c>
    </row>
    <row r="750" spans="1:1">
      <c r="A750" s="31">
        <v>3504</v>
      </c>
    </row>
    <row r="751" spans="1:1">
      <c r="A751" s="31">
        <v>3508</v>
      </c>
    </row>
    <row r="752" spans="1:1">
      <c r="A752" s="31">
        <v>3511</v>
      </c>
    </row>
    <row r="753" spans="1:1">
      <c r="A753" s="31">
        <v>3512</v>
      </c>
    </row>
    <row r="754" spans="1:1">
      <c r="A754" s="31">
        <v>3514</v>
      </c>
    </row>
    <row r="755" spans="1:1">
      <c r="A755" s="31">
        <v>3515</v>
      </c>
    </row>
    <row r="756" spans="1:1">
      <c r="A756" s="31">
        <v>3516</v>
      </c>
    </row>
    <row r="757" spans="1:1">
      <c r="A757" s="31">
        <v>3518</v>
      </c>
    </row>
    <row r="758" spans="1:1">
      <c r="A758" s="31">
        <v>3519</v>
      </c>
    </row>
    <row r="759" spans="1:1">
      <c r="A759" s="31">
        <v>3520</v>
      </c>
    </row>
    <row r="760" spans="1:1">
      <c r="A760" s="31">
        <v>3521</v>
      </c>
    </row>
    <row r="761" spans="1:1">
      <c r="A761" s="31">
        <v>3522</v>
      </c>
    </row>
    <row r="762" spans="1:1">
      <c r="A762" s="31">
        <v>3523</v>
      </c>
    </row>
    <row r="763" spans="1:1">
      <c r="A763" s="31">
        <v>3526</v>
      </c>
    </row>
    <row r="764" spans="1:1">
      <c r="A764" s="31">
        <v>3527</v>
      </c>
    </row>
    <row r="765" spans="1:1">
      <c r="A765" s="31">
        <v>3528</v>
      </c>
    </row>
    <row r="766" spans="1:1">
      <c r="A766" s="31">
        <v>3529</v>
      </c>
    </row>
    <row r="767" spans="1:1">
      <c r="A767" s="31">
        <v>3531</v>
      </c>
    </row>
    <row r="768" spans="1:1">
      <c r="A768" s="31">
        <v>3532</v>
      </c>
    </row>
    <row r="769" spans="1:1">
      <c r="A769" s="31">
        <v>3533</v>
      </c>
    </row>
    <row r="770" spans="1:1">
      <c r="A770" s="31">
        <v>3535</v>
      </c>
    </row>
    <row r="771" spans="1:1">
      <c r="A771" s="31">
        <v>3536</v>
      </c>
    </row>
    <row r="772" spans="1:1">
      <c r="A772" s="31">
        <v>3537</v>
      </c>
    </row>
    <row r="773" spans="1:1">
      <c r="A773" s="31">
        <v>3540</v>
      </c>
    </row>
    <row r="774" spans="1:1">
      <c r="A774" s="31">
        <v>3541</v>
      </c>
    </row>
    <row r="775" spans="1:1">
      <c r="A775" s="31">
        <v>3545</v>
      </c>
    </row>
    <row r="776" spans="1:1">
      <c r="A776" s="31">
        <v>3546</v>
      </c>
    </row>
    <row r="777" spans="1:1">
      <c r="A777" s="31">
        <v>3548</v>
      </c>
    </row>
    <row r="778" spans="1:1">
      <c r="A778" s="31">
        <v>3550</v>
      </c>
    </row>
    <row r="779" spans="1:1">
      <c r="A779" s="31">
        <v>3551</v>
      </c>
    </row>
    <row r="780" spans="1:1">
      <c r="A780" s="31">
        <v>3552</v>
      </c>
    </row>
    <row r="781" spans="1:1">
      <c r="A781" s="31">
        <v>3553</v>
      </c>
    </row>
    <row r="782" spans="1:1">
      <c r="A782" s="31">
        <v>3555</v>
      </c>
    </row>
    <row r="783" spans="1:1">
      <c r="A783" s="31">
        <v>3556</v>
      </c>
    </row>
    <row r="784" spans="1:1">
      <c r="A784" s="31">
        <v>3557</v>
      </c>
    </row>
    <row r="785" spans="1:1">
      <c r="A785" s="31">
        <v>3558</v>
      </c>
    </row>
    <row r="786" spans="1:1">
      <c r="A786" s="31">
        <v>3559</v>
      </c>
    </row>
    <row r="787" spans="1:1">
      <c r="A787" s="31">
        <v>3561</v>
      </c>
    </row>
    <row r="788" spans="1:1">
      <c r="A788" s="31">
        <v>3562</v>
      </c>
    </row>
    <row r="789" spans="1:1">
      <c r="A789" s="31">
        <v>3563</v>
      </c>
    </row>
    <row r="790" spans="1:1">
      <c r="A790" s="31">
        <v>3564</v>
      </c>
    </row>
    <row r="791" spans="1:1">
      <c r="A791" s="31">
        <v>3567</v>
      </c>
    </row>
    <row r="792" spans="1:1">
      <c r="A792" s="31">
        <v>3570</v>
      </c>
    </row>
    <row r="793" spans="1:1">
      <c r="A793" s="31">
        <v>3573</v>
      </c>
    </row>
    <row r="794" spans="1:1">
      <c r="A794" s="31">
        <v>3576</v>
      </c>
    </row>
    <row r="795" spans="1:1">
      <c r="A795" s="31">
        <v>3577</v>
      </c>
    </row>
    <row r="796" spans="1:1">
      <c r="A796" s="31">
        <v>3579</v>
      </c>
    </row>
    <row r="797" spans="1:1">
      <c r="A797" s="31">
        <v>3580</v>
      </c>
    </row>
    <row r="798" spans="1:1">
      <c r="A798" s="31">
        <v>3581</v>
      </c>
    </row>
    <row r="799" spans="1:1">
      <c r="A799" s="31">
        <v>3583</v>
      </c>
    </row>
    <row r="800" spans="1:1">
      <c r="A800" s="31">
        <v>3584</v>
      </c>
    </row>
    <row r="801" spans="1:1">
      <c r="A801" s="31">
        <v>3587</v>
      </c>
    </row>
    <row r="802" spans="1:1">
      <c r="A802" s="31">
        <v>3588</v>
      </c>
    </row>
    <row r="803" spans="1:1">
      <c r="A803" s="31">
        <v>3591</v>
      </c>
    </row>
    <row r="804" spans="1:1">
      <c r="A804" s="31">
        <v>3593</v>
      </c>
    </row>
    <row r="805" spans="1:1">
      <c r="A805" s="31">
        <v>3594</v>
      </c>
    </row>
    <row r="806" spans="1:1">
      <c r="A806" s="31">
        <v>3596</v>
      </c>
    </row>
    <row r="807" spans="1:1">
      <c r="A807" s="31">
        <v>3598</v>
      </c>
    </row>
    <row r="808" spans="1:1">
      <c r="A808" s="31">
        <v>3605</v>
      </c>
    </row>
    <row r="809" spans="1:1">
      <c r="A809" s="31">
        <v>3607</v>
      </c>
    </row>
    <row r="810" spans="1:1">
      <c r="A810" s="31">
        <v>3609</v>
      </c>
    </row>
    <row r="811" spans="1:1">
      <c r="A811" s="31">
        <v>3611</v>
      </c>
    </row>
    <row r="812" spans="1:1">
      <c r="A812" s="31">
        <v>3615</v>
      </c>
    </row>
    <row r="813" spans="1:1">
      <c r="A813" s="31">
        <v>3617</v>
      </c>
    </row>
    <row r="814" spans="1:1">
      <c r="A814" s="31">
        <v>3622</v>
      </c>
    </row>
    <row r="815" spans="1:1">
      <c r="A815" s="31">
        <v>3623</v>
      </c>
    </row>
    <row r="816" spans="1:1">
      <c r="A816" s="31">
        <v>3624</v>
      </c>
    </row>
    <row r="817" spans="1:1">
      <c r="A817" s="31">
        <v>3625</v>
      </c>
    </row>
    <row r="818" spans="1:1">
      <c r="A818" s="31">
        <v>3628</v>
      </c>
    </row>
    <row r="819" spans="1:1">
      <c r="A819" s="31">
        <v>3629</v>
      </c>
    </row>
    <row r="820" spans="1:1">
      <c r="A820" s="31">
        <v>3630</v>
      </c>
    </row>
    <row r="821" spans="1:1">
      <c r="A821" s="31">
        <v>3631</v>
      </c>
    </row>
    <row r="822" spans="1:1">
      <c r="A822" s="31">
        <v>3632</v>
      </c>
    </row>
    <row r="823" spans="1:1">
      <c r="A823" s="31">
        <v>3642</v>
      </c>
    </row>
    <row r="824" spans="1:1">
      <c r="A824" s="31">
        <v>3645</v>
      </c>
    </row>
    <row r="825" spans="1:1">
      <c r="A825" s="31">
        <v>3646</v>
      </c>
    </row>
    <row r="826" spans="1:1">
      <c r="A826" s="31">
        <v>3652</v>
      </c>
    </row>
    <row r="827" spans="1:1">
      <c r="A827" s="31">
        <v>3653</v>
      </c>
    </row>
    <row r="828" spans="1:1">
      <c r="A828" s="31">
        <v>3658</v>
      </c>
    </row>
    <row r="829" spans="1:1">
      <c r="A829" s="31">
        <v>3661</v>
      </c>
    </row>
    <row r="830" spans="1:1">
      <c r="A830" s="31">
        <v>3662</v>
      </c>
    </row>
    <row r="831" spans="1:1">
      <c r="A831" s="31">
        <v>3663</v>
      </c>
    </row>
    <row r="832" spans="1:1">
      <c r="A832" s="31">
        <v>3664</v>
      </c>
    </row>
    <row r="833" spans="1:1">
      <c r="A833" s="31">
        <v>3665</v>
      </c>
    </row>
    <row r="834" spans="1:1">
      <c r="A834" s="31">
        <v>3666</v>
      </c>
    </row>
    <row r="835" spans="1:1">
      <c r="A835" s="31">
        <v>3669</v>
      </c>
    </row>
    <row r="836" spans="1:1">
      <c r="A836" s="31">
        <v>3672</v>
      </c>
    </row>
    <row r="837" spans="1:1">
      <c r="A837" s="31">
        <v>3673</v>
      </c>
    </row>
    <row r="838" spans="1:1">
      <c r="A838" s="31">
        <v>3675</v>
      </c>
    </row>
    <row r="839" spans="1:1">
      <c r="A839" s="31">
        <v>3679</v>
      </c>
    </row>
    <row r="840" spans="1:1">
      <c r="A840" s="31">
        <v>3680</v>
      </c>
    </row>
    <row r="841" spans="1:1">
      <c r="A841" s="31">
        <v>3682</v>
      </c>
    </row>
    <row r="842" spans="1:1">
      <c r="A842" s="31">
        <v>3684</v>
      </c>
    </row>
    <row r="843" spans="1:1">
      <c r="A843" s="31">
        <v>3685</v>
      </c>
    </row>
    <row r="844" spans="1:1">
      <c r="A844" s="31">
        <v>3686</v>
      </c>
    </row>
    <row r="845" spans="1:1">
      <c r="A845" s="31">
        <v>3687</v>
      </c>
    </row>
    <row r="846" spans="1:1">
      <c r="A846" s="31">
        <v>3689</v>
      </c>
    </row>
    <row r="847" spans="1:1">
      <c r="A847" s="31">
        <v>3691</v>
      </c>
    </row>
    <row r="848" spans="1:1">
      <c r="A848" s="31">
        <v>3693</v>
      </c>
    </row>
    <row r="849" spans="1:1">
      <c r="A849" s="31">
        <v>3694</v>
      </c>
    </row>
    <row r="850" spans="1:1">
      <c r="A850" s="31">
        <v>3698</v>
      </c>
    </row>
    <row r="851" spans="1:1">
      <c r="A851" s="31">
        <v>3701</v>
      </c>
    </row>
    <row r="852" spans="1:1">
      <c r="A852" s="31">
        <v>3702</v>
      </c>
    </row>
    <row r="853" spans="1:1">
      <c r="A853" s="31">
        <v>3703</v>
      </c>
    </row>
    <row r="854" spans="1:1">
      <c r="A854" s="31">
        <v>3704</v>
      </c>
    </row>
    <row r="855" spans="1:1">
      <c r="A855" s="31">
        <v>3705</v>
      </c>
    </row>
    <row r="856" spans="1:1">
      <c r="A856" s="31">
        <v>3706</v>
      </c>
    </row>
    <row r="857" spans="1:1">
      <c r="A857" s="31">
        <v>3707</v>
      </c>
    </row>
    <row r="858" spans="1:1">
      <c r="A858" s="31">
        <v>4102</v>
      </c>
    </row>
    <row r="859" spans="1:1">
      <c r="A859" s="31">
        <v>4103</v>
      </c>
    </row>
    <row r="860" spans="1:1">
      <c r="A860" s="31">
        <v>4104</v>
      </c>
    </row>
    <row r="861" spans="1:1">
      <c r="A861" s="31">
        <v>4105</v>
      </c>
    </row>
    <row r="862" spans="1:1">
      <c r="A862" s="31">
        <v>4106</v>
      </c>
    </row>
    <row r="863" spans="1:1">
      <c r="A863" s="31">
        <v>4107</v>
      </c>
    </row>
    <row r="864" spans="1:1">
      <c r="A864" s="31">
        <v>4108</v>
      </c>
    </row>
    <row r="865" spans="1:1">
      <c r="A865" s="31">
        <v>4109</v>
      </c>
    </row>
    <row r="866" spans="1:1">
      <c r="A866" s="31">
        <v>4111</v>
      </c>
    </row>
    <row r="867" spans="1:1">
      <c r="A867" s="31">
        <v>4113</v>
      </c>
    </row>
    <row r="868" spans="1:1">
      <c r="A868" s="31">
        <v>4114</v>
      </c>
    </row>
    <row r="869" spans="1:1">
      <c r="A869" s="31">
        <v>4119</v>
      </c>
    </row>
    <row r="870" spans="1:1">
      <c r="A870" s="31">
        <v>4120</v>
      </c>
    </row>
    <row r="871" spans="1:1">
      <c r="A871" s="31">
        <v>4121</v>
      </c>
    </row>
    <row r="872" spans="1:1">
      <c r="A872" s="31">
        <v>4123</v>
      </c>
    </row>
    <row r="873" spans="1:1">
      <c r="A873" s="31">
        <v>4126</v>
      </c>
    </row>
    <row r="874" spans="1:1">
      <c r="A874" s="31">
        <v>4127</v>
      </c>
    </row>
    <row r="875" spans="1:1">
      <c r="A875" s="31">
        <v>4128</v>
      </c>
    </row>
    <row r="876" spans="1:1">
      <c r="A876" s="31">
        <v>4129</v>
      </c>
    </row>
    <row r="877" spans="1:1">
      <c r="A877" s="31">
        <v>4130</v>
      </c>
    </row>
    <row r="878" spans="1:1">
      <c r="A878" s="31">
        <v>4131</v>
      </c>
    </row>
    <row r="879" spans="1:1">
      <c r="A879" s="31">
        <v>4133</v>
      </c>
    </row>
    <row r="880" spans="1:1">
      <c r="A880" s="31">
        <v>4137</v>
      </c>
    </row>
    <row r="881" spans="1:1">
      <c r="A881" s="31">
        <v>4138</v>
      </c>
    </row>
    <row r="882" spans="1:1">
      <c r="A882" s="31">
        <v>4139</v>
      </c>
    </row>
    <row r="883" spans="1:1">
      <c r="A883" s="31">
        <v>4141</v>
      </c>
    </row>
    <row r="884" spans="1:1">
      <c r="A884" s="31">
        <v>4142</v>
      </c>
    </row>
    <row r="885" spans="1:1">
      <c r="A885" s="31">
        <v>4144</v>
      </c>
    </row>
    <row r="886" spans="1:1">
      <c r="A886" s="31">
        <v>4152</v>
      </c>
    </row>
    <row r="887" spans="1:1">
      <c r="A887" s="31">
        <v>4153</v>
      </c>
    </row>
    <row r="888" spans="1:1">
      <c r="A888" s="31">
        <v>4154</v>
      </c>
    </row>
    <row r="889" spans="1:1">
      <c r="A889" s="31">
        <v>4157</v>
      </c>
    </row>
    <row r="890" spans="1:1">
      <c r="A890" s="31">
        <v>4160</v>
      </c>
    </row>
    <row r="891" spans="1:1">
      <c r="A891" s="31">
        <v>4161</v>
      </c>
    </row>
    <row r="892" spans="1:1">
      <c r="A892" s="31">
        <v>4162</v>
      </c>
    </row>
    <row r="893" spans="1:1">
      <c r="A893" s="31">
        <v>4163</v>
      </c>
    </row>
    <row r="894" spans="1:1">
      <c r="A894" s="31">
        <v>4164</v>
      </c>
    </row>
    <row r="895" spans="1:1">
      <c r="A895" s="31">
        <v>4168</v>
      </c>
    </row>
    <row r="896" spans="1:1">
      <c r="A896" s="31">
        <v>4171</v>
      </c>
    </row>
    <row r="897" spans="1:1">
      <c r="A897" s="31">
        <v>4173</v>
      </c>
    </row>
    <row r="898" spans="1:1">
      <c r="A898" s="31">
        <v>4174</v>
      </c>
    </row>
    <row r="899" spans="1:1">
      <c r="A899" s="31">
        <v>4175</v>
      </c>
    </row>
    <row r="900" spans="1:1">
      <c r="A900" s="31">
        <v>4180</v>
      </c>
    </row>
    <row r="901" spans="1:1">
      <c r="A901" s="31">
        <v>4188</v>
      </c>
    </row>
    <row r="902" spans="1:1">
      <c r="A902" s="31">
        <v>4192</v>
      </c>
    </row>
    <row r="903" spans="1:1">
      <c r="A903" s="31">
        <v>4198</v>
      </c>
    </row>
    <row r="904" spans="1:1">
      <c r="A904" s="31">
        <v>4205</v>
      </c>
    </row>
    <row r="905" spans="1:1">
      <c r="A905" s="31">
        <v>4207</v>
      </c>
    </row>
    <row r="906" spans="1:1">
      <c r="A906" s="31">
        <v>4303</v>
      </c>
    </row>
    <row r="907" spans="1:1">
      <c r="A907" s="31">
        <v>4304</v>
      </c>
    </row>
    <row r="908" spans="1:1">
      <c r="A908" s="31">
        <v>4305</v>
      </c>
    </row>
    <row r="909" spans="1:1">
      <c r="A909" s="31">
        <v>4306</v>
      </c>
    </row>
    <row r="910" spans="1:1">
      <c r="A910" s="31">
        <v>4401</v>
      </c>
    </row>
    <row r="911" spans="1:1">
      <c r="A911" s="31">
        <v>4402</v>
      </c>
    </row>
    <row r="912" spans="1:1">
      <c r="A912" s="31">
        <v>4406</v>
      </c>
    </row>
    <row r="913" spans="1:1">
      <c r="A913" s="31">
        <v>4414</v>
      </c>
    </row>
    <row r="914" spans="1:1">
      <c r="A914" s="31">
        <v>4415</v>
      </c>
    </row>
    <row r="915" spans="1:1">
      <c r="A915" s="31">
        <v>4416</v>
      </c>
    </row>
    <row r="916" spans="1:1">
      <c r="A916" s="31">
        <v>4417</v>
      </c>
    </row>
    <row r="917" spans="1:1">
      <c r="A917" s="31">
        <v>4419</v>
      </c>
    </row>
    <row r="918" spans="1:1">
      <c r="A918" s="31">
        <v>4420</v>
      </c>
    </row>
    <row r="919" spans="1:1">
      <c r="A919" s="31">
        <v>4426</v>
      </c>
    </row>
    <row r="920" spans="1:1">
      <c r="A920" s="31">
        <v>4429</v>
      </c>
    </row>
    <row r="921" spans="1:1">
      <c r="A921" s="31">
        <v>4430</v>
      </c>
    </row>
    <row r="922" spans="1:1">
      <c r="A922" s="31">
        <v>4432</v>
      </c>
    </row>
    <row r="923" spans="1:1">
      <c r="A923" s="31">
        <v>4433</v>
      </c>
    </row>
    <row r="924" spans="1:1">
      <c r="A924" s="31">
        <v>4502</v>
      </c>
    </row>
    <row r="925" spans="1:1">
      <c r="A925" s="31">
        <v>4503</v>
      </c>
    </row>
    <row r="926" spans="1:1">
      <c r="A926" s="31">
        <v>4506</v>
      </c>
    </row>
    <row r="927" spans="1:1">
      <c r="A927" s="31">
        <v>4510</v>
      </c>
    </row>
    <row r="928" spans="1:1">
      <c r="A928" s="31">
        <v>4513</v>
      </c>
    </row>
    <row r="929" spans="1:1">
      <c r="A929" s="31">
        <v>4523</v>
      </c>
    </row>
    <row r="930" spans="1:1">
      <c r="A930" s="31">
        <v>4526</v>
      </c>
    </row>
    <row r="931" spans="1:1">
      <c r="A931" s="31">
        <v>4527</v>
      </c>
    </row>
    <row r="932" spans="1:1">
      <c r="A932" s="31">
        <v>4528</v>
      </c>
    </row>
    <row r="933" spans="1:1">
      <c r="A933" s="31">
        <v>4529</v>
      </c>
    </row>
    <row r="934" spans="1:1">
      <c r="A934" s="31">
        <v>4530</v>
      </c>
    </row>
    <row r="935" spans="1:1">
      <c r="A935" s="31">
        <v>4532</v>
      </c>
    </row>
    <row r="936" spans="1:1">
      <c r="A936" s="31">
        <v>4533</v>
      </c>
    </row>
    <row r="937" spans="1:1">
      <c r="A937" s="31">
        <v>4534</v>
      </c>
    </row>
    <row r="938" spans="1:1">
      <c r="A938" s="31">
        <v>4535</v>
      </c>
    </row>
    <row r="939" spans="1:1">
      <c r="A939" s="31">
        <v>4536</v>
      </c>
    </row>
    <row r="940" spans="1:1">
      <c r="A940" s="31">
        <v>4541</v>
      </c>
    </row>
    <row r="941" spans="1:1">
      <c r="A941" s="31">
        <v>4542</v>
      </c>
    </row>
    <row r="942" spans="1:1">
      <c r="A942" s="31">
        <v>4549</v>
      </c>
    </row>
    <row r="943" spans="1:1">
      <c r="A943" s="31">
        <v>4550</v>
      </c>
    </row>
    <row r="944" spans="1:1">
      <c r="A944" s="31">
        <v>4609</v>
      </c>
    </row>
    <row r="945" spans="1:1">
      <c r="A945" s="31">
        <v>4702</v>
      </c>
    </row>
    <row r="946" spans="1:1">
      <c r="A946" s="31">
        <v>4703</v>
      </c>
    </row>
    <row r="947" spans="1:1">
      <c r="A947" s="31">
        <v>4706</v>
      </c>
    </row>
    <row r="948" spans="1:1">
      <c r="A948" s="31">
        <v>4707</v>
      </c>
    </row>
    <row r="949" spans="1:1">
      <c r="A949" s="31">
        <v>4711</v>
      </c>
    </row>
    <row r="950" spans="1:1">
      <c r="A950" s="31">
        <v>4712</v>
      </c>
    </row>
    <row r="951" spans="1:1">
      <c r="A951" s="31">
        <v>4714</v>
      </c>
    </row>
    <row r="952" spans="1:1">
      <c r="A952" s="31">
        <v>4716</v>
      </c>
    </row>
    <row r="953" spans="1:1">
      <c r="A953" s="31">
        <v>4720</v>
      </c>
    </row>
    <row r="954" spans="1:1">
      <c r="A954" s="31">
        <v>4721</v>
      </c>
    </row>
    <row r="955" spans="1:1">
      <c r="A955" s="31">
        <v>4722</v>
      </c>
    </row>
    <row r="956" spans="1:1">
      <c r="A956" s="31">
        <v>4725</v>
      </c>
    </row>
    <row r="957" spans="1:1">
      <c r="A957" s="31">
        <v>4726</v>
      </c>
    </row>
    <row r="958" spans="1:1">
      <c r="A958" s="31">
        <v>4728</v>
      </c>
    </row>
    <row r="959" spans="1:1">
      <c r="A959" s="31">
        <v>4729</v>
      </c>
    </row>
    <row r="960" spans="1:1">
      <c r="A960" s="31">
        <v>4733</v>
      </c>
    </row>
    <row r="961" spans="1:1">
      <c r="A961" s="31">
        <v>4735</v>
      </c>
    </row>
    <row r="962" spans="1:1">
      <c r="A962" s="31">
        <v>4736</v>
      </c>
    </row>
    <row r="963" spans="1:1">
      <c r="A963" s="31">
        <v>4737</v>
      </c>
    </row>
    <row r="964" spans="1:1">
      <c r="A964" s="31">
        <v>4739</v>
      </c>
    </row>
    <row r="965" spans="1:1">
      <c r="A965" s="31">
        <v>4743</v>
      </c>
    </row>
    <row r="966" spans="1:1">
      <c r="A966" s="31">
        <v>4745</v>
      </c>
    </row>
    <row r="967" spans="1:1">
      <c r="A967" s="31">
        <v>4746</v>
      </c>
    </row>
    <row r="968" spans="1:1">
      <c r="A968" s="31">
        <v>4747</v>
      </c>
    </row>
    <row r="969" spans="1:1">
      <c r="A969" s="31">
        <v>4755</v>
      </c>
    </row>
    <row r="970" spans="1:1">
      <c r="A970" s="31">
        <v>4903</v>
      </c>
    </row>
    <row r="971" spans="1:1">
      <c r="A971" s="31">
        <v>4904</v>
      </c>
    </row>
    <row r="972" spans="1:1">
      <c r="A972" s="31">
        <v>4905</v>
      </c>
    </row>
    <row r="973" spans="1:1">
      <c r="A973" s="31">
        <v>4906</v>
      </c>
    </row>
    <row r="974" spans="1:1">
      <c r="A974" s="31">
        <v>4908</v>
      </c>
    </row>
    <row r="975" spans="1:1">
      <c r="A975" s="31">
        <v>4909</v>
      </c>
    </row>
    <row r="976" spans="1:1">
      <c r="A976" s="31">
        <v>4911</v>
      </c>
    </row>
    <row r="977" spans="1:1">
      <c r="A977" s="31">
        <v>4912</v>
      </c>
    </row>
    <row r="978" spans="1:1">
      <c r="A978" s="31">
        <v>4915</v>
      </c>
    </row>
    <row r="979" spans="1:1">
      <c r="A979" s="31">
        <v>4916</v>
      </c>
    </row>
    <row r="980" spans="1:1">
      <c r="A980" s="31">
        <v>4919</v>
      </c>
    </row>
    <row r="981" spans="1:1">
      <c r="A981" s="31">
        <v>4924</v>
      </c>
    </row>
    <row r="982" spans="1:1">
      <c r="A982" s="31">
        <v>4927</v>
      </c>
    </row>
    <row r="983" spans="1:1">
      <c r="A983" s="31">
        <v>4930</v>
      </c>
    </row>
    <row r="984" spans="1:1">
      <c r="A984" s="31">
        <v>4933</v>
      </c>
    </row>
    <row r="985" spans="1:1">
      <c r="A985" s="31">
        <v>4934</v>
      </c>
    </row>
    <row r="986" spans="1:1">
      <c r="A986" s="31">
        <v>4935</v>
      </c>
    </row>
    <row r="987" spans="1:1">
      <c r="A987" s="31">
        <v>4938</v>
      </c>
    </row>
    <row r="988" spans="1:1">
      <c r="A988" s="31">
        <v>4939</v>
      </c>
    </row>
    <row r="989" spans="1:1">
      <c r="A989" s="31">
        <v>4942</v>
      </c>
    </row>
    <row r="990" spans="1:1">
      <c r="A990" s="31">
        <v>4944</v>
      </c>
    </row>
    <row r="991" spans="1:1">
      <c r="A991" s="31">
        <v>4946</v>
      </c>
    </row>
    <row r="992" spans="1:1">
      <c r="A992" s="31">
        <v>4947</v>
      </c>
    </row>
    <row r="993" spans="1:1">
      <c r="A993" s="31">
        <v>4950</v>
      </c>
    </row>
    <row r="994" spans="1:1">
      <c r="A994" s="31">
        <v>4952</v>
      </c>
    </row>
    <row r="995" spans="1:1">
      <c r="A995" s="31">
        <v>4953</v>
      </c>
    </row>
    <row r="996" spans="1:1">
      <c r="A996" s="31">
        <v>4956</v>
      </c>
    </row>
    <row r="997" spans="1:1">
      <c r="A997" s="31">
        <v>4958</v>
      </c>
    </row>
    <row r="998" spans="1:1">
      <c r="A998" s="31">
        <v>4960</v>
      </c>
    </row>
    <row r="999" spans="1:1">
      <c r="A999" s="31">
        <v>4965</v>
      </c>
    </row>
    <row r="1000" spans="1:1">
      <c r="A1000" s="31">
        <v>4966</v>
      </c>
    </row>
    <row r="1001" spans="1:1">
      <c r="A1001" s="31">
        <v>4971</v>
      </c>
    </row>
    <row r="1002" spans="1:1">
      <c r="A1002" s="31">
        <v>4972</v>
      </c>
    </row>
    <row r="1003" spans="1:1">
      <c r="A1003" s="31">
        <v>4973</v>
      </c>
    </row>
    <row r="1004" spans="1:1">
      <c r="A1004" s="31">
        <v>4974</v>
      </c>
    </row>
    <row r="1005" spans="1:1">
      <c r="A1005" s="31">
        <v>4976</v>
      </c>
    </row>
    <row r="1006" spans="1:1">
      <c r="A1006" s="31">
        <v>4977</v>
      </c>
    </row>
    <row r="1007" spans="1:1">
      <c r="A1007" s="31">
        <v>4979</v>
      </c>
    </row>
    <row r="1008" spans="1:1">
      <c r="A1008" s="31">
        <v>4984</v>
      </c>
    </row>
    <row r="1009" spans="1:1">
      <c r="A1009" s="31">
        <v>4987</v>
      </c>
    </row>
    <row r="1010" spans="1:1">
      <c r="A1010" s="31">
        <v>4991</v>
      </c>
    </row>
    <row r="1011" spans="1:1">
      <c r="A1011" s="31">
        <v>4994</v>
      </c>
    </row>
    <row r="1012" spans="1:1">
      <c r="A1012" s="31">
        <v>4995</v>
      </c>
    </row>
    <row r="1013" spans="1:1">
      <c r="A1013" s="31">
        <v>4999</v>
      </c>
    </row>
    <row r="1014" spans="1:1">
      <c r="A1014" s="31">
        <v>5007</v>
      </c>
    </row>
    <row r="1015" spans="1:1">
      <c r="A1015" s="31">
        <v>5009</v>
      </c>
    </row>
    <row r="1016" spans="1:1">
      <c r="A1016" s="31">
        <v>5011</v>
      </c>
    </row>
    <row r="1017" spans="1:1">
      <c r="A1017" s="31">
        <v>5013</v>
      </c>
    </row>
    <row r="1018" spans="1:1">
      <c r="A1018" s="31">
        <v>5014</v>
      </c>
    </row>
    <row r="1019" spans="1:1">
      <c r="A1019" s="31">
        <v>5015</v>
      </c>
    </row>
    <row r="1020" spans="1:1">
      <c r="A1020" s="31">
        <v>5016</v>
      </c>
    </row>
    <row r="1021" spans="1:1">
      <c r="A1021" s="31">
        <v>5102</v>
      </c>
    </row>
    <row r="1022" spans="1:1">
      <c r="A1022" s="31">
        <v>5201</v>
      </c>
    </row>
    <row r="1023" spans="1:1">
      <c r="A1023" s="31">
        <v>5202</v>
      </c>
    </row>
    <row r="1024" spans="1:1">
      <c r="A1024" s="31">
        <v>5203</v>
      </c>
    </row>
    <row r="1025" spans="1:1">
      <c r="A1025" s="31">
        <v>5205</v>
      </c>
    </row>
    <row r="1026" spans="1:1">
      <c r="A1026" s="31">
        <v>5206</v>
      </c>
    </row>
    <row r="1027" spans="1:1">
      <c r="A1027" s="31">
        <v>5209</v>
      </c>
    </row>
    <row r="1028" spans="1:1">
      <c r="A1028" s="31">
        <v>5210</v>
      </c>
    </row>
    <row r="1029" spans="1:1">
      <c r="A1029" s="31">
        <v>5211</v>
      </c>
    </row>
    <row r="1030" spans="1:1">
      <c r="A1030" s="31">
        <v>5212</v>
      </c>
    </row>
    <row r="1031" spans="1:1">
      <c r="A1031" s="31">
        <v>5213</v>
      </c>
    </row>
    <row r="1032" spans="1:1">
      <c r="A1032" s="31">
        <v>5215</v>
      </c>
    </row>
    <row r="1033" spans="1:1">
      <c r="A1033" s="31">
        <v>5225</v>
      </c>
    </row>
    <row r="1034" spans="1:1">
      <c r="A1034" s="31">
        <v>5227</v>
      </c>
    </row>
    <row r="1035" spans="1:1">
      <c r="A1035" s="31">
        <v>5230</v>
      </c>
    </row>
    <row r="1036" spans="1:1">
      <c r="A1036" s="31">
        <v>5234</v>
      </c>
    </row>
    <row r="1037" spans="1:1">
      <c r="A1037" s="31">
        <v>5243</v>
      </c>
    </row>
    <row r="1038" spans="1:1">
      <c r="A1038" s="31">
        <v>5251</v>
      </c>
    </row>
    <row r="1039" spans="1:1">
      <c r="A1039" s="31">
        <v>5259</v>
      </c>
    </row>
    <row r="1040" spans="1:1">
      <c r="A1040" s="31">
        <v>5263</v>
      </c>
    </row>
    <row r="1041" spans="1:1">
      <c r="A1041" s="31">
        <v>5264</v>
      </c>
    </row>
    <row r="1042" spans="1:1">
      <c r="A1042" s="31">
        <v>5266</v>
      </c>
    </row>
    <row r="1043" spans="1:1">
      <c r="A1043" s="31">
        <v>5269</v>
      </c>
    </row>
    <row r="1044" spans="1:1">
      <c r="A1044" s="31">
        <v>5272</v>
      </c>
    </row>
    <row r="1045" spans="1:1">
      <c r="A1045" s="31">
        <v>5274</v>
      </c>
    </row>
    <row r="1046" spans="1:1">
      <c r="A1046" s="31">
        <v>5276</v>
      </c>
    </row>
    <row r="1047" spans="1:1">
      <c r="A1047" s="31">
        <v>5278</v>
      </c>
    </row>
    <row r="1048" spans="1:1">
      <c r="A1048" s="31">
        <v>5284</v>
      </c>
    </row>
    <row r="1049" spans="1:1">
      <c r="A1049" s="31">
        <v>5285</v>
      </c>
    </row>
    <row r="1050" spans="1:1">
      <c r="A1050" s="31">
        <v>5287</v>
      </c>
    </row>
    <row r="1051" spans="1:1">
      <c r="A1051" s="31">
        <v>5288</v>
      </c>
    </row>
    <row r="1052" spans="1:1">
      <c r="A1052" s="31">
        <v>5289</v>
      </c>
    </row>
    <row r="1053" spans="1:1">
      <c r="A1053" s="31">
        <v>5291</v>
      </c>
    </row>
    <row r="1054" spans="1:1">
      <c r="A1054" s="31">
        <v>5301</v>
      </c>
    </row>
    <row r="1055" spans="1:1">
      <c r="A1055" s="31">
        <v>5302</v>
      </c>
    </row>
    <row r="1056" spans="1:1">
      <c r="A1056" s="31">
        <v>5304</v>
      </c>
    </row>
    <row r="1057" spans="1:1">
      <c r="A1057" s="31">
        <v>5305</v>
      </c>
    </row>
    <row r="1058" spans="1:1">
      <c r="A1058" s="31">
        <v>5306</v>
      </c>
    </row>
    <row r="1059" spans="1:1">
      <c r="A1059" s="31">
        <v>5309</v>
      </c>
    </row>
    <row r="1060" spans="1:1">
      <c r="A1060" s="31">
        <v>5310</v>
      </c>
    </row>
    <row r="1061" spans="1:1">
      <c r="A1061" s="31">
        <v>5312</v>
      </c>
    </row>
    <row r="1062" spans="1:1">
      <c r="A1062" s="31">
        <v>5314</v>
      </c>
    </row>
    <row r="1063" spans="1:1">
      <c r="A1063" s="31">
        <v>5315</v>
      </c>
    </row>
    <row r="1064" spans="1:1">
      <c r="A1064" s="31">
        <v>5317</v>
      </c>
    </row>
    <row r="1065" spans="1:1">
      <c r="A1065" s="31">
        <v>5321</v>
      </c>
    </row>
    <row r="1066" spans="1:1">
      <c r="A1066" s="31">
        <v>5324</v>
      </c>
    </row>
    <row r="1067" spans="1:1">
      <c r="A1067" s="31">
        <v>5328</v>
      </c>
    </row>
    <row r="1068" spans="1:1">
      <c r="A1068" s="31">
        <v>5340</v>
      </c>
    </row>
    <row r="1069" spans="1:1">
      <c r="A1069" s="31">
        <v>5344</v>
      </c>
    </row>
    <row r="1070" spans="1:1">
      <c r="A1070" s="31">
        <v>5345</v>
      </c>
    </row>
    <row r="1071" spans="1:1">
      <c r="A1071" s="31">
        <v>5347</v>
      </c>
    </row>
    <row r="1072" spans="1:1">
      <c r="A1072" s="31">
        <v>5348</v>
      </c>
    </row>
    <row r="1073" spans="1:1">
      <c r="A1073" s="31">
        <v>5349</v>
      </c>
    </row>
    <row r="1074" spans="1:1">
      <c r="A1074" s="31">
        <v>5351</v>
      </c>
    </row>
    <row r="1075" spans="1:1">
      <c r="A1075" s="31">
        <v>5353</v>
      </c>
    </row>
    <row r="1076" spans="1:1">
      <c r="A1076" s="31">
        <v>5355</v>
      </c>
    </row>
    <row r="1077" spans="1:1">
      <c r="A1077" s="31">
        <v>5356</v>
      </c>
    </row>
    <row r="1078" spans="1:1">
      <c r="A1078" s="31">
        <v>5364</v>
      </c>
    </row>
    <row r="1079" spans="1:1">
      <c r="A1079" s="31">
        <v>5371</v>
      </c>
    </row>
    <row r="1080" spans="1:1">
      <c r="A1080" s="31">
        <v>5381</v>
      </c>
    </row>
    <row r="1081" spans="1:1">
      <c r="A1081" s="31">
        <v>5383</v>
      </c>
    </row>
    <row r="1082" spans="1:1">
      <c r="A1082" s="31">
        <v>5384</v>
      </c>
    </row>
    <row r="1083" spans="1:1">
      <c r="A1083" s="31">
        <v>5386</v>
      </c>
    </row>
    <row r="1084" spans="1:1">
      <c r="A1084" s="31">
        <v>5388</v>
      </c>
    </row>
    <row r="1085" spans="1:1">
      <c r="A1085" s="31">
        <v>5392</v>
      </c>
    </row>
    <row r="1086" spans="1:1">
      <c r="A1086" s="31">
        <v>5395</v>
      </c>
    </row>
    <row r="1087" spans="1:1">
      <c r="A1087" s="31">
        <v>5398</v>
      </c>
    </row>
    <row r="1088" spans="1:1">
      <c r="A1088" s="31">
        <v>5403</v>
      </c>
    </row>
    <row r="1089" spans="1:1">
      <c r="A1089" s="31">
        <v>5410</v>
      </c>
    </row>
    <row r="1090" spans="1:1">
      <c r="A1090" s="31">
        <v>5425</v>
      </c>
    </row>
    <row r="1091" spans="1:1">
      <c r="A1091" s="31">
        <v>5426</v>
      </c>
    </row>
    <row r="1092" spans="1:1">
      <c r="A1092" s="31">
        <v>5432</v>
      </c>
    </row>
    <row r="1093" spans="1:1">
      <c r="A1093" s="31">
        <v>5434</v>
      </c>
    </row>
    <row r="1094" spans="1:1">
      <c r="A1094" s="31">
        <v>5438</v>
      </c>
    </row>
    <row r="1095" spans="1:1">
      <c r="A1095" s="31">
        <v>5439</v>
      </c>
    </row>
    <row r="1096" spans="1:1">
      <c r="A1096" s="31">
        <v>5443</v>
      </c>
    </row>
    <row r="1097" spans="1:1">
      <c r="A1097" s="31">
        <v>5450</v>
      </c>
    </row>
    <row r="1098" spans="1:1">
      <c r="A1098" s="31">
        <v>5452</v>
      </c>
    </row>
    <row r="1099" spans="1:1">
      <c r="A1099" s="31">
        <v>5455</v>
      </c>
    </row>
    <row r="1100" spans="1:1">
      <c r="A1100" s="31">
        <v>5457</v>
      </c>
    </row>
    <row r="1101" spans="1:1">
      <c r="A1101" s="31">
        <v>5460</v>
      </c>
    </row>
    <row r="1102" spans="1:1">
      <c r="A1102" s="31">
        <v>5464</v>
      </c>
    </row>
    <row r="1103" spans="1:1">
      <c r="A1103" s="31">
        <v>5465</v>
      </c>
    </row>
    <row r="1104" spans="1:1">
      <c r="A1104" s="31">
        <v>5466</v>
      </c>
    </row>
    <row r="1105" spans="1:1">
      <c r="A1105" s="31">
        <v>5468</v>
      </c>
    </row>
    <row r="1106" spans="1:1">
      <c r="A1106" s="31">
        <v>5469</v>
      </c>
    </row>
    <row r="1107" spans="1:1">
      <c r="A1107" s="31">
        <v>5471</v>
      </c>
    </row>
    <row r="1108" spans="1:1">
      <c r="A1108" s="31">
        <v>5474</v>
      </c>
    </row>
    <row r="1109" spans="1:1">
      <c r="A1109" s="31">
        <v>5475</v>
      </c>
    </row>
    <row r="1110" spans="1:1">
      <c r="A1110" s="31">
        <v>5478</v>
      </c>
    </row>
    <row r="1111" spans="1:1">
      <c r="A1111" s="31">
        <v>5480</v>
      </c>
    </row>
    <row r="1112" spans="1:1">
      <c r="A1112" s="31">
        <v>5481</v>
      </c>
    </row>
    <row r="1113" spans="1:1">
      <c r="A1113" s="31">
        <v>5483</v>
      </c>
    </row>
    <row r="1114" spans="1:1">
      <c r="A1114" s="31">
        <v>5484</v>
      </c>
    </row>
    <row r="1115" spans="1:1">
      <c r="A1115" s="31">
        <v>5487</v>
      </c>
    </row>
    <row r="1116" spans="1:1">
      <c r="A1116" s="31">
        <v>5488</v>
      </c>
    </row>
    <row r="1117" spans="1:1">
      <c r="A1117" s="31">
        <v>5489</v>
      </c>
    </row>
    <row r="1118" spans="1:1">
      <c r="A1118" s="31">
        <v>5490</v>
      </c>
    </row>
    <row r="1119" spans="1:1">
      <c r="A1119" s="31">
        <v>5491</v>
      </c>
    </row>
    <row r="1120" spans="1:1">
      <c r="A1120" s="31">
        <v>5493</v>
      </c>
    </row>
    <row r="1121" spans="1:1">
      <c r="A1121" s="31">
        <v>5498</v>
      </c>
    </row>
    <row r="1122" spans="1:1">
      <c r="A1122" s="31">
        <v>5505</v>
      </c>
    </row>
    <row r="1123" spans="1:1">
      <c r="A1123" s="31">
        <v>5508</v>
      </c>
    </row>
    <row r="1124" spans="1:1">
      <c r="A1124" s="31">
        <v>5511</v>
      </c>
    </row>
    <row r="1125" spans="1:1">
      <c r="A1125" s="31">
        <v>5512</v>
      </c>
    </row>
    <row r="1126" spans="1:1">
      <c r="A1126" s="31">
        <v>5514</v>
      </c>
    </row>
    <row r="1127" spans="1:1">
      <c r="A1127" s="31">
        <v>5515</v>
      </c>
    </row>
    <row r="1128" spans="1:1">
      <c r="A1128" s="31">
        <v>5516</v>
      </c>
    </row>
    <row r="1129" spans="1:1">
      <c r="A1129" s="31">
        <v>5519</v>
      </c>
    </row>
    <row r="1130" spans="1:1">
      <c r="A1130" s="31">
        <v>5520</v>
      </c>
    </row>
    <row r="1131" spans="1:1">
      <c r="A1131" s="31">
        <v>5521</v>
      </c>
    </row>
    <row r="1132" spans="1:1">
      <c r="A1132" s="31">
        <v>5522</v>
      </c>
    </row>
    <row r="1133" spans="1:1">
      <c r="A1133" s="31">
        <v>5523</v>
      </c>
    </row>
    <row r="1134" spans="1:1">
      <c r="A1134" s="31">
        <v>5525</v>
      </c>
    </row>
    <row r="1135" spans="1:1">
      <c r="A1135" s="31">
        <v>5529</v>
      </c>
    </row>
    <row r="1136" spans="1:1">
      <c r="A1136" s="31">
        <v>5530</v>
      </c>
    </row>
    <row r="1137" spans="1:1">
      <c r="A1137" s="31">
        <v>5531</v>
      </c>
    </row>
    <row r="1138" spans="1:1">
      <c r="A1138" s="31">
        <v>5533</v>
      </c>
    </row>
    <row r="1139" spans="1:1">
      <c r="A1139" s="31">
        <v>5534</v>
      </c>
    </row>
    <row r="1140" spans="1:1">
      <c r="A1140" s="31">
        <v>5536</v>
      </c>
    </row>
    <row r="1141" spans="1:1">
      <c r="A1141" s="31">
        <v>5538</v>
      </c>
    </row>
    <row r="1142" spans="1:1">
      <c r="A1142" s="31">
        <v>5601</v>
      </c>
    </row>
    <row r="1143" spans="1:1">
      <c r="A1143" s="31">
        <v>5603</v>
      </c>
    </row>
    <row r="1144" spans="1:1">
      <c r="A1144" s="31">
        <v>5604</v>
      </c>
    </row>
    <row r="1145" spans="1:1">
      <c r="A1145" s="31">
        <v>5607</v>
      </c>
    </row>
    <row r="1146" spans="1:1">
      <c r="A1146" s="31">
        <v>5608</v>
      </c>
    </row>
    <row r="1147" spans="1:1">
      <c r="A1147" s="31">
        <v>5609</v>
      </c>
    </row>
    <row r="1148" spans="1:1">
      <c r="A1148" s="31">
        <v>5701</v>
      </c>
    </row>
    <row r="1149" spans="1:1">
      <c r="A1149" s="31">
        <v>5703</v>
      </c>
    </row>
    <row r="1150" spans="1:1">
      <c r="A1150" s="31">
        <v>5704</v>
      </c>
    </row>
    <row r="1151" spans="1:1">
      <c r="A1151" s="31">
        <v>5706</v>
      </c>
    </row>
    <row r="1152" spans="1:1">
      <c r="A1152" s="31">
        <v>5820</v>
      </c>
    </row>
    <row r="1153" spans="1:1">
      <c r="A1153" s="31">
        <v>5871</v>
      </c>
    </row>
    <row r="1154" spans="1:1">
      <c r="A1154" s="31">
        <v>5878</v>
      </c>
    </row>
    <row r="1155" spans="1:1">
      <c r="A1155" s="31">
        <v>5880</v>
      </c>
    </row>
    <row r="1156" spans="1:1">
      <c r="A1156" s="31">
        <v>5902</v>
      </c>
    </row>
    <row r="1157" spans="1:1">
      <c r="A1157" s="31">
        <v>5903</v>
      </c>
    </row>
    <row r="1158" spans="1:1">
      <c r="A1158" s="31">
        <v>5904</v>
      </c>
    </row>
    <row r="1159" spans="1:1">
      <c r="A1159" s="31">
        <v>5905</v>
      </c>
    </row>
    <row r="1160" spans="1:1">
      <c r="A1160" s="31">
        <v>5906</v>
      </c>
    </row>
    <row r="1161" spans="1:1">
      <c r="A1161" s="31">
        <v>5907</v>
      </c>
    </row>
    <row r="1162" spans="1:1">
      <c r="A1162" s="31">
        <v>6005</v>
      </c>
    </row>
    <row r="1163" spans="1:1">
      <c r="A1163" s="31">
        <v>6015</v>
      </c>
    </row>
    <row r="1164" spans="1:1">
      <c r="A1164" s="31">
        <v>6016</v>
      </c>
    </row>
    <row r="1165" spans="1:1">
      <c r="A1165" s="31">
        <v>6020</v>
      </c>
    </row>
    <row r="1166" spans="1:1">
      <c r="A1166" s="31">
        <v>6021</v>
      </c>
    </row>
    <row r="1167" spans="1:1">
      <c r="A1167" s="31">
        <v>6022</v>
      </c>
    </row>
    <row r="1168" spans="1:1">
      <c r="A1168" s="31">
        <v>6023</v>
      </c>
    </row>
    <row r="1169" spans="1:1">
      <c r="A1169" s="31">
        <v>6024</v>
      </c>
    </row>
    <row r="1170" spans="1:1">
      <c r="A1170" s="31">
        <v>6101</v>
      </c>
    </row>
    <row r="1171" spans="1:1">
      <c r="A1171" s="31">
        <v>6103</v>
      </c>
    </row>
    <row r="1172" spans="1:1">
      <c r="A1172" s="31">
        <v>6104</v>
      </c>
    </row>
    <row r="1173" spans="1:1">
      <c r="A1173" s="31">
        <v>6105</v>
      </c>
    </row>
    <row r="1174" spans="1:1">
      <c r="A1174" s="31">
        <v>6107</v>
      </c>
    </row>
    <row r="1175" spans="1:1">
      <c r="A1175" s="31">
        <v>6108</v>
      </c>
    </row>
    <row r="1176" spans="1:1">
      <c r="A1176" s="31">
        <v>6109</v>
      </c>
    </row>
    <row r="1177" spans="1:1">
      <c r="A1177" s="31">
        <v>6111</v>
      </c>
    </row>
    <row r="1178" spans="1:1">
      <c r="A1178" s="31">
        <v>6112</v>
      </c>
    </row>
    <row r="1179" spans="1:1">
      <c r="A1179" s="31">
        <v>6113</v>
      </c>
    </row>
    <row r="1180" spans="1:1">
      <c r="A1180" s="31">
        <v>6114</v>
      </c>
    </row>
    <row r="1181" spans="1:1">
      <c r="A1181" s="31">
        <v>6115</v>
      </c>
    </row>
    <row r="1182" spans="1:1">
      <c r="A1182" s="31">
        <v>6116</v>
      </c>
    </row>
    <row r="1183" spans="1:1">
      <c r="A1183" s="31">
        <v>6117</v>
      </c>
    </row>
    <row r="1184" spans="1:1">
      <c r="A1184" s="31">
        <v>6118</v>
      </c>
    </row>
    <row r="1185" spans="1:1">
      <c r="A1185" s="31">
        <v>6120</v>
      </c>
    </row>
    <row r="1186" spans="1:1">
      <c r="A1186" s="31">
        <v>6121</v>
      </c>
    </row>
    <row r="1187" spans="1:1">
      <c r="A1187" s="31">
        <v>6122</v>
      </c>
    </row>
    <row r="1188" spans="1:1">
      <c r="A1188" s="31">
        <v>6123</v>
      </c>
    </row>
    <row r="1189" spans="1:1">
      <c r="A1189" s="31">
        <v>6124</v>
      </c>
    </row>
    <row r="1190" spans="1:1">
      <c r="A1190" s="31">
        <v>6125</v>
      </c>
    </row>
    <row r="1191" spans="1:1">
      <c r="A1191" s="31">
        <v>6126</v>
      </c>
    </row>
    <row r="1192" spans="1:1">
      <c r="A1192" s="31">
        <v>6127</v>
      </c>
    </row>
    <row r="1193" spans="1:1">
      <c r="A1193" s="31">
        <v>6128</v>
      </c>
    </row>
    <row r="1194" spans="1:1">
      <c r="A1194" s="31">
        <v>6129</v>
      </c>
    </row>
    <row r="1195" spans="1:1">
      <c r="A1195" s="31">
        <v>6130</v>
      </c>
    </row>
    <row r="1196" spans="1:1">
      <c r="A1196" s="31">
        <v>6131</v>
      </c>
    </row>
    <row r="1197" spans="1:1">
      <c r="A1197" s="31">
        <v>6133</v>
      </c>
    </row>
    <row r="1198" spans="1:1">
      <c r="A1198" s="31">
        <v>6134</v>
      </c>
    </row>
    <row r="1199" spans="1:1">
      <c r="A1199" s="31">
        <v>6135</v>
      </c>
    </row>
    <row r="1200" spans="1:1">
      <c r="A1200" s="31">
        <v>6136</v>
      </c>
    </row>
    <row r="1201" spans="1:1">
      <c r="A1201" s="31">
        <v>6138</v>
      </c>
    </row>
    <row r="1202" spans="1:1">
      <c r="A1202" s="31">
        <v>6139</v>
      </c>
    </row>
    <row r="1203" spans="1:1">
      <c r="A1203" s="31">
        <v>6140</v>
      </c>
    </row>
    <row r="1204" spans="1:1">
      <c r="A1204" s="31">
        <v>6141</v>
      </c>
    </row>
    <row r="1205" spans="1:1">
      <c r="A1205" s="31">
        <v>6142</v>
      </c>
    </row>
    <row r="1206" spans="1:1">
      <c r="A1206" s="31">
        <v>6143</v>
      </c>
    </row>
    <row r="1207" spans="1:1">
      <c r="A1207" s="31">
        <v>6144</v>
      </c>
    </row>
    <row r="1208" spans="1:1">
      <c r="A1208" s="31">
        <v>6145</v>
      </c>
    </row>
    <row r="1209" spans="1:1">
      <c r="A1209" s="31">
        <v>6146</v>
      </c>
    </row>
    <row r="1210" spans="1:1">
      <c r="A1210" s="31">
        <v>6147</v>
      </c>
    </row>
    <row r="1211" spans="1:1">
      <c r="A1211" s="31">
        <v>6148</v>
      </c>
    </row>
    <row r="1212" spans="1:1">
      <c r="A1212" s="31">
        <v>6150</v>
      </c>
    </row>
    <row r="1213" spans="1:1">
      <c r="A1213" s="31">
        <v>6151</v>
      </c>
    </row>
    <row r="1214" spans="1:1">
      <c r="A1214" s="31">
        <v>6152</v>
      </c>
    </row>
    <row r="1215" spans="1:1">
      <c r="A1215" s="31">
        <v>6153</v>
      </c>
    </row>
    <row r="1216" spans="1:1">
      <c r="A1216" s="31">
        <v>6154</v>
      </c>
    </row>
    <row r="1217" spans="1:1">
      <c r="A1217" s="31">
        <v>6155</v>
      </c>
    </row>
    <row r="1218" spans="1:1">
      <c r="A1218" s="31">
        <v>6156</v>
      </c>
    </row>
    <row r="1219" spans="1:1">
      <c r="A1219" s="31">
        <v>6158</v>
      </c>
    </row>
    <row r="1220" spans="1:1">
      <c r="A1220" s="31">
        <v>6160</v>
      </c>
    </row>
    <row r="1221" spans="1:1">
      <c r="A1221" s="31">
        <v>6161</v>
      </c>
    </row>
    <row r="1222" spans="1:1">
      <c r="A1222" s="31">
        <v>6163</v>
      </c>
    </row>
    <row r="1223" spans="1:1">
      <c r="A1223" s="31">
        <v>6164</v>
      </c>
    </row>
    <row r="1224" spans="1:1">
      <c r="A1224" s="31">
        <v>6165</v>
      </c>
    </row>
    <row r="1225" spans="1:1">
      <c r="A1225" s="31">
        <v>6166</v>
      </c>
    </row>
    <row r="1226" spans="1:1">
      <c r="A1226" s="31">
        <v>6167</v>
      </c>
    </row>
    <row r="1227" spans="1:1">
      <c r="A1227" s="31">
        <v>6168</v>
      </c>
    </row>
    <row r="1228" spans="1:1">
      <c r="A1228" s="31">
        <v>6169</v>
      </c>
    </row>
    <row r="1229" spans="1:1">
      <c r="A1229" s="31">
        <v>6170</v>
      </c>
    </row>
    <row r="1230" spans="1:1">
      <c r="A1230" s="31">
        <v>6171</v>
      </c>
    </row>
    <row r="1231" spans="1:1">
      <c r="A1231" s="31">
        <v>6172</v>
      </c>
    </row>
    <row r="1232" spans="1:1">
      <c r="A1232" s="31">
        <v>6173</v>
      </c>
    </row>
    <row r="1233" spans="1:1">
      <c r="A1233" s="31">
        <v>6174</v>
      </c>
    </row>
    <row r="1234" spans="1:1">
      <c r="A1234" s="31">
        <v>6175</v>
      </c>
    </row>
    <row r="1235" spans="1:1">
      <c r="A1235" s="31">
        <v>6176</v>
      </c>
    </row>
    <row r="1236" spans="1:1">
      <c r="A1236" s="31">
        <v>6177</v>
      </c>
    </row>
    <row r="1237" spans="1:1">
      <c r="A1237" s="31">
        <v>6179</v>
      </c>
    </row>
    <row r="1238" spans="1:1">
      <c r="A1238" s="31">
        <v>6180</v>
      </c>
    </row>
    <row r="1239" spans="1:1">
      <c r="A1239" s="31">
        <v>6182</v>
      </c>
    </row>
    <row r="1240" spans="1:1">
      <c r="A1240" s="31">
        <v>6183</v>
      </c>
    </row>
    <row r="1241" spans="1:1">
      <c r="A1241" s="31">
        <v>6184</v>
      </c>
    </row>
    <row r="1242" spans="1:1">
      <c r="A1242" s="31">
        <v>6185</v>
      </c>
    </row>
    <row r="1243" spans="1:1">
      <c r="A1243" s="31">
        <v>6186</v>
      </c>
    </row>
    <row r="1244" spans="1:1">
      <c r="A1244" s="31">
        <v>6187</v>
      </c>
    </row>
    <row r="1245" spans="1:1">
      <c r="A1245" s="31">
        <v>6188</v>
      </c>
    </row>
    <row r="1246" spans="1:1">
      <c r="A1246" s="31">
        <v>6189</v>
      </c>
    </row>
    <row r="1247" spans="1:1">
      <c r="A1247" s="31">
        <v>6190</v>
      </c>
    </row>
    <row r="1248" spans="1:1">
      <c r="A1248" s="31">
        <v>6191</v>
      </c>
    </row>
    <row r="1249" spans="1:1">
      <c r="A1249" s="31">
        <v>6192</v>
      </c>
    </row>
    <row r="1250" spans="1:1">
      <c r="A1250" s="31">
        <v>6194</v>
      </c>
    </row>
    <row r="1251" spans="1:1">
      <c r="A1251" s="31">
        <v>6195</v>
      </c>
    </row>
    <row r="1252" spans="1:1">
      <c r="A1252" s="31">
        <v>6196</v>
      </c>
    </row>
    <row r="1253" spans="1:1">
      <c r="A1253" s="31">
        <v>6197</v>
      </c>
    </row>
    <row r="1254" spans="1:1">
      <c r="A1254" s="31">
        <v>6198</v>
      </c>
    </row>
    <row r="1255" spans="1:1">
      <c r="A1255" s="31">
        <v>6199</v>
      </c>
    </row>
    <row r="1256" spans="1:1">
      <c r="A1256" s="31">
        <v>6201</v>
      </c>
    </row>
    <row r="1257" spans="1:1">
      <c r="A1257" s="31">
        <v>6202</v>
      </c>
    </row>
    <row r="1258" spans="1:1">
      <c r="A1258" s="31">
        <v>6203</v>
      </c>
    </row>
    <row r="1259" spans="1:1">
      <c r="A1259" s="31">
        <v>6204</v>
      </c>
    </row>
    <row r="1260" spans="1:1">
      <c r="A1260" s="31">
        <v>6205</v>
      </c>
    </row>
    <row r="1261" spans="1:1">
      <c r="A1261" s="31">
        <v>6206</v>
      </c>
    </row>
    <row r="1262" spans="1:1">
      <c r="A1262" s="31">
        <v>6207</v>
      </c>
    </row>
    <row r="1263" spans="1:1">
      <c r="A1263" s="31">
        <v>6208</v>
      </c>
    </row>
    <row r="1264" spans="1:1">
      <c r="A1264" s="31">
        <v>6209</v>
      </c>
    </row>
    <row r="1265" spans="1:1">
      <c r="A1265" s="31">
        <v>6210</v>
      </c>
    </row>
    <row r="1266" spans="1:1">
      <c r="A1266" s="31">
        <v>6211</v>
      </c>
    </row>
    <row r="1267" spans="1:1">
      <c r="A1267" s="31">
        <v>6212</v>
      </c>
    </row>
    <row r="1268" spans="1:1">
      <c r="A1268" s="31">
        <v>6213</v>
      </c>
    </row>
    <row r="1269" spans="1:1">
      <c r="A1269" s="31">
        <v>6214</v>
      </c>
    </row>
    <row r="1270" spans="1:1">
      <c r="A1270" s="31">
        <v>6215</v>
      </c>
    </row>
    <row r="1271" spans="1:1">
      <c r="A1271" s="31">
        <v>6216</v>
      </c>
    </row>
    <row r="1272" spans="1:1">
      <c r="A1272" s="31">
        <v>6217</v>
      </c>
    </row>
    <row r="1273" spans="1:1">
      <c r="A1273" s="31">
        <v>6218</v>
      </c>
    </row>
    <row r="1274" spans="1:1">
      <c r="A1274" s="31">
        <v>6219</v>
      </c>
    </row>
    <row r="1275" spans="1:1">
      <c r="A1275" s="31">
        <v>6220</v>
      </c>
    </row>
    <row r="1276" spans="1:1">
      <c r="A1276" s="31">
        <v>6221</v>
      </c>
    </row>
    <row r="1277" spans="1:1">
      <c r="A1277" s="31">
        <v>6222</v>
      </c>
    </row>
    <row r="1278" spans="1:1">
      <c r="A1278" s="31">
        <v>6223</v>
      </c>
    </row>
    <row r="1279" spans="1:1">
      <c r="A1279" s="31">
        <v>6224</v>
      </c>
    </row>
    <row r="1280" spans="1:1">
      <c r="A1280" s="31">
        <v>6225</v>
      </c>
    </row>
    <row r="1281" spans="1:1">
      <c r="A1281" s="31">
        <v>6226</v>
      </c>
    </row>
    <row r="1282" spans="1:1">
      <c r="A1282" s="31">
        <v>6227</v>
      </c>
    </row>
    <row r="1283" spans="1:1">
      <c r="A1283" s="31">
        <v>6228</v>
      </c>
    </row>
    <row r="1284" spans="1:1">
      <c r="A1284" s="31">
        <v>6229</v>
      </c>
    </row>
    <row r="1285" spans="1:1">
      <c r="A1285" s="31">
        <v>6230</v>
      </c>
    </row>
    <row r="1286" spans="1:1">
      <c r="A1286" s="31">
        <v>6231</v>
      </c>
    </row>
    <row r="1287" spans="1:1">
      <c r="A1287" s="31">
        <v>6233</v>
      </c>
    </row>
    <row r="1288" spans="1:1">
      <c r="A1288" s="31">
        <v>6234</v>
      </c>
    </row>
    <row r="1289" spans="1:1">
      <c r="A1289" s="31">
        <v>6235</v>
      </c>
    </row>
    <row r="1290" spans="1:1">
      <c r="A1290" s="31">
        <v>6236</v>
      </c>
    </row>
    <row r="1291" spans="1:1">
      <c r="A1291" s="31">
        <v>6237</v>
      </c>
    </row>
    <row r="1292" spans="1:1">
      <c r="A1292" s="31">
        <v>6238</v>
      </c>
    </row>
    <row r="1293" spans="1:1">
      <c r="A1293" s="31">
        <v>6239</v>
      </c>
    </row>
    <row r="1294" spans="1:1">
      <c r="A1294" s="31">
        <v>6240</v>
      </c>
    </row>
    <row r="1295" spans="1:1">
      <c r="A1295" s="31">
        <v>6241</v>
      </c>
    </row>
    <row r="1296" spans="1:1">
      <c r="A1296" s="31">
        <v>6243</v>
      </c>
    </row>
    <row r="1297" spans="1:1">
      <c r="A1297" s="31">
        <v>6244</v>
      </c>
    </row>
    <row r="1298" spans="1:1">
      <c r="A1298" s="31">
        <v>6245</v>
      </c>
    </row>
    <row r="1299" spans="1:1">
      <c r="A1299" s="31">
        <v>6246</v>
      </c>
    </row>
    <row r="1300" spans="1:1">
      <c r="A1300" s="31">
        <v>6247</v>
      </c>
    </row>
    <row r="1301" spans="1:1">
      <c r="A1301" s="31">
        <v>6248</v>
      </c>
    </row>
    <row r="1302" spans="1:1">
      <c r="A1302" s="31">
        <v>6250</v>
      </c>
    </row>
    <row r="1303" spans="1:1">
      <c r="A1303" s="31">
        <v>6251</v>
      </c>
    </row>
    <row r="1304" spans="1:1">
      <c r="A1304" s="31">
        <v>6257</v>
      </c>
    </row>
    <row r="1305" spans="1:1">
      <c r="A1305" s="31">
        <v>6259</v>
      </c>
    </row>
    <row r="1306" spans="1:1">
      <c r="A1306" s="31">
        <v>6261</v>
      </c>
    </row>
    <row r="1307" spans="1:1">
      <c r="A1307" s="31">
        <v>6263</v>
      </c>
    </row>
    <row r="1308" spans="1:1">
      <c r="A1308" s="31">
        <v>6264</v>
      </c>
    </row>
    <row r="1309" spans="1:1">
      <c r="A1309" s="31">
        <v>6265</v>
      </c>
    </row>
    <row r="1310" spans="1:1">
      <c r="A1310" s="31">
        <v>6266</v>
      </c>
    </row>
    <row r="1311" spans="1:1">
      <c r="A1311" s="31">
        <v>6269</v>
      </c>
    </row>
    <row r="1312" spans="1:1">
      <c r="A1312" s="31">
        <v>6270</v>
      </c>
    </row>
    <row r="1313" spans="1:1">
      <c r="A1313" s="31">
        <v>6271</v>
      </c>
    </row>
    <row r="1314" spans="1:1">
      <c r="A1314" s="31">
        <v>6274</v>
      </c>
    </row>
    <row r="1315" spans="1:1">
      <c r="A1315" s="31">
        <v>6275</v>
      </c>
    </row>
    <row r="1316" spans="1:1">
      <c r="A1316" s="31">
        <v>6276</v>
      </c>
    </row>
    <row r="1317" spans="1:1">
      <c r="A1317" s="31">
        <v>6277</v>
      </c>
    </row>
    <row r="1318" spans="1:1">
      <c r="A1318" s="31">
        <v>6278</v>
      </c>
    </row>
    <row r="1319" spans="1:1">
      <c r="A1319" s="31">
        <v>6279</v>
      </c>
    </row>
    <row r="1320" spans="1:1">
      <c r="A1320" s="31">
        <v>6281</v>
      </c>
    </row>
    <row r="1321" spans="1:1">
      <c r="A1321" s="31">
        <v>6282</v>
      </c>
    </row>
    <row r="1322" spans="1:1">
      <c r="A1322" s="31">
        <v>6283</v>
      </c>
    </row>
    <row r="1323" spans="1:1">
      <c r="A1323" s="31">
        <v>6284</v>
      </c>
    </row>
    <row r="1324" spans="1:1">
      <c r="A1324" s="31">
        <v>6285</v>
      </c>
    </row>
    <row r="1325" spans="1:1">
      <c r="A1325" s="31">
        <v>6286</v>
      </c>
    </row>
    <row r="1326" spans="1:1">
      <c r="A1326" s="31">
        <v>6287</v>
      </c>
    </row>
    <row r="1327" spans="1:1">
      <c r="A1327" s="31">
        <v>6289</v>
      </c>
    </row>
    <row r="1328" spans="1:1">
      <c r="A1328" s="31">
        <v>6290</v>
      </c>
    </row>
    <row r="1329" spans="1:1">
      <c r="A1329" s="31">
        <v>6291</v>
      </c>
    </row>
    <row r="1330" spans="1:1">
      <c r="A1330" s="31">
        <v>6292</v>
      </c>
    </row>
    <row r="1331" spans="1:1">
      <c r="A1331" s="31">
        <v>6294</v>
      </c>
    </row>
    <row r="1332" spans="1:1">
      <c r="A1332" s="31">
        <v>6298</v>
      </c>
    </row>
    <row r="1333" spans="1:1">
      <c r="A1333" s="31">
        <v>6404</v>
      </c>
    </row>
    <row r="1334" spans="1:1">
      <c r="A1334" s="31">
        <v>6405</v>
      </c>
    </row>
    <row r="1335" spans="1:1">
      <c r="A1335" s="31">
        <v>6409</v>
      </c>
    </row>
    <row r="1336" spans="1:1">
      <c r="A1336" s="31">
        <v>6411</v>
      </c>
    </row>
    <row r="1337" spans="1:1">
      <c r="A1337" s="31">
        <v>6412</v>
      </c>
    </row>
    <row r="1338" spans="1:1">
      <c r="A1338" s="31">
        <v>6414</v>
      </c>
    </row>
    <row r="1339" spans="1:1">
      <c r="A1339" s="31">
        <v>6415</v>
      </c>
    </row>
    <row r="1340" spans="1:1">
      <c r="A1340" s="31">
        <v>6419</v>
      </c>
    </row>
    <row r="1341" spans="1:1">
      <c r="A1341" s="31">
        <v>6422</v>
      </c>
    </row>
    <row r="1342" spans="1:1">
      <c r="A1342" s="31">
        <v>6426</v>
      </c>
    </row>
    <row r="1343" spans="1:1">
      <c r="A1343" s="31">
        <v>6431</v>
      </c>
    </row>
    <row r="1344" spans="1:1">
      <c r="A1344" s="31">
        <v>6449</v>
      </c>
    </row>
    <row r="1345" spans="1:1">
      <c r="A1345" s="31">
        <v>6451</v>
      </c>
    </row>
    <row r="1346" spans="1:1">
      <c r="A1346" s="31">
        <v>6452</v>
      </c>
    </row>
    <row r="1347" spans="1:1">
      <c r="A1347" s="31">
        <v>6504</v>
      </c>
    </row>
    <row r="1348" spans="1:1">
      <c r="A1348" s="31">
        <v>6505</v>
      </c>
    </row>
    <row r="1349" spans="1:1">
      <c r="A1349" s="31">
        <v>6506</v>
      </c>
    </row>
    <row r="1350" spans="1:1">
      <c r="A1350" s="31">
        <v>6508</v>
      </c>
    </row>
    <row r="1351" spans="1:1">
      <c r="A1351" s="31">
        <v>6509</v>
      </c>
    </row>
    <row r="1352" spans="1:1">
      <c r="A1352" s="31">
        <v>6603</v>
      </c>
    </row>
    <row r="1353" spans="1:1">
      <c r="A1353" s="31">
        <v>6605</v>
      </c>
    </row>
    <row r="1354" spans="1:1">
      <c r="A1354" s="31">
        <v>6609</v>
      </c>
    </row>
    <row r="1355" spans="1:1">
      <c r="A1355" s="31">
        <v>6702</v>
      </c>
    </row>
    <row r="1356" spans="1:1">
      <c r="A1356" s="31">
        <v>6803</v>
      </c>
    </row>
    <row r="1357" spans="1:1">
      <c r="A1357" s="31">
        <v>8011</v>
      </c>
    </row>
    <row r="1358" spans="1:1">
      <c r="A1358" s="31">
        <v>8016</v>
      </c>
    </row>
    <row r="1359" spans="1:1">
      <c r="A1359" s="31">
        <v>8021</v>
      </c>
    </row>
    <row r="1360" spans="1:1">
      <c r="A1360" s="31">
        <v>8024</v>
      </c>
    </row>
    <row r="1361" spans="1:1">
      <c r="A1361" s="31">
        <v>8032</v>
      </c>
    </row>
    <row r="1362" spans="1:1">
      <c r="A1362" s="31">
        <v>8033</v>
      </c>
    </row>
    <row r="1363" spans="1:1">
      <c r="A1363" s="31">
        <v>8034</v>
      </c>
    </row>
    <row r="1364" spans="1:1">
      <c r="A1364" s="31">
        <v>8038</v>
      </c>
    </row>
    <row r="1365" spans="1:1">
      <c r="A1365" s="31">
        <v>8039</v>
      </c>
    </row>
    <row r="1366" spans="1:1">
      <c r="A1366" s="31">
        <v>8040</v>
      </c>
    </row>
    <row r="1367" spans="1:1">
      <c r="A1367" s="31">
        <v>8042</v>
      </c>
    </row>
    <row r="1368" spans="1:1">
      <c r="A1368" s="31">
        <v>8043</v>
      </c>
    </row>
    <row r="1369" spans="1:1">
      <c r="A1369" s="31">
        <v>8044</v>
      </c>
    </row>
    <row r="1370" spans="1:1">
      <c r="A1370" s="31">
        <v>8046</v>
      </c>
    </row>
    <row r="1371" spans="1:1">
      <c r="A1371" s="31">
        <v>8047</v>
      </c>
    </row>
    <row r="1372" spans="1:1">
      <c r="A1372" s="31">
        <v>8048</v>
      </c>
    </row>
    <row r="1373" spans="1:1">
      <c r="A1373" s="31">
        <v>8049</v>
      </c>
    </row>
    <row r="1374" spans="1:1">
      <c r="A1374" s="31">
        <v>8050</v>
      </c>
    </row>
    <row r="1375" spans="1:1">
      <c r="A1375" s="31">
        <v>8053</v>
      </c>
    </row>
    <row r="1376" spans="1:1">
      <c r="A1376" s="31">
        <v>8054</v>
      </c>
    </row>
    <row r="1377" spans="1:1">
      <c r="A1377" s="31">
        <v>8059</v>
      </c>
    </row>
    <row r="1378" spans="1:1">
      <c r="A1378" s="31">
        <v>8064</v>
      </c>
    </row>
    <row r="1379" spans="1:1">
      <c r="A1379" s="31">
        <v>8066</v>
      </c>
    </row>
    <row r="1380" spans="1:1">
      <c r="A1380" s="31">
        <v>8067</v>
      </c>
    </row>
    <row r="1381" spans="1:1">
      <c r="A1381" s="31">
        <v>8068</v>
      </c>
    </row>
    <row r="1382" spans="1:1">
      <c r="A1382" s="31">
        <v>8069</v>
      </c>
    </row>
    <row r="1383" spans="1:1">
      <c r="A1383" s="31">
        <v>8070</v>
      </c>
    </row>
    <row r="1384" spans="1:1">
      <c r="A1384" s="31">
        <v>8071</v>
      </c>
    </row>
    <row r="1385" spans="1:1">
      <c r="A1385" s="31">
        <v>8072</v>
      </c>
    </row>
    <row r="1386" spans="1:1">
      <c r="A1386" s="31">
        <v>8074</v>
      </c>
    </row>
    <row r="1387" spans="1:1">
      <c r="A1387" s="31">
        <v>8076</v>
      </c>
    </row>
    <row r="1388" spans="1:1">
      <c r="A1388" s="31">
        <v>8077</v>
      </c>
    </row>
    <row r="1389" spans="1:1">
      <c r="A1389" s="31">
        <v>8079</v>
      </c>
    </row>
    <row r="1390" spans="1:1">
      <c r="A1390" s="31">
        <v>8080</v>
      </c>
    </row>
    <row r="1391" spans="1:1">
      <c r="A1391" s="31">
        <v>8081</v>
      </c>
    </row>
    <row r="1392" spans="1:1">
      <c r="A1392" s="31">
        <v>8082</v>
      </c>
    </row>
    <row r="1393" spans="1:1">
      <c r="A1393" s="31">
        <v>8083</v>
      </c>
    </row>
    <row r="1394" spans="1:1">
      <c r="A1394" s="31">
        <v>8084</v>
      </c>
    </row>
    <row r="1395" spans="1:1">
      <c r="A1395" s="31">
        <v>8085</v>
      </c>
    </row>
    <row r="1396" spans="1:1">
      <c r="A1396" s="31">
        <v>8086</v>
      </c>
    </row>
    <row r="1397" spans="1:1">
      <c r="A1397" s="31">
        <v>8087</v>
      </c>
    </row>
    <row r="1398" spans="1:1">
      <c r="A1398" s="31">
        <v>8088</v>
      </c>
    </row>
    <row r="1399" spans="1:1">
      <c r="A1399" s="31">
        <v>8091</v>
      </c>
    </row>
    <row r="1400" spans="1:1">
      <c r="A1400" s="31">
        <v>8092</v>
      </c>
    </row>
    <row r="1401" spans="1:1">
      <c r="A1401" s="31">
        <v>8093</v>
      </c>
    </row>
    <row r="1402" spans="1:1">
      <c r="A1402" s="31">
        <v>8096</v>
      </c>
    </row>
    <row r="1403" spans="1:1">
      <c r="A1403" s="31">
        <v>8097</v>
      </c>
    </row>
    <row r="1404" spans="1:1">
      <c r="A1404" s="31">
        <v>8099</v>
      </c>
    </row>
    <row r="1405" spans="1:1">
      <c r="A1405" s="31">
        <v>8101</v>
      </c>
    </row>
    <row r="1406" spans="1:1">
      <c r="A1406" s="31">
        <v>8103</v>
      </c>
    </row>
    <row r="1407" spans="1:1">
      <c r="A1407" s="31">
        <v>8105</v>
      </c>
    </row>
    <row r="1408" spans="1:1">
      <c r="A1408" s="31">
        <v>8107</v>
      </c>
    </row>
    <row r="1409" spans="1:1">
      <c r="A1409" s="31">
        <v>8109</v>
      </c>
    </row>
    <row r="1410" spans="1:1">
      <c r="A1410" s="31">
        <v>8110</v>
      </c>
    </row>
    <row r="1411" spans="1:1">
      <c r="A1411" s="31">
        <v>8111</v>
      </c>
    </row>
    <row r="1412" spans="1:1">
      <c r="A1412" s="31">
        <v>8112</v>
      </c>
    </row>
    <row r="1413" spans="1:1">
      <c r="A1413" s="31">
        <v>8114</v>
      </c>
    </row>
    <row r="1414" spans="1:1">
      <c r="A1414" s="31">
        <v>8121</v>
      </c>
    </row>
    <row r="1415" spans="1:1">
      <c r="A1415" s="31">
        <v>8131</v>
      </c>
    </row>
    <row r="1416" spans="1:1">
      <c r="A1416" s="31">
        <v>8147</v>
      </c>
    </row>
    <row r="1417" spans="1:1">
      <c r="A1417" s="31">
        <v>8150</v>
      </c>
    </row>
    <row r="1418" spans="1:1">
      <c r="A1418" s="31">
        <v>8155</v>
      </c>
    </row>
    <row r="1419" spans="1:1">
      <c r="A1419" s="31">
        <v>8163</v>
      </c>
    </row>
    <row r="1420" spans="1:1">
      <c r="A1420" s="31">
        <v>8171</v>
      </c>
    </row>
    <row r="1421" spans="1:1">
      <c r="A1421" s="31">
        <v>8176</v>
      </c>
    </row>
    <row r="1422" spans="1:1">
      <c r="A1422" s="31">
        <v>8182</v>
      </c>
    </row>
    <row r="1423" spans="1:1">
      <c r="A1423" s="31">
        <v>8183</v>
      </c>
    </row>
    <row r="1424" spans="1:1">
      <c r="A1424" s="31">
        <v>8201</v>
      </c>
    </row>
    <row r="1425" spans="1:1">
      <c r="A1425" s="31">
        <v>8210</v>
      </c>
    </row>
    <row r="1426" spans="1:1">
      <c r="A1426" s="31">
        <v>8213</v>
      </c>
    </row>
    <row r="1427" spans="1:1">
      <c r="A1427" s="31">
        <v>8215</v>
      </c>
    </row>
    <row r="1428" spans="1:1">
      <c r="A1428" s="31">
        <v>8222</v>
      </c>
    </row>
    <row r="1429" spans="1:1">
      <c r="A1429" s="31">
        <v>8234</v>
      </c>
    </row>
    <row r="1430" spans="1:1">
      <c r="A1430" s="31">
        <v>8240</v>
      </c>
    </row>
    <row r="1431" spans="1:1">
      <c r="A1431" s="31">
        <v>8249</v>
      </c>
    </row>
    <row r="1432" spans="1:1">
      <c r="A1432" s="31">
        <v>8255</v>
      </c>
    </row>
    <row r="1433" spans="1:1">
      <c r="A1433" s="31">
        <v>8261</v>
      </c>
    </row>
    <row r="1434" spans="1:1">
      <c r="A1434" s="31">
        <v>8266</v>
      </c>
    </row>
    <row r="1435" spans="1:1">
      <c r="A1435" s="31">
        <v>8271</v>
      </c>
    </row>
    <row r="1436" spans="1:1">
      <c r="A1436" s="31">
        <v>8277</v>
      </c>
    </row>
    <row r="1437" spans="1:1">
      <c r="A1437" s="31">
        <v>8287</v>
      </c>
    </row>
    <row r="1438" spans="1:1">
      <c r="A1438" s="31">
        <v>8289</v>
      </c>
    </row>
    <row r="1439" spans="1:1">
      <c r="A1439" s="31">
        <v>8291</v>
      </c>
    </row>
    <row r="1440" spans="1:1">
      <c r="A1440" s="31">
        <v>8299</v>
      </c>
    </row>
    <row r="1441" spans="1:1">
      <c r="A1441" s="31">
        <v>8341</v>
      </c>
    </row>
    <row r="1442" spans="1:1">
      <c r="A1442" s="31">
        <v>8349</v>
      </c>
    </row>
    <row r="1443" spans="1:1">
      <c r="A1443" s="31">
        <v>8354</v>
      </c>
    </row>
    <row r="1444" spans="1:1">
      <c r="A1444" s="31">
        <v>8358</v>
      </c>
    </row>
    <row r="1445" spans="1:1">
      <c r="A1445" s="31">
        <v>8374</v>
      </c>
    </row>
    <row r="1446" spans="1:1">
      <c r="A1446" s="31">
        <v>8383</v>
      </c>
    </row>
    <row r="1447" spans="1:1">
      <c r="A1447" s="31">
        <v>8390</v>
      </c>
    </row>
    <row r="1448" spans="1:1">
      <c r="A1448" s="31">
        <v>8401</v>
      </c>
    </row>
    <row r="1449" spans="1:1">
      <c r="A1449" s="31">
        <v>8403</v>
      </c>
    </row>
    <row r="1450" spans="1:1">
      <c r="A1450" s="31">
        <v>8404</v>
      </c>
    </row>
    <row r="1451" spans="1:1">
      <c r="A1451" s="31">
        <v>8406</v>
      </c>
    </row>
    <row r="1452" spans="1:1">
      <c r="A1452" s="31">
        <v>8409</v>
      </c>
    </row>
    <row r="1453" spans="1:1">
      <c r="A1453" s="31">
        <v>8410</v>
      </c>
    </row>
    <row r="1454" spans="1:1">
      <c r="A1454" s="31">
        <v>8411</v>
      </c>
    </row>
    <row r="1455" spans="1:1">
      <c r="A1455" s="31">
        <v>8416</v>
      </c>
    </row>
    <row r="1456" spans="1:1">
      <c r="A1456" s="31">
        <v>8418</v>
      </c>
    </row>
    <row r="1457" spans="1:1">
      <c r="A1457" s="31">
        <v>8420</v>
      </c>
    </row>
    <row r="1458" spans="1:1">
      <c r="A1458" s="31">
        <v>8421</v>
      </c>
    </row>
    <row r="1459" spans="1:1">
      <c r="A1459" s="31">
        <v>8422</v>
      </c>
    </row>
    <row r="1460" spans="1:1">
      <c r="A1460" s="31">
        <v>8423</v>
      </c>
    </row>
    <row r="1461" spans="1:1">
      <c r="A1461" s="31">
        <v>8424</v>
      </c>
    </row>
    <row r="1462" spans="1:1">
      <c r="A1462" s="31">
        <v>8426</v>
      </c>
    </row>
    <row r="1463" spans="1:1">
      <c r="A1463" s="31">
        <v>8427</v>
      </c>
    </row>
    <row r="1464" spans="1:1">
      <c r="A1464" s="31">
        <v>8429</v>
      </c>
    </row>
    <row r="1465" spans="1:1">
      <c r="A1465" s="31">
        <v>8431</v>
      </c>
    </row>
    <row r="1466" spans="1:1">
      <c r="A1466" s="31">
        <v>8432</v>
      </c>
    </row>
    <row r="1467" spans="1:1">
      <c r="A1467" s="31">
        <v>8433</v>
      </c>
    </row>
    <row r="1468" spans="1:1">
      <c r="A1468" s="31">
        <v>8435</v>
      </c>
    </row>
    <row r="1469" spans="1:1">
      <c r="A1469" s="31">
        <v>8436</v>
      </c>
    </row>
    <row r="1470" spans="1:1">
      <c r="A1470" s="31">
        <v>8443</v>
      </c>
    </row>
    <row r="1471" spans="1:1">
      <c r="A1471" s="31">
        <v>8446</v>
      </c>
    </row>
    <row r="1472" spans="1:1">
      <c r="A1472" s="31">
        <v>8450</v>
      </c>
    </row>
    <row r="1473" spans="1:1">
      <c r="A1473" s="31">
        <v>8454</v>
      </c>
    </row>
    <row r="1474" spans="1:1">
      <c r="A1474" s="31">
        <v>8905</v>
      </c>
    </row>
    <row r="1475" spans="1:1">
      <c r="A1475" s="31">
        <v>8906</v>
      </c>
    </row>
    <row r="1476" spans="1:1">
      <c r="A1476" s="31">
        <v>8908</v>
      </c>
    </row>
    <row r="1477" spans="1:1">
      <c r="A1477" s="31">
        <v>8913</v>
      </c>
    </row>
    <row r="1478" spans="1:1">
      <c r="A1478" s="31">
        <v>8916</v>
      </c>
    </row>
    <row r="1479" spans="1:1">
      <c r="A1479" s="31">
        <v>8917</v>
      </c>
    </row>
    <row r="1480" spans="1:1">
      <c r="A1480" s="31">
        <v>8921</v>
      </c>
    </row>
    <row r="1481" spans="1:1">
      <c r="A1481" s="31">
        <v>8923</v>
      </c>
    </row>
    <row r="1482" spans="1:1">
      <c r="A1482" s="31">
        <v>8924</v>
      </c>
    </row>
    <row r="1483" spans="1:1">
      <c r="A1483" s="31">
        <v>8925</v>
      </c>
    </row>
    <row r="1484" spans="1:1">
      <c r="A1484" s="31">
        <v>8926</v>
      </c>
    </row>
    <row r="1485" spans="1:1">
      <c r="A1485" s="31">
        <v>8927</v>
      </c>
    </row>
    <row r="1486" spans="1:1">
      <c r="A1486" s="31">
        <v>8928</v>
      </c>
    </row>
    <row r="1487" spans="1:1">
      <c r="A1487" s="31">
        <v>8929</v>
      </c>
    </row>
    <row r="1488" spans="1:1">
      <c r="A1488" s="31">
        <v>8930</v>
      </c>
    </row>
    <row r="1489" spans="1:1">
      <c r="A1489" s="31">
        <v>8931</v>
      </c>
    </row>
    <row r="1490" spans="1:1">
      <c r="A1490" s="31">
        <v>8932</v>
      </c>
    </row>
    <row r="1491" spans="1:1">
      <c r="A1491" s="31">
        <v>8933</v>
      </c>
    </row>
    <row r="1492" spans="1:1">
      <c r="A1492" s="31">
        <v>8934</v>
      </c>
    </row>
    <row r="1493" spans="1:1">
      <c r="A1493" s="31">
        <v>8935</v>
      </c>
    </row>
    <row r="1494" spans="1:1">
      <c r="A1494" s="31">
        <v>8936</v>
      </c>
    </row>
    <row r="1495" spans="1:1">
      <c r="A1495" s="31">
        <v>8937</v>
      </c>
    </row>
    <row r="1496" spans="1:1">
      <c r="A1496" s="31">
        <v>8938</v>
      </c>
    </row>
    <row r="1497" spans="1:1">
      <c r="A1497" s="31">
        <v>8940</v>
      </c>
    </row>
    <row r="1498" spans="1:1">
      <c r="A1498" s="31">
        <v>8941</v>
      </c>
    </row>
    <row r="1499" spans="1:1">
      <c r="A1499" s="31">
        <v>8942</v>
      </c>
    </row>
    <row r="1500" spans="1:1">
      <c r="A1500" s="31">
        <v>8996</v>
      </c>
    </row>
    <row r="1501" spans="1:1">
      <c r="A1501" s="31">
        <v>9802</v>
      </c>
    </row>
    <row r="1502" spans="1:1">
      <c r="A1502" s="31">
        <v>9902</v>
      </c>
    </row>
    <row r="1503" spans="1:1">
      <c r="A1503" s="31">
        <v>9904</v>
      </c>
    </row>
    <row r="1504" spans="1:1">
      <c r="A1504" s="31">
        <v>9905</v>
      </c>
    </row>
    <row r="1505" spans="1:1">
      <c r="A1505" s="31">
        <v>9906</v>
      </c>
    </row>
    <row r="1506" spans="1:1">
      <c r="A1506" s="31">
        <v>9907</v>
      </c>
    </row>
    <row r="1507" spans="1:1">
      <c r="A1507" s="31">
        <v>9908</v>
      </c>
    </row>
    <row r="1508" spans="1:1">
      <c r="A1508" s="31">
        <v>9910</v>
      </c>
    </row>
    <row r="1509" spans="1:1">
      <c r="A1509" s="31">
        <v>9911</v>
      </c>
    </row>
    <row r="1510" spans="1:1">
      <c r="A1510" s="31">
        <v>9912</v>
      </c>
    </row>
    <row r="1511" spans="1:1">
      <c r="A1511" s="31">
        <v>9914</v>
      </c>
    </row>
    <row r="1512" spans="1:1">
      <c r="A1512" s="31">
        <v>9917</v>
      </c>
    </row>
    <row r="1513" spans="1:1">
      <c r="A1513" s="31">
        <v>9918</v>
      </c>
    </row>
    <row r="1514" spans="1:1">
      <c r="A1514" s="31">
        <v>9919</v>
      </c>
    </row>
    <row r="1515" spans="1:1">
      <c r="A1515" s="31">
        <v>9921</v>
      </c>
    </row>
    <row r="1516" spans="1:1">
      <c r="A1516" s="31">
        <v>9924</v>
      </c>
    </row>
    <row r="1517" spans="1:1">
      <c r="A1517" s="31">
        <v>9925</v>
      </c>
    </row>
    <row r="1518" spans="1:1">
      <c r="A1518" s="31">
        <v>9926</v>
      </c>
    </row>
    <row r="1519" spans="1:1">
      <c r="A1519" s="31">
        <v>9927</v>
      </c>
    </row>
    <row r="1520" spans="1:1">
      <c r="A1520" s="31">
        <v>9928</v>
      </c>
    </row>
    <row r="1521" spans="1:1">
      <c r="A1521" s="31">
        <v>9929</v>
      </c>
    </row>
    <row r="1522" spans="1:1">
      <c r="A1522" s="31">
        <v>9930</v>
      </c>
    </row>
    <row r="1523" spans="1:1">
      <c r="A1523" s="31">
        <v>9931</v>
      </c>
    </row>
    <row r="1524" spans="1:1">
      <c r="A1524" s="31">
        <v>9933</v>
      </c>
    </row>
    <row r="1525" spans="1:1">
      <c r="A1525" s="31">
        <v>9934</v>
      </c>
    </row>
    <row r="1526" spans="1:1">
      <c r="A1526" s="31">
        <v>9935</v>
      </c>
    </row>
    <row r="1527" spans="1:1">
      <c r="A1527" s="31">
        <v>9937</v>
      </c>
    </row>
    <row r="1528" spans="1:1">
      <c r="A1528" s="31">
        <v>9938</v>
      </c>
    </row>
    <row r="1529" spans="1:1">
      <c r="A1529" s="31">
        <v>9939</v>
      </c>
    </row>
    <row r="1530" spans="1:1">
      <c r="A1530" s="31">
        <v>9940</v>
      </c>
    </row>
    <row r="1531" spans="1:1">
      <c r="A1531" s="31">
        <v>9941</v>
      </c>
    </row>
    <row r="1532" spans="1:1">
      <c r="A1532" s="31">
        <v>9942</v>
      </c>
    </row>
    <row r="1533" spans="1:1">
      <c r="A1533" s="31">
        <v>9943</v>
      </c>
    </row>
    <row r="1534" spans="1:1">
      <c r="A1534" s="31">
        <v>9944</v>
      </c>
    </row>
    <row r="1535" spans="1:1">
      <c r="A1535" s="31">
        <v>9945</v>
      </c>
    </row>
    <row r="1536" spans="1:1">
      <c r="A1536" s="31">
        <v>9946</v>
      </c>
    </row>
    <row r="1537" spans="1:1">
      <c r="A1537" s="31">
        <v>9949</v>
      </c>
    </row>
    <row r="1538" spans="1:1">
      <c r="A1538" s="31">
        <v>9950</v>
      </c>
    </row>
    <row r="1539" spans="1:1">
      <c r="A1539" s="31">
        <v>9951</v>
      </c>
    </row>
    <row r="1540" spans="1:1">
      <c r="A1540" s="31">
        <v>9955</v>
      </c>
    </row>
    <row r="1541" spans="1:1">
      <c r="A1541" s="31">
        <v>9958</v>
      </c>
    </row>
    <row r="1542" spans="1:1">
      <c r="A1542" s="31">
        <v>9960</v>
      </c>
    </row>
    <row r="1543" spans="1:1">
      <c r="A1543" s="31">
        <v>9962</v>
      </c>
    </row>
  </sheetData>
  <phoneticPr fontId="2" type="noConversion"/>
  <hyperlinks>
    <hyperlink ref="A2" r:id="rId1" display="1729"/>
    <hyperlink ref="A3" r:id="rId2" display="2433"/>
    <hyperlink ref="A4" r:id="rId3" display="3152"/>
    <hyperlink ref="A5" r:id="rId4" display="3163"/>
    <hyperlink ref="A6" r:id="rId5" display="3205"/>
    <hyperlink ref="A7" r:id="rId6" display="3206"/>
    <hyperlink ref="B2" r:id="rId7"/>
    <hyperlink ref="B3" r:id="rId8"/>
    <hyperlink ref="B4" r:id="rId9"/>
    <hyperlink ref="B5" r:id="rId10"/>
    <hyperlink ref="B6" r:id="rId11"/>
    <hyperlink ref="B7" r:id="rId12"/>
    <hyperlink ref="B8" r:id="rId13"/>
    <hyperlink ref="B9" r:id="rId14"/>
    <hyperlink ref="B10" r:id="rId15"/>
    <hyperlink ref="B11" r:id="rId16"/>
    <hyperlink ref="B12" r:id="rId17"/>
    <hyperlink ref="B13" r:id="rId18"/>
    <hyperlink ref="B14" r:id="rId19"/>
    <hyperlink ref="B15" r:id="rId20"/>
    <hyperlink ref="B16" r:id="rId21"/>
    <hyperlink ref="B17" r:id="rId22"/>
    <hyperlink ref="B18" r:id="rId23"/>
    <hyperlink ref="B19" r:id="rId24"/>
  </hyperlinks>
  <pageMargins left="0.7" right="0.7" top="0.75" bottom="0.75" header="0.3" footer="0.3"/>
  <pageSetup paperSize="9" orientation="portrait" r:id="rId25"/>
  <legacyDrawing r:id="rId26"/>
  <controls>
    <control shapeId="4097" r:id="rId27" name="CommandButton2"/>
    <control shapeId="4098" r:id="rId28" name="CommandButton3"/>
    <control shapeId="4099" r:id="rId29" name="CommandButton4"/>
    <control shapeId="4105" r:id="rId30" name="CommandButton10"/>
    <control shapeId="4106" r:id="rId31" name="CommandButton11"/>
    <control shapeId="4107" r:id="rId32" name="CommandButton12"/>
    <control shapeId="4108" r:id="rId33" name="CommandButton13"/>
    <control shapeId="4109" r:id="rId34" name="CommandButton1"/>
    <control shapeId="4110" r:id="rId35" name="CommandButton14"/>
    <control shapeId="4111" r:id="rId36" name="CommandButton15"/>
    <control shapeId="4112" r:id="rId37" name="CommandButton16"/>
    <control shapeId="4113" r:id="rId38" name="CommandButton17"/>
  </controls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5"/>
  <dimension ref="A1:V35"/>
  <sheetViews>
    <sheetView zoomScaleNormal="100" workbookViewId="0">
      <pane xSplit="16" ySplit="1" topLeftCell="Q2" activePane="bottomRight" state="frozen"/>
      <selection pane="topRight" activeCell="Q1" sqref="Q1"/>
      <selection pane="bottomLeft" activeCell="A2" sqref="A2"/>
      <selection pane="bottomRight" activeCell="K38" sqref="K38"/>
    </sheetView>
  </sheetViews>
  <sheetFormatPr defaultColWidth="9" defaultRowHeight="16.5"/>
  <cols>
    <col min="1" max="1" width="1.75" style="3" customWidth="1"/>
    <col min="2" max="2" width="11.125" style="3" customWidth="1"/>
    <col min="3" max="3" width="12.875" style="45" customWidth="1"/>
    <col min="4" max="4" width="12.125" style="3" customWidth="1"/>
    <col min="5" max="5" width="12.875" style="45" customWidth="1"/>
    <col min="6" max="6" width="12.125" style="3" customWidth="1"/>
    <col min="7" max="7" width="12.875" style="45" customWidth="1"/>
    <col min="8" max="8" width="9" style="3"/>
    <col min="9" max="9" width="1.375" style="3" customWidth="1"/>
    <col min="10" max="10" width="9" style="3"/>
    <col min="11" max="15" width="12.875" style="3" customWidth="1"/>
    <col min="16" max="16" width="10.5" style="3" customWidth="1"/>
    <col min="17" max="17" width="0.875" style="3" customWidth="1"/>
    <col min="18" max="21" width="9" style="3" customWidth="1"/>
    <col min="22" max="22" width="5.75" style="3" customWidth="1"/>
    <col min="23" max="16384" width="9" style="3"/>
  </cols>
  <sheetData>
    <row r="1" spans="1:22" s="35" customFormat="1" ht="28.5" customHeight="1" thickBot="1">
      <c r="A1" s="33"/>
      <c r="B1" s="33"/>
      <c r="C1" s="34" t="s">
        <v>1952</v>
      </c>
      <c r="D1" s="33"/>
      <c r="E1" s="34" t="s">
        <v>1953</v>
      </c>
      <c r="F1" s="33"/>
      <c r="G1" s="34" t="s">
        <v>1954</v>
      </c>
      <c r="R1" s="381" t="s">
        <v>1867</v>
      </c>
      <c r="S1" s="382"/>
      <c r="T1" s="382"/>
      <c r="U1" s="382"/>
      <c r="V1" s="383"/>
    </row>
    <row r="2" spans="1:22" s="35" customFormat="1" ht="9.75" customHeight="1">
      <c r="A2" s="36"/>
      <c r="B2" s="36"/>
      <c r="C2" s="37"/>
      <c r="D2" s="36"/>
      <c r="E2" s="38"/>
      <c r="F2" s="36"/>
      <c r="G2" s="39"/>
      <c r="H2" s="36"/>
      <c r="I2" s="36"/>
      <c r="J2" s="36"/>
      <c r="K2" s="36"/>
      <c r="L2" s="36"/>
      <c r="M2" s="36"/>
      <c r="N2" s="36"/>
      <c r="O2" s="36"/>
      <c r="P2" s="36"/>
      <c r="R2" s="40"/>
      <c r="S2" s="41"/>
      <c r="T2" s="41"/>
      <c r="U2" s="41"/>
      <c r="V2" s="42"/>
    </row>
    <row r="3" spans="1:22" ht="19.5">
      <c r="A3" s="43"/>
      <c r="B3" s="380" t="s">
        <v>204</v>
      </c>
      <c r="C3" s="380"/>
      <c r="D3" s="380"/>
      <c r="E3" s="380"/>
      <c r="F3" s="380"/>
      <c r="G3" s="380"/>
      <c r="H3" s="380"/>
      <c r="I3" s="43"/>
      <c r="J3" s="380" t="s">
        <v>205</v>
      </c>
      <c r="K3" s="380"/>
      <c r="L3" s="380"/>
      <c r="M3" s="380"/>
      <c r="N3" s="380"/>
      <c r="O3" s="380"/>
      <c r="P3" s="380"/>
      <c r="R3" s="386" t="s">
        <v>1872</v>
      </c>
      <c r="S3" s="324"/>
      <c r="T3" s="108" t="s">
        <v>1873</v>
      </c>
      <c r="U3" s="108" t="s">
        <v>1875</v>
      </c>
      <c r="V3" s="108" t="s">
        <v>1874</v>
      </c>
    </row>
    <row r="4" spans="1:22">
      <c r="A4" s="43"/>
      <c r="B4" s="43"/>
      <c r="C4" s="44"/>
      <c r="D4" s="43"/>
      <c r="E4" s="44"/>
      <c r="F4" s="43"/>
      <c r="G4" s="44"/>
      <c r="H4" s="43"/>
      <c r="I4" s="43"/>
      <c r="J4" s="43"/>
      <c r="K4" s="43"/>
      <c r="L4" s="43"/>
      <c r="M4" s="43"/>
      <c r="N4" s="43"/>
      <c r="O4" s="43"/>
      <c r="P4" s="43"/>
      <c r="R4" s="102">
        <f>IF(C1&lt;&gt;"",PK!A2," ")</f>
        <v>2455</v>
      </c>
      <c r="S4" s="103" t="str">
        <f>LEFT(C1,2)</f>
        <v>全新</v>
      </c>
      <c r="T4" s="109">
        <f>ROUND(PK!L11,2)</f>
        <v>2.63</v>
      </c>
      <c r="U4" s="110">
        <f>VLOOKUP(R4,收盤價!A:C,3,0)</f>
        <v>45.2</v>
      </c>
      <c r="V4" s="111">
        <f>ROUND(U4/T4,2)</f>
        <v>17.190000000000001</v>
      </c>
    </row>
    <row r="5" spans="1:22">
      <c r="A5" s="43"/>
      <c r="B5" s="43"/>
      <c r="C5" s="44"/>
      <c r="D5" s="43"/>
      <c r="E5" s="44"/>
      <c r="F5" s="43"/>
      <c r="G5" s="44"/>
      <c r="H5" s="43"/>
      <c r="I5" s="43"/>
      <c r="J5" s="43"/>
      <c r="K5" s="43"/>
      <c r="L5" s="43"/>
      <c r="M5" s="43"/>
      <c r="N5" s="43"/>
      <c r="O5" s="43"/>
      <c r="P5" s="43"/>
      <c r="R5" s="104">
        <f>IF(E1&lt;&gt;"",PK!A3,"")</f>
        <v>8086</v>
      </c>
      <c r="S5" s="105" t="str">
        <f>LEFT(E1,2)</f>
        <v>宏捷</v>
      </c>
      <c r="T5" s="109">
        <f>ROUND(PK!L12,2)</f>
        <v>10.27</v>
      </c>
      <c r="U5" s="110">
        <f>VLOOKUP(R5,收盤價!A:C,3,0)</f>
        <v>98.9</v>
      </c>
      <c r="V5" s="111">
        <f>ROUND(U5/T5,2)</f>
        <v>9.6300000000000008</v>
      </c>
    </row>
    <row r="6" spans="1:22">
      <c r="A6" s="43"/>
      <c r="B6" s="43"/>
      <c r="C6" s="44"/>
      <c r="D6" s="43"/>
      <c r="E6" s="44"/>
      <c r="F6" s="43"/>
      <c r="G6" s="44"/>
      <c r="H6" s="43"/>
      <c r="I6" s="43"/>
      <c r="J6" s="43"/>
      <c r="K6" s="43"/>
      <c r="L6" s="43"/>
      <c r="M6" s="43"/>
      <c r="N6" s="43"/>
      <c r="O6" s="43"/>
      <c r="P6" s="43"/>
      <c r="R6" s="106">
        <f>PK!A4</f>
        <v>3105</v>
      </c>
      <c r="S6" s="107" t="str">
        <f>LEFT(G1,2)</f>
        <v>穩懋</v>
      </c>
      <c r="T6" s="109">
        <f>ROUND(PK!L13,2)</f>
        <v>3.8</v>
      </c>
      <c r="U6" s="110">
        <f>VLOOKUP(R6,收盤價!A:C,3,0)</f>
        <v>52.2</v>
      </c>
      <c r="V6" s="111">
        <f>ROUND(U6/T6,0)</f>
        <v>14</v>
      </c>
    </row>
    <row r="7" spans="1:22">
      <c r="A7" s="43"/>
      <c r="B7" s="43"/>
      <c r="C7" s="44"/>
      <c r="D7" s="43"/>
      <c r="E7" s="44"/>
      <c r="F7" s="43"/>
      <c r="G7" s="44"/>
      <c r="H7" s="43"/>
      <c r="I7" s="43"/>
      <c r="J7" s="43"/>
      <c r="K7" s="43"/>
      <c r="L7" s="43"/>
      <c r="M7" s="43"/>
      <c r="N7" s="43"/>
      <c r="O7" s="43"/>
      <c r="P7" s="43"/>
      <c r="R7" s="75"/>
      <c r="S7" s="384"/>
      <c r="T7" s="384"/>
      <c r="U7" s="384"/>
      <c r="V7" s="385"/>
    </row>
    <row r="8" spans="1:22">
      <c r="A8" s="43"/>
      <c r="B8" s="43"/>
      <c r="C8" s="44"/>
      <c r="D8" s="43"/>
      <c r="E8" s="44"/>
      <c r="F8" s="43"/>
      <c r="G8" s="44"/>
      <c r="H8" s="43"/>
      <c r="I8" s="43"/>
      <c r="J8" s="43"/>
      <c r="K8" s="43"/>
      <c r="L8" s="43"/>
      <c r="M8" s="43"/>
      <c r="N8" s="43"/>
      <c r="O8" s="43"/>
      <c r="P8" s="43"/>
      <c r="R8" s="75"/>
      <c r="S8" s="76"/>
      <c r="T8" s="76"/>
      <c r="U8" s="76"/>
      <c r="V8" s="77"/>
    </row>
    <row r="9" spans="1:22">
      <c r="A9" s="43"/>
      <c r="B9" s="43"/>
      <c r="C9" s="44"/>
      <c r="D9" s="43"/>
      <c r="E9" s="44"/>
      <c r="F9" s="43"/>
      <c r="G9" s="44"/>
      <c r="H9" s="43"/>
      <c r="I9" s="43"/>
      <c r="J9" s="43"/>
      <c r="K9" s="43"/>
      <c r="L9" s="43"/>
      <c r="M9" s="43"/>
      <c r="N9" s="43"/>
      <c r="O9" s="43"/>
      <c r="P9" s="43"/>
      <c r="R9" s="75"/>
      <c r="S9" s="76"/>
      <c r="T9" s="76"/>
      <c r="U9" s="76"/>
      <c r="V9" s="77"/>
    </row>
    <row r="10" spans="1:22">
      <c r="A10" s="43"/>
      <c r="B10" s="43"/>
      <c r="C10" s="44"/>
      <c r="D10" s="43"/>
      <c r="E10" s="44"/>
      <c r="F10" s="43"/>
      <c r="G10" s="44"/>
      <c r="H10" s="43"/>
      <c r="I10" s="43"/>
      <c r="J10" s="43"/>
      <c r="K10" s="43"/>
      <c r="L10" s="43"/>
      <c r="M10" s="43"/>
      <c r="N10" s="43"/>
      <c r="O10" s="43"/>
      <c r="P10" s="43"/>
      <c r="R10" s="75"/>
      <c r="S10" s="76"/>
      <c r="T10" s="76"/>
      <c r="U10" s="76"/>
      <c r="V10" s="77"/>
    </row>
    <row r="11" spans="1:22">
      <c r="A11" s="43"/>
      <c r="B11" s="43"/>
      <c r="C11" s="44"/>
      <c r="D11" s="43"/>
      <c r="E11" s="44"/>
      <c r="F11" s="43"/>
      <c r="G11" s="44"/>
      <c r="H11" s="43"/>
      <c r="I11" s="43"/>
      <c r="J11" s="43"/>
      <c r="K11" s="43"/>
      <c r="L11" s="43"/>
      <c r="M11" s="43"/>
      <c r="N11" s="43"/>
      <c r="O11" s="43"/>
      <c r="P11" s="43"/>
      <c r="R11" s="75"/>
      <c r="S11" s="76"/>
      <c r="T11" s="76"/>
      <c r="U11" s="76"/>
      <c r="V11" s="77"/>
    </row>
    <row r="12" spans="1:22" ht="17.25" thickBot="1">
      <c r="A12" s="43"/>
      <c r="B12" s="43"/>
      <c r="C12" s="44"/>
      <c r="D12" s="43"/>
      <c r="E12" s="44"/>
      <c r="F12" s="43"/>
      <c r="G12" s="44"/>
      <c r="H12" s="43"/>
      <c r="I12" s="43"/>
      <c r="J12" s="43"/>
      <c r="K12" s="43"/>
      <c r="L12" s="43"/>
      <c r="M12" s="43"/>
      <c r="N12" s="43"/>
      <c r="O12" s="43"/>
      <c r="P12" s="43"/>
      <c r="R12" s="78"/>
      <c r="S12" s="79"/>
      <c r="T12" s="79"/>
      <c r="U12" s="79"/>
      <c r="V12" s="80"/>
    </row>
    <row r="13" spans="1:22" ht="17.25" thickBot="1">
      <c r="A13" s="43"/>
      <c r="B13" s="43"/>
      <c r="C13" s="44"/>
      <c r="D13" s="43"/>
      <c r="E13" s="44"/>
      <c r="F13" s="43"/>
      <c r="G13" s="44"/>
      <c r="H13" s="43"/>
      <c r="I13" s="43"/>
      <c r="J13" s="43"/>
      <c r="K13" s="43"/>
      <c r="L13" s="43"/>
      <c r="M13" s="43"/>
      <c r="N13" s="43"/>
      <c r="O13" s="43"/>
      <c r="P13" s="43"/>
      <c r="R13" s="43"/>
      <c r="S13" s="43"/>
      <c r="T13" s="43"/>
      <c r="U13" s="43"/>
      <c r="V13" s="43"/>
    </row>
    <row r="14" spans="1:22" ht="19.5">
      <c r="A14" s="43"/>
      <c r="B14" s="380" t="s">
        <v>1869</v>
      </c>
      <c r="C14" s="380"/>
      <c r="D14" s="380"/>
      <c r="E14" s="380"/>
      <c r="F14" s="380"/>
      <c r="G14" s="380"/>
      <c r="H14" s="380"/>
      <c r="I14" s="43"/>
      <c r="J14" s="380" t="s">
        <v>206</v>
      </c>
      <c r="K14" s="380"/>
      <c r="L14" s="380"/>
      <c r="M14" s="380"/>
      <c r="N14" s="380"/>
      <c r="O14" s="380"/>
      <c r="P14" s="380"/>
      <c r="R14" s="81"/>
      <c r="S14" s="82"/>
      <c r="T14" s="82"/>
      <c r="U14" s="82"/>
      <c r="V14" s="83"/>
    </row>
    <row r="15" spans="1:22">
      <c r="A15" s="43"/>
      <c r="B15" s="43"/>
      <c r="C15" s="44"/>
      <c r="D15" s="43"/>
      <c r="E15" s="44"/>
      <c r="F15" s="43"/>
      <c r="G15" s="44"/>
      <c r="H15" s="43"/>
      <c r="I15" s="43"/>
      <c r="J15" s="43"/>
      <c r="K15" s="43"/>
      <c r="L15" s="43"/>
      <c r="M15" s="43"/>
      <c r="N15" s="43"/>
      <c r="O15" s="43"/>
      <c r="P15" s="43"/>
      <c r="R15" s="75"/>
      <c r="S15" s="76"/>
      <c r="T15" s="76"/>
      <c r="U15" s="76"/>
      <c r="V15" s="77"/>
    </row>
    <row r="16" spans="1:22">
      <c r="A16" s="43"/>
      <c r="B16" s="43"/>
      <c r="C16" s="44"/>
      <c r="D16" s="43"/>
      <c r="E16" s="44"/>
      <c r="F16" s="43"/>
      <c r="G16" s="44"/>
      <c r="H16" s="43"/>
      <c r="I16" s="43"/>
      <c r="J16" s="43"/>
      <c r="K16" s="43"/>
      <c r="L16" s="43"/>
      <c r="M16" s="43"/>
      <c r="N16" s="43"/>
      <c r="O16" s="43"/>
      <c r="P16" s="43"/>
      <c r="R16" s="75"/>
      <c r="S16" s="76"/>
      <c r="T16" s="76"/>
      <c r="U16" s="76"/>
      <c r="V16" s="77"/>
    </row>
    <row r="17" spans="1:22">
      <c r="A17" s="43"/>
      <c r="B17" s="43"/>
      <c r="C17" s="44"/>
      <c r="D17" s="43"/>
      <c r="E17" s="44"/>
      <c r="F17" s="43"/>
      <c r="G17" s="44"/>
      <c r="H17" s="43"/>
      <c r="I17" s="43"/>
      <c r="J17" s="43"/>
      <c r="K17" s="43"/>
      <c r="L17" s="43"/>
      <c r="M17" s="43"/>
      <c r="N17" s="43"/>
      <c r="O17" s="43"/>
      <c r="P17" s="43"/>
      <c r="R17" s="75"/>
      <c r="S17" s="76"/>
      <c r="T17" s="76"/>
      <c r="U17" s="76"/>
      <c r="V17" s="77"/>
    </row>
    <row r="18" spans="1:22">
      <c r="A18" s="43"/>
      <c r="B18" s="43"/>
      <c r="C18" s="44"/>
      <c r="D18" s="43"/>
      <c r="E18" s="44"/>
      <c r="F18" s="43"/>
      <c r="G18" s="44"/>
      <c r="H18" s="43"/>
      <c r="I18" s="43"/>
      <c r="J18" s="43"/>
      <c r="K18" s="43"/>
      <c r="L18" s="43"/>
      <c r="M18" s="43"/>
      <c r="N18" s="43"/>
      <c r="O18" s="43"/>
      <c r="P18" s="43"/>
      <c r="R18" s="75"/>
      <c r="S18" s="76"/>
      <c r="T18" s="76"/>
      <c r="U18" s="76"/>
      <c r="V18" s="77"/>
    </row>
    <row r="19" spans="1:22">
      <c r="A19" s="43"/>
      <c r="B19" s="43"/>
      <c r="C19" s="44"/>
      <c r="D19" s="43"/>
      <c r="E19" s="44"/>
      <c r="F19" s="43"/>
      <c r="G19" s="44"/>
      <c r="H19" s="43"/>
      <c r="I19" s="43"/>
      <c r="J19" s="43"/>
      <c r="K19" s="43"/>
      <c r="L19" s="43"/>
      <c r="M19" s="43"/>
      <c r="N19" s="43"/>
      <c r="O19" s="43"/>
      <c r="P19" s="43"/>
      <c r="R19" s="75"/>
      <c r="S19" s="76"/>
      <c r="T19" s="76"/>
      <c r="U19" s="76"/>
      <c r="V19" s="77"/>
    </row>
    <row r="20" spans="1:22">
      <c r="A20" s="43"/>
      <c r="B20" s="43"/>
      <c r="C20" s="44"/>
      <c r="D20" s="43"/>
      <c r="E20" s="44"/>
      <c r="F20" s="43"/>
      <c r="G20" s="44"/>
      <c r="H20" s="43"/>
      <c r="I20" s="43"/>
      <c r="J20" s="43"/>
      <c r="K20" s="43"/>
      <c r="L20" s="43"/>
      <c r="M20" s="43"/>
      <c r="N20" s="43"/>
      <c r="O20" s="43"/>
      <c r="P20" s="43"/>
      <c r="R20" s="75"/>
      <c r="S20" s="76"/>
      <c r="T20" s="76"/>
      <c r="U20" s="76"/>
      <c r="V20" s="77"/>
    </row>
    <row r="21" spans="1:22">
      <c r="A21" s="43"/>
      <c r="B21" s="43"/>
      <c r="C21" s="44"/>
      <c r="D21" s="43"/>
      <c r="E21" s="44"/>
      <c r="F21" s="43"/>
      <c r="G21" s="44"/>
      <c r="H21" s="43"/>
      <c r="I21" s="43"/>
      <c r="J21" s="43"/>
      <c r="K21" s="43"/>
      <c r="L21" s="43"/>
      <c r="M21" s="43"/>
      <c r="N21" s="43"/>
      <c r="O21" s="43"/>
      <c r="P21" s="43"/>
      <c r="R21" s="75"/>
      <c r="S21" s="76"/>
      <c r="T21" s="76"/>
      <c r="U21" s="76"/>
      <c r="V21" s="77"/>
    </row>
    <row r="22" spans="1:22">
      <c r="A22" s="43"/>
      <c r="B22" s="43"/>
      <c r="C22" s="44"/>
      <c r="D22" s="43"/>
      <c r="E22" s="44"/>
      <c r="F22" s="43"/>
      <c r="G22" s="44"/>
      <c r="H22" s="43"/>
      <c r="I22" s="43"/>
      <c r="J22" s="43"/>
      <c r="K22" s="43"/>
      <c r="L22" s="43"/>
      <c r="M22" s="43"/>
      <c r="N22" s="43"/>
      <c r="O22" s="43"/>
      <c r="P22" s="43"/>
      <c r="R22" s="75"/>
      <c r="S22" s="76"/>
      <c r="T22" s="76"/>
      <c r="U22" s="76"/>
      <c r="V22" s="77"/>
    </row>
    <row r="23" spans="1:22">
      <c r="A23" s="43"/>
      <c r="B23" s="43"/>
      <c r="C23" s="44"/>
      <c r="D23" s="43"/>
      <c r="E23" s="44"/>
      <c r="F23" s="43"/>
      <c r="G23" s="44"/>
      <c r="H23" s="43"/>
      <c r="I23" s="43"/>
      <c r="J23" s="43"/>
      <c r="K23" s="43"/>
      <c r="L23" s="43"/>
      <c r="M23" s="43"/>
      <c r="N23" s="43"/>
      <c r="O23" s="43"/>
      <c r="P23" s="43"/>
      <c r="R23" s="75"/>
      <c r="S23" s="76"/>
      <c r="T23" s="76"/>
      <c r="U23" s="76"/>
      <c r="V23" s="77"/>
    </row>
    <row r="24" spans="1:22">
      <c r="A24" s="43"/>
      <c r="B24" s="43"/>
      <c r="C24" s="44"/>
      <c r="D24" s="43"/>
      <c r="E24" s="44"/>
      <c r="F24" s="43"/>
      <c r="G24" s="44"/>
      <c r="H24" s="43"/>
      <c r="I24" s="43"/>
      <c r="J24" s="43"/>
      <c r="K24" s="43"/>
      <c r="L24" s="43"/>
      <c r="M24" s="43"/>
      <c r="N24" s="43"/>
      <c r="O24" s="43"/>
      <c r="P24" s="43"/>
      <c r="R24" s="75"/>
      <c r="S24" s="76"/>
      <c r="T24" s="76"/>
      <c r="U24" s="76"/>
      <c r="V24" s="77"/>
    </row>
    <row r="25" spans="1:22" ht="19.5">
      <c r="A25" s="43"/>
      <c r="B25" s="380" t="s">
        <v>1868</v>
      </c>
      <c r="C25" s="380"/>
      <c r="D25" s="380"/>
      <c r="E25" s="380"/>
      <c r="F25" s="380"/>
      <c r="G25" s="380"/>
      <c r="H25" s="380"/>
      <c r="I25" s="43"/>
      <c r="J25" s="380" t="s">
        <v>1871</v>
      </c>
      <c r="K25" s="380"/>
      <c r="L25" s="380"/>
      <c r="M25" s="380"/>
      <c r="N25" s="380"/>
      <c r="O25" s="380"/>
      <c r="P25" s="380"/>
      <c r="R25" s="40"/>
      <c r="S25" s="41"/>
      <c r="T25" s="41"/>
      <c r="U25" s="41"/>
      <c r="V25" s="42"/>
    </row>
    <row r="26" spans="1:22">
      <c r="A26" s="43"/>
      <c r="B26" s="43"/>
      <c r="C26" s="44"/>
      <c r="D26" s="43"/>
      <c r="E26" s="44"/>
      <c r="F26" s="43"/>
      <c r="G26" s="44"/>
      <c r="H26" s="43"/>
      <c r="I26" s="43"/>
      <c r="J26" s="43"/>
      <c r="K26" s="43"/>
      <c r="L26" s="43"/>
      <c r="M26" s="43"/>
      <c r="N26" s="43"/>
      <c r="O26" s="43"/>
      <c r="P26" s="43"/>
      <c r="R26" s="40"/>
      <c r="S26" s="84"/>
      <c r="T26" s="41"/>
      <c r="U26" s="84"/>
      <c r="V26" s="42"/>
    </row>
    <row r="27" spans="1:22">
      <c r="A27" s="43"/>
      <c r="B27" s="43"/>
      <c r="C27" s="44"/>
      <c r="D27" s="43"/>
      <c r="E27" s="44"/>
      <c r="F27" s="43"/>
      <c r="G27" s="44"/>
      <c r="H27" s="43"/>
      <c r="I27" s="43"/>
      <c r="J27" s="43"/>
      <c r="K27" s="43"/>
      <c r="L27" s="43"/>
      <c r="M27" s="43"/>
      <c r="N27" s="43"/>
      <c r="O27" s="43"/>
      <c r="P27" s="43"/>
      <c r="R27" s="40"/>
      <c r="S27" s="41"/>
      <c r="T27" s="41"/>
      <c r="U27" s="41"/>
      <c r="V27" s="42"/>
    </row>
    <row r="28" spans="1:22">
      <c r="A28" s="43"/>
      <c r="B28" s="43"/>
      <c r="C28" s="44"/>
      <c r="D28" s="43"/>
      <c r="E28" s="44"/>
      <c r="F28" s="43"/>
      <c r="G28" s="44"/>
      <c r="H28" s="43"/>
      <c r="I28" s="43"/>
      <c r="J28" s="43"/>
      <c r="K28" s="43"/>
      <c r="L28" s="43"/>
      <c r="M28" s="43"/>
      <c r="N28" s="43"/>
      <c r="O28" s="43"/>
      <c r="P28" s="43"/>
      <c r="R28" s="40"/>
      <c r="S28" s="41"/>
      <c r="T28" s="41"/>
      <c r="U28" s="41"/>
      <c r="V28" s="42"/>
    </row>
    <row r="29" spans="1:22">
      <c r="A29" s="43"/>
      <c r="B29" s="43"/>
      <c r="C29" s="44"/>
      <c r="D29" s="43"/>
      <c r="E29" s="44"/>
      <c r="F29" s="43"/>
      <c r="G29" s="44"/>
      <c r="H29" s="43"/>
      <c r="I29" s="43"/>
      <c r="J29" s="43"/>
      <c r="K29" s="43"/>
      <c r="L29" s="43"/>
      <c r="M29" s="43"/>
      <c r="N29" s="43"/>
      <c r="O29" s="43"/>
      <c r="P29" s="43"/>
      <c r="R29" s="40"/>
      <c r="S29" s="41"/>
      <c r="T29" s="41"/>
      <c r="U29" s="41"/>
      <c r="V29" s="42"/>
    </row>
    <row r="30" spans="1:22">
      <c r="A30" s="43"/>
      <c r="B30" s="43"/>
      <c r="C30" s="44"/>
      <c r="D30" s="43"/>
      <c r="E30" s="44"/>
      <c r="F30" s="43"/>
      <c r="G30" s="44"/>
      <c r="H30" s="43"/>
      <c r="I30" s="43"/>
      <c r="J30" s="43"/>
      <c r="K30" s="43"/>
      <c r="L30" s="43"/>
      <c r="M30" s="43"/>
      <c r="N30" s="43"/>
      <c r="O30" s="43"/>
      <c r="P30" s="43"/>
      <c r="R30" s="40"/>
      <c r="S30" s="41"/>
      <c r="T30" s="41"/>
      <c r="U30" s="41"/>
      <c r="V30" s="42"/>
    </row>
    <row r="31" spans="1:22">
      <c r="A31" s="43"/>
      <c r="B31" s="43"/>
      <c r="C31" s="44"/>
      <c r="D31" s="43"/>
      <c r="E31" s="44"/>
      <c r="F31" s="43"/>
      <c r="G31" s="44"/>
      <c r="H31" s="43"/>
      <c r="I31" s="43"/>
      <c r="J31" s="43"/>
      <c r="K31" s="43"/>
      <c r="L31" s="43"/>
      <c r="M31" s="43"/>
      <c r="N31" s="43"/>
      <c r="O31" s="43"/>
      <c r="P31" s="43"/>
      <c r="R31" s="40"/>
      <c r="S31" s="41"/>
      <c r="T31" s="41"/>
      <c r="U31" s="41"/>
      <c r="V31" s="42"/>
    </row>
    <row r="32" spans="1:22">
      <c r="A32" s="43"/>
      <c r="B32" s="43"/>
      <c r="C32" s="44"/>
      <c r="D32" s="43"/>
      <c r="E32" s="44"/>
      <c r="F32" s="43"/>
      <c r="G32" s="44"/>
      <c r="H32" s="43"/>
      <c r="I32" s="43"/>
      <c r="J32" s="43"/>
      <c r="K32" s="43"/>
      <c r="L32" s="43"/>
      <c r="M32" s="43"/>
      <c r="N32" s="43"/>
      <c r="O32" s="43"/>
      <c r="P32" s="43"/>
      <c r="R32" s="40"/>
      <c r="S32" s="41"/>
      <c r="T32" s="41"/>
      <c r="U32" s="41"/>
      <c r="V32" s="42"/>
    </row>
    <row r="33" spans="1:22">
      <c r="A33" s="43"/>
      <c r="B33" s="43"/>
      <c r="C33" s="44"/>
      <c r="D33" s="43"/>
      <c r="E33" s="44"/>
      <c r="F33" s="43"/>
      <c r="G33" s="44"/>
      <c r="H33" s="43"/>
      <c r="I33" s="43"/>
      <c r="J33" s="43"/>
      <c r="K33" s="43"/>
      <c r="L33" s="43"/>
      <c r="M33" s="43"/>
      <c r="N33" s="43"/>
      <c r="O33" s="43"/>
      <c r="P33" s="43"/>
      <c r="R33" s="40"/>
      <c r="S33" s="41"/>
      <c r="T33" s="41"/>
      <c r="U33" s="41"/>
      <c r="V33" s="42"/>
    </row>
    <row r="34" spans="1:22">
      <c r="A34" s="43"/>
      <c r="B34" s="43"/>
      <c r="C34" s="44"/>
      <c r="D34" s="43"/>
      <c r="E34" s="44"/>
      <c r="F34" s="43"/>
      <c r="G34" s="44"/>
      <c r="H34" s="43"/>
      <c r="I34" s="43"/>
      <c r="J34" s="43"/>
      <c r="K34" s="43"/>
      <c r="L34" s="43"/>
      <c r="M34" s="43"/>
      <c r="N34" s="43"/>
      <c r="O34" s="43"/>
      <c r="P34" s="43"/>
      <c r="R34" s="40"/>
      <c r="S34" s="41"/>
      <c r="T34" s="41"/>
      <c r="U34" s="41"/>
      <c r="V34" s="42"/>
    </row>
    <row r="35" spans="1:22" ht="17.25" thickBot="1">
      <c r="A35" s="43"/>
      <c r="B35" s="43"/>
      <c r="C35" s="44"/>
      <c r="D35" s="43"/>
      <c r="E35" s="44"/>
      <c r="F35" s="43"/>
      <c r="G35" s="44"/>
      <c r="H35" s="43"/>
      <c r="I35" s="43"/>
      <c r="J35" s="43"/>
      <c r="K35" s="43"/>
      <c r="L35" s="43"/>
      <c r="M35" s="43"/>
      <c r="N35" s="43"/>
      <c r="O35" s="43"/>
      <c r="P35" s="43"/>
      <c r="R35" s="72"/>
      <c r="S35" s="73"/>
      <c r="T35" s="73"/>
      <c r="U35" s="73"/>
      <c r="V35" s="74"/>
    </row>
  </sheetData>
  <mergeCells count="10">
    <mergeCell ref="B14:H14"/>
    <mergeCell ref="J14:P14"/>
    <mergeCell ref="B25:H25"/>
    <mergeCell ref="J25:P25"/>
    <mergeCell ref="R1:V1"/>
    <mergeCell ref="B3:H3"/>
    <mergeCell ref="J3:P3"/>
    <mergeCell ref="U7:V7"/>
    <mergeCell ref="S7:T7"/>
    <mergeCell ref="R3:S3"/>
  </mergeCells>
  <phoneticPr fontId="2" type="noConversion"/>
  <pageMargins left="0.7" right="0.7" top="0.75" bottom="0.75" header="0.3" footer="0.3"/>
  <pageSetup paperSize="9" orientation="portrait" horizontalDpi="1200" verticalDpi="1200" r:id="rId1"/>
  <drawing r:id="rId2"/>
  <legacyDrawing r:id="rId3"/>
  <controls>
    <control shapeId="7169" r:id="rId4" name="ComboBox1"/>
    <control shapeId="7170" r:id="rId5" name="ComboBox2"/>
    <control shapeId="7171" r:id="rId6" name="ComboBox3"/>
    <control shapeId="7172" r:id="rId7" name="CommandButton1"/>
    <control shapeId="7173" r:id="rId8" name="CommandButton2"/>
    <control shapeId="7174" r:id="rId9" name="CommandButton3"/>
    <control shapeId="7175" r:id="rId10" name="CommandButton4"/>
    <control shapeId="7176" r:id="rId11" name="CommandButton5"/>
    <control shapeId="7178" r:id="rId12" name="CommandButton7"/>
  </controls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3" filterMode="1"/>
  <dimension ref="A1:K7824"/>
  <sheetViews>
    <sheetView zoomScale="80" zoomScaleNormal="80" workbookViewId="0">
      <pane xSplit="10" ySplit="1" topLeftCell="K2" activePane="bottomRight" state="frozen"/>
      <selection pane="topRight" activeCell="K1" sqref="K1"/>
      <selection pane="bottomLeft" activeCell="A2" sqref="A2"/>
      <selection pane="bottomRight" activeCell="D7835" sqref="D7835"/>
    </sheetView>
  </sheetViews>
  <sheetFormatPr defaultColWidth="9" defaultRowHeight="16.5"/>
  <cols>
    <col min="1" max="1" width="12.5" style="27" customWidth="1"/>
    <col min="2" max="2" width="10" style="27" customWidth="1"/>
    <col min="3" max="10" width="15.125" style="27" customWidth="1"/>
    <col min="11" max="11" width="38.125" style="203" customWidth="1"/>
    <col min="12" max="16384" width="9" style="27"/>
  </cols>
  <sheetData>
    <row r="1" spans="1:11" s="20" customFormat="1" ht="39">
      <c r="A1" s="47" t="s">
        <v>2003</v>
      </c>
      <c r="B1" s="48" t="s">
        <v>2054</v>
      </c>
      <c r="C1" s="48" t="s">
        <v>228</v>
      </c>
      <c r="D1" s="48" t="s">
        <v>229</v>
      </c>
      <c r="E1" s="48" t="s">
        <v>230</v>
      </c>
      <c r="F1" s="49" t="s">
        <v>233</v>
      </c>
      <c r="G1" s="49" t="s">
        <v>232</v>
      </c>
      <c r="H1" s="49" t="s">
        <v>227</v>
      </c>
      <c r="I1" s="49" t="s">
        <v>231</v>
      </c>
      <c r="J1" s="50" t="s">
        <v>234</v>
      </c>
      <c r="K1" s="202"/>
    </row>
    <row r="2" spans="1:11" customFormat="1" hidden="1">
      <c r="A2" s="305">
        <v>9962</v>
      </c>
      <c r="B2" s="305" t="s">
        <v>2008</v>
      </c>
      <c r="C2" s="46">
        <v>110849</v>
      </c>
      <c r="D2" s="46">
        <v>119179</v>
      </c>
      <c r="E2" s="46">
        <v>148648</v>
      </c>
      <c r="F2">
        <v>-6.98</v>
      </c>
      <c r="G2">
        <v>-25.42</v>
      </c>
      <c r="H2" s="46">
        <v>1813878</v>
      </c>
      <c r="I2" s="46">
        <v>2486827</v>
      </c>
      <c r="J2" s="306">
        <v>-27.06</v>
      </c>
      <c r="K2" t="s">
        <v>2046</v>
      </c>
    </row>
    <row r="3" spans="1:11" customFormat="1" hidden="1">
      <c r="A3" s="305" t="str">
        <f>HYPERLINK("http://tw.stock.yahoo.com/q/ta?s=9951","9951")</f>
        <v>9951</v>
      </c>
      <c r="B3" s="305" t="str">
        <f>HYPERLINK("http://tw.stock.yahoo.com/d/s/earning_9951.html","皇田工業")</f>
        <v>皇田工業</v>
      </c>
      <c r="C3" s="46">
        <v>331642</v>
      </c>
      <c r="D3" s="46">
        <v>333945</v>
      </c>
      <c r="E3" s="46">
        <v>284114</v>
      </c>
      <c r="F3">
        <v>-0.68</v>
      </c>
      <c r="G3">
        <v>16.72</v>
      </c>
      <c r="H3" s="46">
        <v>3375283</v>
      </c>
      <c r="I3" s="46">
        <v>2837231</v>
      </c>
      <c r="J3">
        <v>18.96</v>
      </c>
      <c r="K3" t="s">
        <v>2047</v>
      </c>
    </row>
    <row r="4" spans="1:11" customFormat="1" hidden="1">
      <c r="A4" s="305" t="str">
        <f>HYPERLINK("http://tw.stock.yahoo.com/q/ta?s=8942","8942")</f>
        <v>8942</v>
      </c>
      <c r="B4" s="305" t="str">
        <f>HYPERLINK("http://tw.stock.yahoo.com/d/s/earning_8942.html","森鉅")</f>
        <v>森鉅</v>
      </c>
      <c r="C4" s="46">
        <v>320793</v>
      </c>
      <c r="D4" s="46">
        <v>366423</v>
      </c>
      <c r="E4" s="46">
        <v>320279</v>
      </c>
      <c r="F4">
        <v>-12.45</v>
      </c>
      <c r="G4">
        <v>0.16</v>
      </c>
      <c r="H4" s="46">
        <v>4415484</v>
      </c>
      <c r="I4" s="46">
        <v>3230104</v>
      </c>
      <c r="J4">
        <v>36.69</v>
      </c>
      <c r="K4" t="s">
        <v>2047</v>
      </c>
    </row>
    <row r="5" spans="1:11" customFormat="1" hidden="1">
      <c r="A5">
        <v>8928</v>
      </c>
      <c r="B5" t="s">
        <v>529</v>
      </c>
      <c r="C5" s="46">
        <v>266680</v>
      </c>
      <c r="D5" s="46">
        <v>173456</v>
      </c>
      <c r="E5" s="46">
        <v>298950</v>
      </c>
      <c r="F5">
        <v>53.74</v>
      </c>
      <c r="G5">
        <v>-10.79</v>
      </c>
      <c r="H5" s="46">
        <v>1807195</v>
      </c>
      <c r="I5" s="46">
        <v>1900510</v>
      </c>
      <c r="J5">
        <v>-4.9000000000000004</v>
      </c>
      <c r="K5" t="s">
        <v>2046</v>
      </c>
    </row>
    <row r="6" spans="1:11" customFormat="1" hidden="1">
      <c r="A6">
        <v>8255</v>
      </c>
      <c r="B6" t="s">
        <v>2005</v>
      </c>
      <c r="C6" s="46">
        <v>309179</v>
      </c>
      <c r="D6" s="46">
        <v>297769</v>
      </c>
      <c r="E6" s="46">
        <v>270535</v>
      </c>
      <c r="F6">
        <v>3.83</v>
      </c>
      <c r="G6">
        <v>14.28</v>
      </c>
      <c r="H6" s="46">
        <v>3249380</v>
      </c>
      <c r="I6" s="46">
        <v>3215268</v>
      </c>
      <c r="J6">
        <v>1.06</v>
      </c>
      <c r="K6" t="s">
        <v>2046</v>
      </c>
    </row>
    <row r="7" spans="1:11" customFormat="1" hidden="1">
      <c r="A7">
        <v>8109</v>
      </c>
      <c r="B7" t="s">
        <v>2023</v>
      </c>
      <c r="C7" s="46">
        <v>85853</v>
      </c>
      <c r="D7" s="46">
        <v>86735</v>
      </c>
      <c r="E7" s="46">
        <v>64955</v>
      </c>
      <c r="F7">
        <v>-1.01</v>
      </c>
      <c r="G7">
        <v>32.17</v>
      </c>
      <c r="H7" s="46">
        <v>858555</v>
      </c>
      <c r="I7" s="46">
        <v>813676</v>
      </c>
      <c r="J7">
        <v>5.51</v>
      </c>
      <c r="K7" t="s">
        <v>2046</v>
      </c>
    </row>
    <row r="8" spans="1:11" customFormat="1" hidden="1">
      <c r="A8">
        <v>8099</v>
      </c>
      <c r="B8" t="s">
        <v>2024</v>
      </c>
      <c r="C8" s="46">
        <v>373418</v>
      </c>
      <c r="D8" s="46">
        <v>251034</v>
      </c>
      <c r="E8" s="46">
        <v>299439</v>
      </c>
      <c r="F8">
        <v>48.75</v>
      </c>
      <c r="G8">
        <v>24.7</v>
      </c>
      <c r="H8" s="46">
        <v>3156807</v>
      </c>
      <c r="I8" s="46">
        <v>3076859</v>
      </c>
      <c r="J8">
        <v>2.59</v>
      </c>
      <c r="K8" t="s">
        <v>2046</v>
      </c>
    </row>
    <row r="9" spans="1:11" customFormat="1">
      <c r="A9" s="305" t="str">
        <f>HYPERLINK("http://tw.stock.yahoo.com/q/ta?s=8086","8086")</f>
        <v>8086</v>
      </c>
      <c r="B9" s="305" t="str">
        <f>HYPERLINK("http://tw.stock.yahoo.com/d/s/earning_8086.html","宏捷科技")</f>
        <v>宏捷科技</v>
      </c>
      <c r="C9" s="46">
        <v>379766</v>
      </c>
      <c r="D9" s="46">
        <v>352037</v>
      </c>
      <c r="E9" s="46">
        <v>339851</v>
      </c>
      <c r="F9">
        <v>7.87</v>
      </c>
      <c r="G9">
        <v>11.74</v>
      </c>
      <c r="H9" s="46">
        <v>4043614</v>
      </c>
      <c r="I9" s="46">
        <v>2306569</v>
      </c>
      <c r="J9">
        <v>75.3</v>
      </c>
      <c r="K9" t="s">
        <v>2047</v>
      </c>
    </row>
    <row r="10" spans="1:11" customFormat="1" hidden="1">
      <c r="A10">
        <v>8083</v>
      </c>
      <c r="B10" t="s">
        <v>507</v>
      </c>
      <c r="C10" s="46">
        <v>85363</v>
      </c>
      <c r="D10" s="46">
        <v>88918</v>
      </c>
      <c r="E10" s="46">
        <v>93101</v>
      </c>
      <c r="F10">
        <v>-3.99</v>
      </c>
      <c r="G10">
        <v>-8.31</v>
      </c>
      <c r="H10" s="46">
        <v>1166221</v>
      </c>
      <c r="I10" s="46">
        <v>1166223</v>
      </c>
      <c r="J10">
        <v>0</v>
      </c>
      <c r="K10" t="s">
        <v>2046</v>
      </c>
    </row>
    <row r="11" spans="1:11" customFormat="1" hidden="1">
      <c r="A11">
        <v>8059</v>
      </c>
      <c r="B11" t="s">
        <v>2018</v>
      </c>
      <c r="C11" s="46">
        <v>143440</v>
      </c>
      <c r="D11" s="46">
        <v>42047</v>
      </c>
      <c r="E11" s="46">
        <v>200857</v>
      </c>
      <c r="F11">
        <v>241.14</v>
      </c>
      <c r="G11">
        <v>-28.58</v>
      </c>
      <c r="H11" s="46">
        <v>1682573</v>
      </c>
      <c r="I11" s="46">
        <v>2049061</v>
      </c>
      <c r="J11">
        <v>-17.88</v>
      </c>
      <c r="K11" t="s">
        <v>2046</v>
      </c>
    </row>
    <row r="12" spans="1:11" customFormat="1" hidden="1">
      <c r="A12">
        <v>8054</v>
      </c>
      <c r="B12" t="s">
        <v>501</v>
      </c>
      <c r="C12" s="46">
        <v>194190</v>
      </c>
      <c r="D12" s="46">
        <v>190170</v>
      </c>
      <c r="E12" s="46">
        <v>240347</v>
      </c>
      <c r="F12">
        <v>2.11</v>
      </c>
      <c r="G12">
        <v>-19.2</v>
      </c>
      <c r="H12" s="46">
        <v>2088337</v>
      </c>
      <c r="I12" s="46">
        <v>2494571</v>
      </c>
      <c r="J12">
        <v>-16.28</v>
      </c>
      <c r="K12" t="s">
        <v>2046</v>
      </c>
    </row>
    <row r="13" spans="1:11" customFormat="1" hidden="1">
      <c r="A13">
        <v>6419</v>
      </c>
      <c r="B13" t="s">
        <v>1770</v>
      </c>
      <c r="C13" s="46">
        <v>36456</v>
      </c>
      <c r="D13" s="46">
        <v>43758</v>
      </c>
      <c r="E13" s="46">
        <v>48625</v>
      </c>
      <c r="F13">
        <v>-16.68</v>
      </c>
      <c r="G13">
        <v>-25.02</v>
      </c>
      <c r="H13" s="46">
        <v>389073</v>
      </c>
      <c r="I13" s="46">
        <v>475982</v>
      </c>
      <c r="J13">
        <v>-18.25</v>
      </c>
      <c r="K13" t="s">
        <v>2046</v>
      </c>
    </row>
    <row r="14" spans="1:11" customFormat="1" hidden="1">
      <c r="A14">
        <v>6287</v>
      </c>
      <c r="B14" t="s">
        <v>2012</v>
      </c>
      <c r="C14" s="46">
        <v>88691</v>
      </c>
      <c r="D14" s="46">
        <v>86695</v>
      </c>
      <c r="E14" s="46">
        <v>68419</v>
      </c>
      <c r="F14">
        <v>2.2999999999999998</v>
      </c>
      <c r="G14">
        <v>29.62</v>
      </c>
      <c r="H14" s="46">
        <v>789528</v>
      </c>
      <c r="I14" s="46">
        <v>666556</v>
      </c>
      <c r="J14">
        <v>18.440000000000001</v>
      </c>
      <c r="K14" t="s">
        <v>2046</v>
      </c>
    </row>
    <row r="15" spans="1:11" customFormat="1" hidden="1">
      <c r="A15">
        <v>6279</v>
      </c>
      <c r="B15" t="s">
        <v>1762</v>
      </c>
      <c r="C15" s="46">
        <v>321440</v>
      </c>
      <c r="D15" s="46">
        <v>286142</v>
      </c>
      <c r="E15" s="46">
        <v>304529</v>
      </c>
      <c r="F15">
        <v>12.33</v>
      </c>
      <c r="G15">
        <v>5.55</v>
      </c>
      <c r="H15" s="46">
        <v>3035636</v>
      </c>
      <c r="I15" s="46">
        <v>2899790</v>
      </c>
      <c r="J15">
        <v>4.68</v>
      </c>
      <c r="K15" t="s">
        <v>2046</v>
      </c>
    </row>
    <row r="16" spans="1:11" customFormat="1" hidden="1">
      <c r="A16">
        <v>6274</v>
      </c>
      <c r="B16" t="s">
        <v>490</v>
      </c>
      <c r="C16" s="46">
        <v>1073180</v>
      </c>
      <c r="D16" s="46">
        <v>1054928</v>
      </c>
      <c r="E16" s="46">
        <v>1128626</v>
      </c>
      <c r="F16">
        <v>1.73</v>
      </c>
      <c r="G16">
        <v>-4.91</v>
      </c>
      <c r="H16" s="46">
        <v>11804147</v>
      </c>
      <c r="I16" s="46">
        <v>12272885</v>
      </c>
      <c r="J16">
        <v>-3.81</v>
      </c>
      <c r="K16" t="s">
        <v>2046</v>
      </c>
    </row>
    <row r="17" spans="1:11" customFormat="1" hidden="1">
      <c r="A17" s="305" t="str">
        <f>HYPERLINK("http://tw.stock.yahoo.com/q/ta?s=6242","6242")</f>
        <v>6242</v>
      </c>
      <c r="B17" s="305" t="str">
        <f>HYPERLINK("http://tw.stock.yahoo.com/d/s/earning_6242.html","立康")</f>
        <v>立康</v>
      </c>
      <c r="C17" s="46">
        <v>42077</v>
      </c>
      <c r="D17" s="46">
        <v>44169</v>
      </c>
      <c r="E17" s="46">
        <v>33729</v>
      </c>
      <c r="F17">
        <v>-4.7300000000000004</v>
      </c>
      <c r="G17">
        <v>24.75</v>
      </c>
      <c r="H17" s="46">
        <v>419248</v>
      </c>
      <c r="I17" s="46">
        <v>220445</v>
      </c>
      <c r="J17">
        <v>90.18</v>
      </c>
      <c r="K17" t="s">
        <v>2047</v>
      </c>
    </row>
    <row r="18" spans="1:11" customFormat="1" hidden="1">
      <c r="A18">
        <v>6234</v>
      </c>
      <c r="B18" t="s">
        <v>478</v>
      </c>
      <c r="C18" s="46">
        <v>80034</v>
      </c>
      <c r="D18" s="46">
        <v>80132</v>
      </c>
      <c r="E18" s="46">
        <v>101813</v>
      </c>
      <c r="F18">
        <v>-0.12</v>
      </c>
      <c r="G18">
        <v>-21.39</v>
      </c>
      <c r="H18" s="46">
        <v>1063810</v>
      </c>
      <c r="I18" s="46">
        <v>824844</v>
      </c>
      <c r="J18">
        <v>28.97</v>
      </c>
      <c r="K18" t="s">
        <v>2046</v>
      </c>
    </row>
    <row r="19" spans="1:11" customFormat="1" hidden="1">
      <c r="A19">
        <v>6207</v>
      </c>
      <c r="B19" t="s">
        <v>470</v>
      </c>
      <c r="C19" s="46">
        <v>143095</v>
      </c>
      <c r="D19" s="46">
        <v>151428</v>
      </c>
      <c r="E19" s="46">
        <v>201056</v>
      </c>
      <c r="F19">
        <v>-5.5</v>
      </c>
      <c r="G19">
        <v>-28.82</v>
      </c>
      <c r="H19" s="46">
        <v>1832176</v>
      </c>
      <c r="I19" s="46">
        <v>1657650</v>
      </c>
      <c r="J19">
        <v>10.52</v>
      </c>
      <c r="K19" t="s">
        <v>2046</v>
      </c>
    </row>
    <row r="20" spans="1:11" customFormat="1" hidden="1">
      <c r="A20">
        <v>6204</v>
      </c>
      <c r="B20" t="s">
        <v>2022</v>
      </c>
      <c r="C20" s="46">
        <v>43044</v>
      </c>
      <c r="D20" s="46">
        <v>41880</v>
      </c>
      <c r="E20" s="46">
        <v>49645</v>
      </c>
      <c r="F20">
        <v>2.77</v>
      </c>
      <c r="G20">
        <v>-13.29</v>
      </c>
      <c r="H20" s="46">
        <v>547748</v>
      </c>
      <c r="I20" s="46">
        <v>595399</v>
      </c>
      <c r="J20">
        <v>-8</v>
      </c>
      <c r="K20" t="s">
        <v>2046</v>
      </c>
    </row>
    <row r="21" spans="1:11" customFormat="1" hidden="1">
      <c r="A21">
        <v>6130</v>
      </c>
      <c r="B21" t="s">
        <v>455</v>
      </c>
      <c r="C21" s="46">
        <v>18836</v>
      </c>
      <c r="D21" s="46">
        <v>20602</v>
      </c>
      <c r="E21" s="46">
        <v>24131</v>
      </c>
      <c r="F21">
        <v>-8.57</v>
      </c>
      <c r="G21">
        <v>-21.94</v>
      </c>
      <c r="H21" s="46">
        <v>224773</v>
      </c>
      <c r="I21" s="46">
        <v>281676</v>
      </c>
      <c r="J21">
        <v>-20.2</v>
      </c>
      <c r="K21" t="s">
        <v>2046</v>
      </c>
    </row>
    <row r="22" spans="1:11" customFormat="1" hidden="1">
      <c r="A22">
        <v>6129</v>
      </c>
      <c r="B22" t="s">
        <v>2011</v>
      </c>
      <c r="C22" s="46">
        <v>93754</v>
      </c>
      <c r="D22" s="46">
        <v>118522</v>
      </c>
      <c r="E22" s="46">
        <v>109164</v>
      </c>
      <c r="F22">
        <v>-20.89</v>
      </c>
      <c r="G22">
        <v>-14.11</v>
      </c>
      <c r="H22" s="46">
        <v>1182779</v>
      </c>
      <c r="I22" s="46">
        <v>1413294</v>
      </c>
      <c r="J22">
        <v>-16.309999999999999</v>
      </c>
      <c r="K22" t="s">
        <v>2046</v>
      </c>
    </row>
    <row r="23" spans="1:11" customFormat="1" hidden="1">
      <c r="A23">
        <v>6121</v>
      </c>
      <c r="B23" t="s">
        <v>453</v>
      </c>
      <c r="C23" s="46">
        <v>6401052</v>
      </c>
      <c r="D23" s="46">
        <v>6023894</v>
      </c>
      <c r="E23" s="46">
        <v>6519646</v>
      </c>
      <c r="F23">
        <v>6.26</v>
      </c>
      <c r="G23">
        <v>-1.81</v>
      </c>
      <c r="H23" s="46">
        <v>59224942</v>
      </c>
      <c r="I23" s="46">
        <v>53460908</v>
      </c>
      <c r="J23">
        <v>10.78</v>
      </c>
      <c r="K23" t="s">
        <v>2046</v>
      </c>
    </row>
    <row r="24" spans="1:11" customFormat="1" hidden="1">
      <c r="A24">
        <v>6023</v>
      </c>
      <c r="B24" t="s">
        <v>2049</v>
      </c>
      <c r="C24" s="46">
        <v>292856</v>
      </c>
      <c r="D24" s="46">
        <v>227077</v>
      </c>
      <c r="E24" s="46">
        <v>191732</v>
      </c>
      <c r="F24">
        <v>28.96</v>
      </c>
      <c r="G24">
        <v>52.74</v>
      </c>
      <c r="H24" s="46">
        <v>2663591</v>
      </c>
      <c r="I24" s="46">
        <v>2024129</v>
      </c>
      <c r="J24">
        <v>31.59</v>
      </c>
      <c r="K24" t="s">
        <v>2046</v>
      </c>
    </row>
    <row r="25" spans="1:11" customFormat="1" hidden="1">
      <c r="A25" s="305" t="str">
        <f>HYPERLINK("http://tw.stock.yahoo.com/q/ta?s=5904","5904")</f>
        <v>5904</v>
      </c>
      <c r="B25" s="305" t="str">
        <f>HYPERLINK("http://tw.stock.yahoo.com/d/s/earning_5904.html","寶雅")</f>
        <v>寶雅</v>
      </c>
      <c r="C25" s="46">
        <v>879290</v>
      </c>
      <c r="D25" s="46">
        <v>922398</v>
      </c>
      <c r="E25" s="46">
        <v>785879</v>
      </c>
      <c r="F25">
        <v>-4.67</v>
      </c>
      <c r="G25">
        <v>11.88</v>
      </c>
      <c r="H25" s="46">
        <v>9641186</v>
      </c>
      <c r="I25" s="46">
        <v>8183584</v>
      </c>
      <c r="J25">
        <v>17.809999999999999</v>
      </c>
      <c r="K25" t="s">
        <v>2047</v>
      </c>
    </row>
    <row r="26" spans="1:11" customFormat="1" hidden="1">
      <c r="A26">
        <v>5601</v>
      </c>
      <c r="B26" t="s">
        <v>2053</v>
      </c>
      <c r="C26" s="46">
        <v>6317</v>
      </c>
      <c r="D26" s="46">
        <v>6316</v>
      </c>
      <c r="E26" s="46">
        <v>6444</v>
      </c>
      <c r="F26">
        <v>0.01</v>
      </c>
      <c r="G26">
        <v>-1.97</v>
      </c>
      <c r="H26" s="46">
        <v>68927</v>
      </c>
      <c r="I26" s="46">
        <v>63372</v>
      </c>
      <c r="J26">
        <v>8.76</v>
      </c>
      <c r="K26" t="s">
        <v>2046</v>
      </c>
    </row>
    <row r="27" spans="1:11" customFormat="1" hidden="1">
      <c r="A27">
        <v>5508</v>
      </c>
      <c r="B27" t="s">
        <v>2025</v>
      </c>
      <c r="C27" s="46">
        <v>79359</v>
      </c>
      <c r="D27" s="46">
        <v>92497</v>
      </c>
      <c r="E27" s="46">
        <v>155256</v>
      </c>
      <c r="F27">
        <v>-14.2</v>
      </c>
      <c r="G27">
        <v>-48.88</v>
      </c>
      <c r="H27" s="46">
        <v>1592472</v>
      </c>
      <c r="I27" s="46">
        <v>3744025</v>
      </c>
      <c r="J27">
        <v>-57.46</v>
      </c>
      <c r="K27" t="s">
        <v>2046</v>
      </c>
    </row>
    <row r="28" spans="1:11" customFormat="1" hidden="1">
      <c r="A28">
        <v>5490</v>
      </c>
      <c r="B28" t="s">
        <v>441</v>
      </c>
      <c r="C28" s="46">
        <v>431379</v>
      </c>
      <c r="D28" s="46">
        <v>249276</v>
      </c>
      <c r="E28" s="46">
        <v>173884</v>
      </c>
      <c r="F28">
        <v>73.05</v>
      </c>
      <c r="G28">
        <v>148.08000000000001</v>
      </c>
      <c r="H28" s="46">
        <v>2991307</v>
      </c>
      <c r="I28" s="46">
        <v>1616392</v>
      </c>
      <c r="J28">
        <v>85.06</v>
      </c>
      <c r="K28" t="s">
        <v>2046</v>
      </c>
    </row>
    <row r="29" spans="1:11" customFormat="1" hidden="1">
      <c r="A29">
        <v>5460</v>
      </c>
      <c r="B29" t="s">
        <v>2021</v>
      </c>
      <c r="C29" s="46">
        <v>71002</v>
      </c>
      <c r="D29" s="46">
        <v>67174</v>
      </c>
      <c r="E29" s="46">
        <v>73473</v>
      </c>
      <c r="F29">
        <v>5.69</v>
      </c>
      <c r="G29">
        <v>-3.36</v>
      </c>
      <c r="H29" s="46">
        <v>876340</v>
      </c>
      <c r="I29" s="46">
        <v>968910</v>
      </c>
      <c r="J29">
        <v>-9.5500000000000007</v>
      </c>
      <c r="K29" t="s">
        <v>2046</v>
      </c>
    </row>
    <row r="30" spans="1:11" customFormat="1" hidden="1">
      <c r="A30">
        <v>5432</v>
      </c>
      <c r="B30" t="s">
        <v>2016</v>
      </c>
      <c r="C30" s="46">
        <v>9521</v>
      </c>
      <c r="D30" s="46">
        <v>9840</v>
      </c>
      <c r="E30" s="46">
        <v>9552</v>
      </c>
      <c r="F30">
        <v>-3.24</v>
      </c>
      <c r="G30">
        <v>-0.32</v>
      </c>
      <c r="H30" s="46">
        <v>113974</v>
      </c>
      <c r="I30" s="46">
        <v>131709</v>
      </c>
      <c r="J30">
        <v>-13.46</v>
      </c>
      <c r="K30" t="s">
        <v>2046</v>
      </c>
    </row>
    <row r="31" spans="1:11" customFormat="1" hidden="1">
      <c r="A31">
        <v>5356</v>
      </c>
      <c r="B31" t="s">
        <v>2013</v>
      </c>
      <c r="C31" s="46">
        <v>813475</v>
      </c>
      <c r="D31" s="46">
        <v>657196</v>
      </c>
      <c r="E31" s="46">
        <v>910643</v>
      </c>
      <c r="F31">
        <v>23.77</v>
      </c>
      <c r="G31">
        <v>-10.67</v>
      </c>
      <c r="H31" s="46">
        <v>8559144</v>
      </c>
      <c r="I31" s="46">
        <v>8668234</v>
      </c>
      <c r="J31">
        <v>-1.25</v>
      </c>
      <c r="K31" t="s">
        <v>2046</v>
      </c>
    </row>
    <row r="32" spans="1:11" customFormat="1" hidden="1">
      <c r="A32">
        <v>5349</v>
      </c>
      <c r="B32" t="s">
        <v>2020</v>
      </c>
      <c r="C32" s="46">
        <v>628414</v>
      </c>
      <c r="D32" s="46">
        <v>642005</v>
      </c>
      <c r="E32" s="46">
        <v>768373</v>
      </c>
      <c r="F32">
        <v>-2.11</v>
      </c>
      <c r="G32">
        <v>-18.21</v>
      </c>
      <c r="H32" s="46">
        <v>7198115</v>
      </c>
      <c r="I32" s="46">
        <v>7406321</v>
      </c>
      <c r="J32">
        <v>-2.81</v>
      </c>
      <c r="K32" t="s">
        <v>2046</v>
      </c>
    </row>
    <row r="33" spans="1:11" customFormat="1" hidden="1">
      <c r="A33">
        <v>5345</v>
      </c>
      <c r="B33" t="s">
        <v>423</v>
      </c>
      <c r="C33" s="46">
        <v>10655</v>
      </c>
      <c r="D33" s="46">
        <v>9352</v>
      </c>
      <c r="E33" s="46">
        <v>22749</v>
      </c>
      <c r="F33">
        <v>13.93</v>
      </c>
      <c r="G33">
        <v>-53.16</v>
      </c>
      <c r="H33" s="46">
        <v>117186</v>
      </c>
      <c r="I33" s="46">
        <v>187844</v>
      </c>
      <c r="J33">
        <v>-37.61</v>
      </c>
      <c r="K33" t="s">
        <v>2046</v>
      </c>
    </row>
    <row r="34" spans="1:11" customFormat="1" hidden="1">
      <c r="A34" s="305" t="str">
        <f>HYPERLINK("http://tw.stock.yahoo.com/q/ta?s=5274","5274")</f>
        <v>5274</v>
      </c>
      <c r="B34" s="305" t="str">
        <f>HYPERLINK("http://tw.stock.yahoo.com/d/s/earning_5274.html","信驊科技")</f>
        <v>信驊科技</v>
      </c>
      <c r="C34" s="46">
        <v>85998</v>
      </c>
      <c r="D34" s="46">
        <v>85278</v>
      </c>
      <c r="E34" s="46">
        <v>82308</v>
      </c>
      <c r="F34">
        <v>0.84</v>
      </c>
      <c r="G34">
        <v>4.4800000000000004</v>
      </c>
      <c r="H34" s="46">
        <v>905543</v>
      </c>
      <c r="I34" s="46">
        <v>771240</v>
      </c>
      <c r="J34">
        <v>17.41</v>
      </c>
      <c r="K34" t="s">
        <v>2047</v>
      </c>
    </row>
    <row r="35" spans="1:11" customFormat="1" hidden="1">
      <c r="A35">
        <v>5211</v>
      </c>
      <c r="B35" t="s">
        <v>408</v>
      </c>
      <c r="C35" s="46">
        <v>22291</v>
      </c>
      <c r="D35" s="46">
        <v>21560</v>
      </c>
      <c r="E35" s="46">
        <v>23346</v>
      </c>
      <c r="F35">
        <v>3.39</v>
      </c>
      <c r="G35">
        <v>-4.51</v>
      </c>
      <c r="H35" s="46">
        <v>243208</v>
      </c>
      <c r="I35" s="46">
        <v>279119</v>
      </c>
      <c r="J35">
        <v>-12.86</v>
      </c>
      <c r="K35" t="s">
        <v>2046</v>
      </c>
    </row>
    <row r="36" spans="1:11" customFormat="1" hidden="1">
      <c r="A36" s="305" t="str">
        <f>HYPERLINK("http://tw.stock.yahoo.com/q/ta?s=4974","4974")</f>
        <v>4974</v>
      </c>
      <c r="B36" s="305" t="str">
        <f>HYPERLINK("http://tw.stock.yahoo.com/d/s/earning_4974.html","亞泰")</f>
        <v>亞泰</v>
      </c>
      <c r="C36" s="46">
        <v>209596</v>
      </c>
      <c r="D36" s="46">
        <v>273381</v>
      </c>
      <c r="E36" s="46">
        <v>265062</v>
      </c>
      <c r="F36">
        <v>-23.33</v>
      </c>
      <c r="G36">
        <v>-20.92</v>
      </c>
      <c r="H36" s="46">
        <v>3324823</v>
      </c>
      <c r="I36" s="46">
        <v>3063585</v>
      </c>
      <c r="J36">
        <v>8.52</v>
      </c>
      <c r="K36" t="s">
        <v>2047</v>
      </c>
    </row>
    <row r="37" spans="1:11" customFormat="1" hidden="1">
      <c r="A37">
        <v>4972</v>
      </c>
      <c r="B37" t="s">
        <v>2015</v>
      </c>
      <c r="C37" s="46">
        <v>98753</v>
      </c>
      <c r="D37" s="46">
        <v>95696</v>
      </c>
      <c r="E37" s="46">
        <v>102443</v>
      </c>
      <c r="F37">
        <v>3.19</v>
      </c>
      <c r="G37">
        <v>-3.6</v>
      </c>
      <c r="H37" s="46">
        <v>1187250</v>
      </c>
      <c r="I37" s="46">
        <v>1067698</v>
      </c>
      <c r="J37">
        <v>11.19</v>
      </c>
      <c r="K37" t="s">
        <v>2046</v>
      </c>
    </row>
    <row r="38" spans="1:11" customFormat="1" hidden="1">
      <c r="A38">
        <v>4911</v>
      </c>
      <c r="B38" t="s">
        <v>395</v>
      </c>
      <c r="C38" s="46">
        <v>10367</v>
      </c>
      <c r="D38" s="46">
        <v>8101</v>
      </c>
      <c r="E38" s="46">
        <v>10263</v>
      </c>
      <c r="F38">
        <v>27.97</v>
      </c>
      <c r="G38">
        <v>1.01</v>
      </c>
      <c r="H38" s="46">
        <v>45490</v>
      </c>
      <c r="I38" s="46">
        <v>74229</v>
      </c>
      <c r="J38">
        <v>-38.71</v>
      </c>
      <c r="K38" t="s">
        <v>2046</v>
      </c>
    </row>
    <row r="39" spans="1:11" customFormat="1" hidden="1">
      <c r="A39" s="305" t="str">
        <f>HYPERLINK("http://tw.stock.yahoo.com/q/ta?s=4743","4743")</f>
        <v>4743</v>
      </c>
      <c r="B39" s="305" t="str">
        <f>HYPERLINK("http://tw.stock.yahoo.com/d/s/earning_4743.html","合一生技")</f>
        <v>合一生技</v>
      </c>
      <c r="C39" s="46">
        <v>284</v>
      </c>
      <c r="D39" s="46">
        <v>940</v>
      </c>
      <c r="E39" s="46">
        <v>469</v>
      </c>
      <c r="F39">
        <v>-69.78</v>
      </c>
      <c r="G39">
        <v>-39.44</v>
      </c>
      <c r="H39" s="46">
        <v>7827</v>
      </c>
      <c r="I39" s="46">
        <v>5076</v>
      </c>
      <c r="J39">
        <v>54.19</v>
      </c>
      <c r="K39" t="s">
        <v>2047</v>
      </c>
    </row>
    <row r="40" spans="1:11" customFormat="1" hidden="1">
      <c r="A40">
        <v>4703</v>
      </c>
      <c r="B40" t="s">
        <v>2051</v>
      </c>
      <c r="C40">
        <v>0</v>
      </c>
      <c r="D40" s="46">
        <v>1942</v>
      </c>
      <c r="E40" s="46">
        <v>358044</v>
      </c>
      <c r="F40">
        <v>-100</v>
      </c>
      <c r="G40">
        <v>-100</v>
      </c>
      <c r="H40" s="46">
        <v>1464662</v>
      </c>
      <c r="I40" s="46">
        <v>2590052</v>
      </c>
      <c r="J40">
        <v>-43.45</v>
      </c>
      <c r="K40" t="s">
        <v>2046</v>
      </c>
    </row>
    <row r="41" spans="1:11" customFormat="1">
      <c r="A41" s="305" t="str">
        <f>HYPERLINK("http://tw.stock.yahoo.com/q/ta?s=4528","4528")</f>
        <v>4528</v>
      </c>
      <c r="B41" s="305" t="str">
        <f>HYPERLINK("http://tw.stock.yahoo.com/d/s/earning_4528.html","江興鍛壓")</f>
        <v>江興鍛壓</v>
      </c>
      <c r="C41" s="46">
        <v>190898</v>
      </c>
      <c r="D41" s="46">
        <v>189745</v>
      </c>
      <c r="E41" s="46">
        <v>175087</v>
      </c>
      <c r="F41">
        <v>0.6</v>
      </c>
      <c r="G41">
        <v>9.0299999999999994</v>
      </c>
      <c r="H41" s="46">
        <v>2039077</v>
      </c>
      <c r="I41" s="46">
        <v>1623637</v>
      </c>
      <c r="J41">
        <v>25.58</v>
      </c>
      <c r="K41" t="s">
        <v>2047</v>
      </c>
    </row>
    <row r="42" spans="1:11" customFormat="1" hidden="1">
      <c r="A42">
        <v>4174</v>
      </c>
      <c r="B42" t="s">
        <v>374</v>
      </c>
      <c r="C42" s="46">
        <v>0</v>
      </c>
      <c r="D42" s="46">
        <v>0</v>
      </c>
      <c r="E42" s="46">
        <v>0</v>
      </c>
      <c r="H42" s="46">
        <v>0</v>
      </c>
      <c r="I42" s="46">
        <v>0</v>
      </c>
      <c r="K42" t="s">
        <v>2046</v>
      </c>
    </row>
    <row r="43" spans="1:11" customFormat="1" hidden="1">
      <c r="A43">
        <v>4161</v>
      </c>
      <c r="B43" t="s">
        <v>2007</v>
      </c>
      <c r="C43" s="46">
        <v>42366</v>
      </c>
      <c r="D43" s="46">
        <v>38826</v>
      </c>
      <c r="E43" s="46">
        <v>34526</v>
      </c>
      <c r="F43">
        <v>9.11</v>
      </c>
      <c r="G43">
        <v>22.7</v>
      </c>
      <c r="H43" s="46">
        <v>414893</v>
      </c>
      <c r="I43" s="46">
        <v>357122</v>
      </c>
      <c r="J43">
        <v>16.170000000000002</v>
      </c>
      <c r="K43" t="s">
        <v>2046</v>
      </c>
    </row>
    <row r="44" spans="1:11" customFormat="1" hidden="1">
      <c r="A44">
        <v>4147</v>
      </c>
      <c r="B44" t="s">
        <v>2006</v>
      </c>
      <c r="C44">
        <v>0</v>
      </c>
      <c r="D44">
        <v>0</v>
      </c>
      <c r="E44">
        <v>0</v>
      </c>
      <c r="H44">
        <v>0</v>
      </c>
      <c r="I44">
        <v>0</v>
      </c>
      <c r="K44" t="s">
        <v>2046</v>
      </c>
    </row>
    <row r="45" spans="1:11" customFormat="1" hidden="1">
      <c r="A45" s="305" t="str">
        <f>HYPERLINK("http://tw.stock.yahoo.com/q/ta?s=4128","4128")</f>
        <v>4128</v>
      </c>
      <c r="B45" s="305" t="str">
        <f>HYPERLINK("http://tw.stock.yahoo.com/d/s/earning_4128.html","中天生技")</f>
        <v>中天生技</v>
      </c>
      <c r="C45" s="46">
        <v>128749</v>
      </c>
      <c r="D45" s="46">
        <v>155997</v>
      </c>
      <c r="E45" s="46">
        <v>149046</v>
      </c>
      <c r="F45">
        <v>-17.46</v>
      </c>
      <c r="G45">
        <v>-13.61</v>
      </c>
      <c r="H45" s="46">
        <v>1399331</v>
      </c>
      <c r="I45" s="46">
        <v>1280214</v>
      </c>
      <c r="J45">
        <v>9.3000000000000007</v>
      </c>
      <c r="K45" t="s">
        <v>2047</v>
      </c>
    </row>
    <row r="46" spans="1:11" customFormat="1" hidden="1">
      <c r="A46">
        <v>4126</v>
      </c>
      <c r="B46" t="s">
        <v>366</v>
      </c>
      <c r="C46" s="46">
        <v>135278</v>
      </c>
      <c r="D46" s="46">
        <v>149070</v>
      </c>
      <c r="E46" s="46">
        <v>121682</v>
      </c>
      <c r="F46">
        <v>-9.25</v>
      </c>
      <c r="G46">
        <v>11.17</v>
      </c>
      <c r="H46" s="46">
        <v>1441041</v>
      </c>
      <c r="I46" s="46">
        <v>1376755</v>
      </c>
      <c r="J46">
        <v>4.66</v>
      </c>
      <c r="K46" t="s">
        <v>2046</v>
      </c>
    </row>
    <row r="47" spans="1:11" customFormat="1" hidden="1">
      <c r="A47">
        <v>3691</v>
      </c>
      <c r="B47" t="s">
        <v>1559</v>
      </c>
      <c r="C47" s="46">
        <v>1643183</v>
      </c>
      <c r="D47" s="46">
        <v>1607643</v>
      </c>
      <c r="E47" s="46">
        <v>1002811</v>
      </c>
      <c r="F47">
        <v>2.21</v>
      </c>
      <c r="G47">
        <v>63.85</v>
      </c>
      <c r="H47" s="46">
        <v>14124636</v>
      </c>
      <c r="I47" s="46">
        <v>8675356</v>
      </c>
      <c r="J47">
        <v>62.81</v>
      </c>
      <c r="K47" t="s">
        <v>2046</v>
      </c>
    </row>
    <row r="48" spans="1:11" customFormat="1" hidden="1">
      <c r="A48" s="305">
        <v>3675</v>
      </c>
      <c r="B48" s="305" t="s">
        <v>2010</v>
      </c>
      <c r="C48" s="46">
        <v>73512</v>
      </c>
      <c r="D48" s="46">
        <v>76526</v>
      </c>
      <c r="E48" s="46">
        <v>80031</v>
      </c>
      <c r="F48">
        <v>-3.93</v>
      </c>
      <c r="G48">
        <v>-8.14</v>
      </c>
      <c r="H48" s="46">
        <v>980858</v>
      </c>
      <c r="I48" s="46">
        <v>1015743</v>
      </c>
      <c r="J48">
        <v>-3.43</v>
      </c>
      <c r="K48" t="s">
        <v>2046</v>
      </c>
    </row>
    <row r="49" spans="1:11" customFormat="1" hidden="1">
      <c r="A49">
        <v>3666</v>
      </c>
      <c r="B49" t="s">
        <v>359</v>
      </c>
      <c r="C49" s="46">
        <v>136305</v>
      </c>
      <c r="D49" s="46">
        <v>110286</v>
      </c>
      <c r="E49" s="46">
        <v>105245</v>
      </c>
      <c r="F49">
        <v>23.59</v>
      </c>
      <c r="G49">
        <v>29.51</v>
      </c>
      <c r="H49" s="46">
        <v>1040020</v>
      </c>
      <c r="I49" s="46">
        <v>1433170</v>
      </c>
      <c r="J49">
        <v>-27.43</v>
      </c>
      <c r="K49" t="s">
        <v>2046</v>
      </c>
    </row>
    <row r="50" spans="1:11" customFormat="1" hidden="1">
      <c r="A50">
        <v>3630</v>
      </c>
      <c r="B50" t="s">
        <v>355</v>
      </c>
      <c r="C50" s="46">
        <v>84683</v>
      </c>
      <c r="D50" s="46">
        <v>104675</v>
      </c>
      <c r="E50" s="46">
        <v>63799</v>
      </c>
      <c r="F50">
        <v>-19.09</v>
      </c>
      <c r="G50">
        <v>32.729999999999997</v>
      </c>
      <c r="H50" s="46">
        <v>906163</v>
      </c>
      <c r="I50" s="46">
        <v>1552115</v>
      </c>
      <c r="J50">
        <v>-41.61</v>
      </c>
      <c r="K50" t="s">
        <v>2046</v>
      </c>
    </row>
    <row r="51" spans="1:11" customFormat="1" hidden="1">
      <c r="A51">
        <v>3629</v>
      </c>
      <c r="B51" t="s">
        <v>2014</v>
      </c>
      <c r="C51" s="46">
        <v>16522</v>
      </c>
      <c r="D51" s="46">
        <v>4553</v>
      </c>
      <c r="E51" s="46">
        <v>11628</v>
      </c>
      <c r="F51">
        <v>262.88</v>
      </c>
      <c r="G51">
        <v>42.08</v>
      </c>
      <c r="H51" s="46">
        <v>101276</v>
      </c>
      <c r="I51" s="46">
        <v>173398</v>
      </c>
      <c r="J51">
        <v>-41.59</v>
      </c>
      <c r="K51" t="s">
        <v>2046</v>
      </c>
    </row>
    <row r="52" spans="1:11" customFormat="1" hidden="1">
      <c r="A52">
        <v>3625</v>
      </c>
      <c r="B52" t="s">
        <v>354</v>
      </c>
      <c r="C52" s="46">
        <v>90273</v>
      </c>
      <c r="D52" s="46">
        <v>70153</v>
      </c>
      <c r="E52" s="46">
        <v>62461</v>
      </c>
      <c r="F52">
        <v>28.68</v>
      </c>
      <c r="G52">
        <v>44.52</v>
      </c>
      <c r="H52" s="46">
        <v>690224</v>
      </c>
      <c r="I52" s="46">
        <v>588971</v>
      </c>
      <c r="J52">
        <v>17.190000000000001</v>
      </c>
      <c r="K52" t="s">
        <v>2046</v>
      </c>
    </row>
    <row r="53" spans="1:11" customFormat="1" hidden="1">
      <c r="A53">
        <v>3563</v>
      </c>
      <c r="B53" t="s">
        <v>348</v>
      </c>
      <c r="C53" s="46">
        <v>42522</v>
      </c>
      <c r="D53" s="46">
        <v>40163</v>
      </c>
      <c r="E53" s="46">
        <v>45546</v>
      </c>
      <c r="F53">
        <v>5.87</v>
      </c>
      <c r="G53">
        <v>-6.63</v>
      </c>
      <c r="H53" s="46">
        <v>568745</v>
      </c>
      <c r="I53" s="46">
        <v>614341</v>
      </c>
      <c r="J53">
        <v>-7.42</v>
      </c>
      <c r="K53" t="s">
        <v>2046</v>
      </c>
    </row>
    <row r="54" spans="1:11" customFormat="1" hidden="1">
      <c r="A54">
        <v>3552</v>
      </c>
      <c r="B54" t="s">
        <v>2048</v>
      </c>
      <c r="C54" s="46">
        <v>791076</v>
      </c>
      <c r="D54" s="46">
        <v>681521</v>
      </c>
      <c r="E54" s="46">
        <v>462448</v>
      </c>
      <c r="F54">
        <v>16.07</v>
      </c>
      <c r="G54">
        <v>71.06</v>
      </c>
      <c r="H54" s="46">
        <v>6170642</v>
      </c>
      <c r="I54" s="46">
        <v>4616879</v>
      </c>
      <c r="J54">
        <v>33.65</v>
      </c>
      <c r="K54" t="s">
        <v>2046</v>
      </c>
    </row>
    <row r="55" spans="1:11" customFormat="1" hidden="1">
      <c r="A55" s="305" t="str">
        <f>HYPERLINK("http://tw.stock.yahoo.com/q/ta?s=3484","3484")</f>
        <v>3484</v>
      </c>
      <c r="B55" s="305" t="str">
        <f>HYPERLINK("http://tw.stock.yahoo.com/d/s/earning_3484.html","崧騰")</f>
        <v>崧騰</v>
      </c>
      <c r="C55" s="46">
        <v>270852</v>
      </c>
      <c r="D55" s="46">
        <v>279745</v>
      </c>
      <c r="E55" s="46">
        <v>272775</v>
      </c>
      <c r="F55">
        <v>-3.17</v>
      </c>
      <c r="G55">
        <v>-0.7</v>
      </c>
      <c r="H55" s="46">
        <v>2975422</v>
      </c>
      <c r="I55" s="46">
        <v>2900168</v>
      </c>
      <c r="J55">
        <v>2.59</v>
      </c>
      <c r="K55" t="s">
        <v>2047</v>
      </c>
    </row>
    <row r="56" spans="1:11" customFormat="1" hidden="1">
      <c r="A56">
        <v>3373</v>
      </c>
      <c r="B56" t="s">
        <v>324</v>
      </c>
      <c r="C56" s="46">
        <v>85371</v>
      </c>
      <c r="D56" s="46">
        <v>84582</v>
      </c>
      <c r="E56" s="46">
        <v>65215</v>
      </c>
      <c r="F56">
        <v>0.93</v>
      </c>
      <c r="G56">
        <v>30.9</v>
      </c>
      <c r="H56" s="46">
        <v>834290</v>
      </c>
      <c r="I56" s="46">
        <v>673029</v>
      </c>
      <c r="J56">
        <v>23.96</v>
      </c>
      <c r="K56" t="s">
        <v>2046</v>
      </c>
    </row>
    <row r="57" spans="1:11" customFormat="1" hidden="1">
      <c r="A57">
        <v>3323</v>
      </c>
      <c r="B57" t="s">
        <v>319</v>
      </c>
      <c r="C57" s="46">
        <v>463391</v>
      </c>
      <c r="D57" s="46">
        <v>411201</v>
      </c>
      <c r="E57" s="46">
        <v>494170</v>
      </c>
      <c r="F57">
        <v>12.69</v>
      </c>
      <c r="G57">
        <v>-6.22</v>
      </c>
      <c r="H57" s="46">
        <v>4461134</v>
      </c>
      <c r="I57" s="46">
        <v>4281781</v>
      </c>
      <c r="J57">
        <v>4.18</v>
      </c>
      <c r="K57" t="s">
        <v>2046</v>
      </c>
    </row>
    <row r="58" spans="1:11" customFormat="1" hidden="1">
      <c r="A58">
        <v>3293</v>
      </c>
      <c r="B58" t="s">
        <v>2026</v>
      </c>
      <c r="C58" s="46">
        <v>190783</v>
      </c>
      <c r="D58" s="46">
        <v>168277</v>
      </c>
      <c r="E58" s="46">
        <v>149110</v>
      </c>
      <c r="F58">
        <v>13.37</v>
      </c>
      <c r="G58">
        <v>27.94</v>
      </c>
      <c r="H58" s="46">
        <v>1707480</v>
      </c>
      <c r="I58" s="46">
        <v>1536417</v>
      </c>
      <c r="J58">
        <v>11.13</v>
      </c>
      <c r="K58" t="s">
        <v>2046</v>
      </c>
    </row>
    <row r="59" spans="1:11" customFormat="1" hidden="1">
      <c r="A59">
        <v>3290</v>
      </c>
      <c r="B59" t="s">
        <v>2052</v>
      </c>
      <c r="C59" s="46">
        <v>215434</v>
      </c>
      <c r="D59" s="46">
        <v>256187</v>
      </c>
      <c r="E59" s="46">
        <v>270249</v>
      </c>
      <c r="F59">
        <v>-15.9</v>
      </c>
      <c r="G59">
        <v>-20.28</v>
      </c>
      <c r="H59" s="46">
        <v>2587113</v>
      </c>
      <c r="I59" s="46">
        <v>2973376</v>
      </c>
      <c r="J59">
        <v>-12.99</v>
      </c>
      <c r="K59" t="s">
        <v>2046</v>
      </c>
    </row>
    <row r="60" spans="1:11" customFormat="1" hidden="1">
      <c r="A60" s="305">
        <v>3260</v>
      </c>
      <c r="B60" s="305" t="s">
        <v>2009</v>
      </c>
      <c r="C60" s="46">
        <v>1714549</v>
      </c>
      <c r="D60" s="46">
        <v>1672344</v>
      </c>
      <c r="E60" s="46">
        <v>2200341</v>
      </c>
      <c r="F60">
        <v>2.52</v>
      </c>
      <c r="G60">
        <v>-22.07</v>
      </c>
      <c r="H60" s="46">
        <v>18363001</v>
      </c>
      <c r="I60" s="46">
        <v>26720726</v>
      </c>
      <c r="J60">
        <v>-31.27</v>
      </c>
      <c r="K60" t="s">
        <v>2046</v>
      </c>
    </row>
    <row r="61" spans="1:11" customFormat="1" hidden="1">
      <c r="A61">
        <v>3228</v>
      </c>
      <c r="B61" t="s">
        <v>303</v>
      </c>
      <c r="C61" s="46">
        <v>23669</v>
      </c>
      <c r="D61" s="46">
        <v>19366</v>
      </c>
      <c r="E61" s="46">
        <v>25402</v>
      </c>
      <c r="F61">
        <v>22.21</v>
      </c>
      <c r="G61">
        <v>-6.82</v>
      </c>
      <c r="H61" s="46">
        <v>249297</v>
      </c>
      <c r="I61" s="46">
        <v>251699</v>
      </c>
      <c r="J61">
        <v>-0.95</v>
      </c>
      <c r="K61" t="s">
        <v>2046</v>
      </c>
    </row>
    <row r="62" spans="1:11" customFormat="1" hidden="1">
      <c r="A62">
        <v>3227</v>
      </c>
      <c r="B62" t="s">
        <v>302</v>
      </c>
      <c r="C62" s="46">
        <v>361260</v>
      </c>
      <c r="D62" s="46">
        <v>368677</v>
      </c>
      <c r="E62" s="46">
        <v>347910</v>
      </c>
      <c r="F62">
        <v>-2.0099999999999998</v>
      </c>
      <c r="G62">
        <v>3.83</v>
      </c>
      <c r="H62" s="46">
        <v>3971549</v>
      </c>
      <c r="I62" s="46">
        <v>4391534</v>
      </c>
      <c r="J62">
        <v>-9.56</v>
      </c>
      <c r="K62" t="s">
        <v>2046</v>
      </c>
    </row>
    <row r="63" spans="1:11" customFormat="1" hidden="1">
      <c r="A63">
        <v>3211</v>
      </c>
      <c r="B63" t="s">
        <v>2050</v>
      </c>
      <c r="C63" s="46">
        <v>2194458</v>
      </c>
      <c r="D63" s="46">
        <v>2015494</v>
      </c>
      <c r="E63" s="46">
        <v>2581546</v>
      </c>
      <c r="F63">
        <v>8.8699999999999992</v>
      </c>
      <c r="G63">
        <v>-14.99</v>
      </c>
      <c r="H63" s="46">
        <v>19814312</v>
      </c>
      <c r="I63" s="46">
        <v>23771056</v>
      </c>
      <c r="J63">
        <v>-16.64</v>
      </c>
      <c r="K63" t="s">
        <v>2046</v>
      </c>
    </row>
    <row r="64" spans="1:11" customFormat="1" hidden="1">
      <c r="A64" s="305" t="str">
        <f>HYPERLINK("http://tw.stock.yahoo.com/q/ta?s=3144","3144")</f>
        <v>3144</v>
      </c>
      <c r="B64" s="305" t="str">
        <f>HYPERLINK("http://tw.stock.yahoo.com/d/s/earning_3144.html","新揚科")</f>
        <v>新揚科</v>
      </c>
      <c r="C64" s="46">
        <v>155483</v>
      </c>
      <c r="D64" s="46">
        <v>183507</v>
      </c>
      <c r="E64" s="46">
        <v>166657</v>
      </c>
      <c r="F64">
        <v>-15.27</v>
      </c>
      <c r="G64">
        <v>-6.7</v>
      </c>
      <c r="H64" s="46">
        <v>1841341</v>
      </c>
      <c r="I64" s="46">
        <v>1812343</v>
      </c>
      <c r="J64">
        <v>1.6</v>
      </c>
      <c r="K64" t="s">
        <v>2047</v>
      </c>
    </row>
    <row r="65" spans="1:11" customFormat="1" hidden="1">
      <c r="A65">
        <v>3141</v>
      </c>
      <c r="B65" t="s">
        <v>293</v>
      </c>
      <c r="C65" s="46">
        <v>97582</v>
      </c>
      <c r="D65" s="46">
        <v>97917</v>
      </c>
      <c r="E65" s="46">
        <v>82862</v>
      </c>
      <c r="F65">
        <v>-0.34</v>
      </c>
      <c r="G65">
        <v>17.760000000000002</v>
      </c>
      <c r="H65" s="46">
        <v>995455</v>
      </c>
      <c r="I65" s="46">
        <v>927890</v>
      </c>
      <c r="J65">
        <v>7.28</v>
      </c>
      <c r="K65" t="s">
        <v>2046</v>
      </c>
    </row>
    <row r="66" spans="1:11" customFormat="1" hidden="1">
      <c r="A66">
        <v>3105</v>
      </c>
      <c r="B66" t="s">
        <v>292</v>
      </c>
      <c r="C66" s="46">
        <v>1063705</v>
      </c>
      <c r="D66" s="46">
        <v>1048216</v>
      </c>
      <c r="E66" s="46">
        <v>869608</v>
      </c>
      <c r="F66">
        <v>1.47</v>
      </c>
      <c r="G66">
        <v>22.32</v>
      </c>
      <c r="H66" s="46">
        <v>10929654</v>
      </c>
      <c r="I66" s="46">
        <v>9083722</v>
      </c>
      <c r="J66">
        <v>20.32</v>
      </c>
      <c r="K66" t="s">
        <v>2046</v>
      </c>
    </row>
    <row r="67" spans="1:11" customFormat="1" hidden="1">
      <c r="A67">
        <v>3089</v>
      </c>
      <c r="B67" t="s">
        <v>288</v>
      </c>
      <c r="C67" s="46">
        <v>23590</v>
      </c>
      <c r="D67" s="46">
        <v>35396</v>
      </c>
      <c r="E67" s="46">
        <v>45558</v>
      </c>
      <c r="F67">
        <v>-33.35</v>
      </c>
      <c r="G67">
        <v>-48.21</v>
      </c>
      <c r="H67" s="46">
        <v>283842</v>
      </c>
      <c r="I67" s="46">
        <v>486876</v>
      </c>
      <c r="J67">
        <v>-41.7</v>
      </c>
      <c r="K67" t="s">
        <v>2046</v>
      </c>
    </row>
    <row r="68" spans="1:11" customFormat="1" hidden="1">
      <c r="A68">
        <v>3081</v>
      </c>
      <c r="B68" t="s">
        <v>2017</v>
      </c>
      <c r="C68" s="46">
        <v>210928</v>
      </c>
      <c r="D68" s="46">
        <v>205349</v>
      </c>
      <c r="E68" s="46">
        <v>129574</v>
      </c>
      <c r="F68">
        <v>2.71</v>
      </c>
      <c r="G68">
        <v>62.78</v>
      </c>
      <c r="H68" s="46">
        <v>1823172</v>
      </c>
      <c r="I68" s="46">
        <v>1187043</v>
      </c>
      <c r="J68">
        <v>53.58</v>
      </c>
      <c r="K68" t="s">
        <v>2046</v>
      </c>
    </row>
    <row r="69" spans="1:11" customFormat="1" hidden="1">
      <c r="A69">
        <v>3068</v>
      </c>
      <c r="B69" t="s">
        <v>285</v>
      </c>
      <c r="C69" s="46">
        <v>246675</v>
      </c>
      <c r="D69" s="46">
        <v>242485</v>
      </c>
      <c r="E69" s="46">
        <v>238146</v>
      </c>
      <c r="F69">
        <v>1.72</v>
      </c>
      <c r="G69">
        <v>3.58</v>
      </c>
      <c r="H69" s="46">
        <v>2465881</v>
      </c>
      <c r="I69" s="46">
        <v>2439697</v>
      </c>
      <c r="J69">
        <v>1.07</v>
      </c>
      <c r="K69" t="s">
        <v>2046</v>
      </c>
    </row>
    <row r="70" spans="1:11" customFormat="1" hidden="1">
      <c r="A70">
        <v>1777</v>
      </c>
      <c r="B70" t="s">
        <v>270</v>
      </c>
      <c r="C70" s="46">
        <v>67121</v>
      </c>
      <c r="D70" s="46">
        <v>54326</v>
      </c>
      <c r="E70" s="46">
        <v>48558</v>
      </c>
      <c r="F70">
        <v>23.55</v>
      </c>
      <c r="G70">
        <v>38.22</v>
      </c>
      <c r="H70" s="46">
        <v>624599</v>
      </c>
      <c r="I70" s="46">
        <v>560216</v>
      </c>
      <c r="J70">
        <v>11.49</v>
      </c>
      <c r="K70" t="s">
        <v>2046</v>
      </c>
    </row>
    <row r="71" spans="1:11" customFormat="1" hidden="1">
      <c r="A71">
        <v>1595</v>
      </c>
      <c r="B71" t="s">
        <v>2019</v>
      </c>
      <c r="C71" s="46">
        <v>44989</v>
      </c>
      <c r="D71" s="46">
        <v>39936</v>
      </c>
      <c r="E71" s="46">
        <v>79801</v>
      </c>
      <c r="F71">
        <v>12.65</v>
      </c>
      <c r="G71">
        <v>-43.62</v>
      </c>
      <c r="H71" s="46">
        <v>1030561</v>
      </c>
      <c r="I71" s="46">
        <v>1249872</v>
      </c>
      <c r="J71">
        <v>-17.54</v>
      </c>
      <c r="K71" t="s">
        <v>2046</v>
      </c>
    </row>
    <row r="72" spans="1:11" customFormat="1" hidden="1">
      <c r="A72" s="305">
        <v>1586</v>
      </c>
      <c r="B72" s="305" t="s">
        <v>2004</v>
      </c>
      <c r="C72" s="46">
        <v>165994</v>
      </c>
      <c r="D72" s="46">
        <v>141730</v>
      </c>
      <c r="E72" s="46">
        <v>150629</v>
      </c>
      <c r="F72">
        <v>17.11</v>
      </c>
      <c r="G72">
        <v>10.199999999999999</v>
      </c>
      <c r="H72" s="46">
        <v>1510123</v>
      </c>
      <c r="I72" s="46">
        <v>1516250</v>
      </c>
      <c r="J72">
        <v>-0.4</v>
      </c>
      <c r="K72" t="s">
        <v>2046</v>
      </c>
    </row>
    <row r="73" spans="1:11" customFormat="1" hidden="1">
      <c r="A73" s="305"/>
      <c r="B73" s="305"/>
      <c r="C73" s="46"/>
      <c r="D73" s="46"/>
      <c r="E73" s="46"/>
      <c r="H73" s="46"/>
      <c r="I73" s="46"/>
    </row>
    <row r="74" spans="1:11" customFormat="1" hidden="1">
      <c r="C74" s="46" t="s">
        <v>1917</v>
      </c>
      <c r="D74" s="46"/>
      <c r="E74" s="46"/>
      <c r="H74" s="46" t="s">
        <v>1918</v>
      </c>
      <c r="I74" s="46"/>
      <c r="K74" t="s">
        <v>1919</v>
      </c>
    </row>
    <row r="75" spans="1:11" customFormat="1" hidden="1">
      <c r="A75" s="190" t="str">
        <f>HYPERLINK("http://tw.stock.yahoo.com/q/ta?s=","")</f>
        <v/>
      </c>
      <c r="B75" s="190" t="str">
        <f>HYPERLINK("http://tw.stock.yahoo.com/d/s/earning_.html","")</f>
        <v/>
      </c>
      <c r="C75" s="27"/>
      <c r="D75" s="27"/>
      <c r="E75" s="27"/>
      <c r="F75" s="27"/>
      <c r="G75" s="27"/>
      <c r="H75" s="27"/>
      <c r="I75" s="27"/>
      <c r="J75" s="27"/>
      <c r="K75" s="203"/>
    </row>
    <row r="76" spans="1:11" customFormat="1" hidden="1"/>
    <row r="77" spans="1:11" customFormat="1" hidden="1"/>
    <row r="78" spans="1:11" customFormat="1" hidden="1"/>
    <row r="79" spans="1:11" customFormat="1" hidden="1"/>
    <row r="80" spans="1:11" customFormat="1" hidden="1"/>
    <row r="81" customFormat="1" hidden="1"/>
    <row r="82" customFormat="1" hidden="1"/>
    <row r="83" customFormat="1" hidden="1"/>
    <row r="84" customFormat="1" hidden="1"/>
    <row r="85" customFormat="1" hidden="1"/>
    <row r="86" customFormat="1" hidden="1"/>
    <row r="87" customFormat="1" hidden="1"/>
    <row r="88" customFormat="1" hidden="1"/>
    <row r="89" customFormat="1" hidden="1"/>
    <row r="90" customFormat="1" hidden="1"/>
    <row r="91" customFormat="1" hidden="1"/>
    <row r="92" customFormat="1" hidden="1"/>
    <row r="93" customFormat="1" hidden="1"/>
    <row r="94" customFormat="1" hidden="1"/>
    <row r="95" customFormat="1" hidden="1"/>
    <row r="96" customFormat="1" hidden="1"/>
    <row r="97" customFormat="1" hidden="1"/>
    <row r="98" customFormat="1" hidden="1"/>
    <row r="99" customFormat="1" hidden="1"/>
    <row r="100" customFormat="1" hidden="1"/>
    <row r="101" customFormat="1" hidden="1"/>
    <row r="102" customFormat="1" hidden="1"/>
    <row r="103" customFormat="1" hidden="1"/>
    <row r="104" customFormat="1" hidden="1"/>
    <row r="105" customFormat="1" hidden="1"/>
    <row r="106" customFormat="1" hidden="1"/>
    <row r="107" customFormat="1" hidden="1"/>
    <row r="108" customFormat="1" hidden="1"/>
    <row r="109" customFormat="1" hidden="1"/>
    <row r="110" customFormat="1" hidden="1"/>
    <row r="111" customFormat="1" hidden="1"/>
    <row r="112" customFormat="1" hidden="1"/>
    <row r="113" customFormat="1" hidden="1"/>
    <row r="114" customFormat="1" hidden="1"/>
    <row r="115" customFormat="1" hidden="1"/>
    <row r="116" customFormat="1" hidden="1"/>
    <row r="117" customFormat="1" hidden="1"/>
    <row r="118" customFormat="1" hidden="1"/>
    <row r="119" customFormat="1" hidden="1"/>
    <row r="120" customFormat="1" hidden="1"/>
    <row r="121" customFormat="1" hidden="1"/>
    <row r="122" customFormat="1" hidden="1"/>
    <row r="123" customFormat="1" hidden="1"/>
    <row r="124" customFormat="1" hidden="1"/>
    <row r="125" customFormat="1" hidden="1"/>
    <row r="126" customFormat="1" hidden="1"/>
    <row r="127" customFormat="1" hidden="1"/>
    <row r="128" customFormat="1" hidden="1"/>
    <row r="129" customFormat="1" hidden="1"/>
    <row r="130" customFormat="1" hidden="1"/>
    <row r="131" customFormat="1" hidden="1"/>
    <row r="132" customFormat="1" hidden="1"/>
    <row r="133" customFormat="1" hidden="1"/>
    <row r="134" customFormat="1" hidden="1"/>
    <row r="135" customFormat="1" hidden="1"/>
    <row r="136" customFormat="1" hidden="1"/>
    <row r="137" customFormat="1" hidden="1"/>
    <row r="138" customFormat="1" hidden="1"/>
    <row r="139" customFormat="1" hidden="1"/>
    <row r="140" customFormat="1" hidden="1"/>
    <row r="141" customFormat="1" hidden="1"/>
    <row r="142" customFormat="1" hidden="1"/>
    <row r="143" customFormat="1" hidden="1"/>
    <row r="144" customFormat="1" hidden="1"/>
    <row r="145" customFormat="1" hidden="1"/>
    <row r="146" customFormat="1" hidden="1"/>
    <row r="147" customFormat="1" hidden="1"/>
    <row r="148" customFormat="1" hidden="1"/>
    <row r="149" customFormat="1" hidden="1"/>
    <row r="150" customFormat="1" hidden="1"/>
    <row r="151" customFormat="1" hidden="1"/>
    <row r="152" customFormat="1" hidden="1"/>
    <row r="153" customFormat="1" hidden="1"/>
    <row r="154" customFormat="1" hidden="1"/>
    <row r="155" customFormat="1" hidden="1"/>
    <row r="156" customFormat="1" hidden="1"/>
    <row r="157" customFormat="1" hidden="1"/>
    <row r="158" customFormat="1" hidden="1"/>
    <row r="159" customFormat="1" hidden="1"/>
    <row r="160" customFormat="1" hidden="1"/>
    <row r="161" customFormat="1" hidden="1"/>
    <row r="162" customFormat="1" hidden="1"/>
    <row r="163" customFormat="1" hidden="1"/>
    <row r="164" customFormat="1" hidden="1"/>
    <row r="165" customFormat="1" hidden="1"/>
    <row r="166" customFormat="1" hidden="1"/>
    <row r="167" customFormat="1" hidden="1"/>
    <row r="168" customFormat="1" hidden="1"/>
    <row r="169" customFormat="1" hidden="1"/>
    <row r="170" customFormat="1" hidden="1"/>
    <row r="171" customFormat="1" hidden="1"/>
    <row r="172" customFormat="1" hidden="1"/>
    <row r="173" customFormat="1" hidden="1"/>
    <row r="174" customFormat="1" hidden="1"/>
    <row r="175" customFormat="1" hidden="1"/>
    <row r="176" customFormat="1" hidden="1"/>
    <row r="177" customFormat="1" hidden="1"/>
    <row r="178" customFormat="1" hidden="1"/>
    <row r="179" customFormat="1" hidden="1"/>
    <row r="180" customFormat="1" hidden="1"/>
    <row r="181" customFormat="1" hidden="1"/>
    <row r="182" customFormat="1" hidden="1"/>
    <row r="183" customFormat="1" hidden="1"/>
    <row r="184" customFormat="1" hidden="1"/>
    <row r="185" customFormat="1" hidden="1"/>
    <row r="186" customFormat="1" hidden="1"/>
    <row r="187" customFormat="1" hidden="1"/>
    <row r="188" customFormat="1" hidden="1"/>
    <row r="189" customFormat="1" hidden="1"/>
    <row r="190" customFormat="1" hidden="1"/>
    <row r="191" customFormat="1" hidden="1"/>
    <row r="192" customFormat="1" hidden="1"/>
    <row r="193" customFormat="1" hidden="1"/>
    <row r="194" customFormat="1" hidden="1"/>
    <row r="195" customFormat="1" hidden="1"/>
    <row r="196" customFormat="1" hidden="1"/>
    <row r="197" customFormat="1" hidden="1"/>
    <row r="198" customFormat="1" hidden="1"/>
    <row r="199" customFormat="1" hidden="1"/>
    <row r="200" customFormat="1" hidden="1"/>
    <row r="201" customFormat="1" hidden="1"/>
    <row r="202" customFormat="1" hidden="1"/>
    <row r="203" customFormat="1" hidden="1"/>
    <row r="204" customFormat="1" hidden="1"/>
    <row r="205" customFormat="1" hidden="1"/>
    <row r="206" customFormat="1" hidden="1"/>
    <row r="207" customFormat="1" hidden="1"/>
    <row r="208" customFormat="1" hidden="1"/>
    <row r="209" customFormat="1" hidden="1"/>
    <row r="210" customFormat="1" hidden="1"/>
    <row r="211" customFormat="1" hidden="1"/>
    <row r="212" customFormat="1" hidden="1"/>
    <row r="213" customFormat="1" hidden="1"/>
    <row r="214" customFormat="1" hidden="1"/>
    <row r="215" customFormat="1" hidden="1"/>
    <row r="216" customFormat="1" hidden="1"/>
    <row r="217" customFormat="1" hidden="1"/>
    <row r="218" customFormat="1" hidden="1"/>
    <row r="219" customFormat="1" hidden="1"/>
    <row r="220" customFormat="1" hidden="1"/>
    <row r="221" customFormat="1" hidden="1"/>
    <row r="222" customFormat="1" hidden="1"/>
    <row r="223" customFormat="1" hidden="1"/>
    <row r="224" customFormat="1" hidden="1"/>
    <row r="225" customFormat="1" hidden="1"/>
    <row r="226" customFormat="1" hidden="1"/>
    <row r="227" customFormat="1" hidden="1"/>
    <row r="228" customFormat="1" hidden="1"/>
    <row r="229" customFormat="1" hidden="1"/>
    <row r="230" customFormat="1" hidden="1"/>
    <row r="231" customFormat="1" hidden="1"/>
    <row r="232" customFormat="1" hidden="1"/>
    <row r="233" customFormat="1" hidden="1"/>
    <row r="234" customFormat="1" hidden="1"/>
    <row r="235" customFormat="1" hidden="1"/>
    <row r="236" customFormat="1" hidden="1"/>
    <row r="237" customFormat="1" hidden="1"/>
    <row r="238" customFormat="1" hidden="1"/>
    <row r="239" customFormat="1" hidden="1"/>
    <row r="240" customFormat="1" hidden="1"/>
    <row r="241" customFormat="1" hidden="1"/>
    <row r="242" customFormat="1" hidden="1"/>
    <row r="243" customFormat="1" hidden="1"/>
    <row r="244" customFormat="1" hidden="1"/>
    <row r="245" customFormat="1" hidden="1"/>
    <row r="246" customFormat="1" hidden="1"/>
    <row r="247" customFormat="1" hidden="1"/>
    <row r="248" customFormat="1" hidden="1"/>
    <row r="249" customFormat="1" hidden="1"/>
    <row r="250" customFormat="1" hidden="1"/>
    <row r="251" customFormat="1" hidden="1"/>
    <row r="252" customFormat="1" hidden="1"/>
    <row r="253" customFormat="1" hidden="1"/>
    <row r="254" customFormat="1" hidden="1"/>
    <row r="255" customFormat="1" hidden="1"/>
    <row r="256" customFormat="1" hidden="1"/>
    <row r="257" customFormat="1" hidden="1"/>
    <row r="258" customFormat="1" hidden="1"/>
    <row r="259" customFormat="1" hidden="1"/>
    <row r="260" customFormat="1" hidden="1"/>
    <row r="261" customFormat="1" hidden="1"/>
    <row r="262" customFormat="1" hidden="1"/>
    <row r="263" customFormat="1" hidden="1"/>
    <row r="264" customFormat="1" hidden="1"/>
    <row r="265" customFormat="1" hidden="1"/>
    <row r="266" customFormat="1" hidden="1"/>
    <row r="267" customFormat="1" hidden="1"/>
    <row r="268" customFormat="1" hidden="1"/>
    <row r="269" customFormat="1" hidden="1"/>
    <row r="270" customFormat="1" hidden="1"/>
    <row r="271" customFormat="1" hidden="1"/>
    <row r="272" customFormat="1" hidden="1"/>
    <row r="273" customFormat="1" hidden="1"/>
    <row r="274" customFormat="1" hidden="1"/>
    <row r="275" customFormat="1" hidden="1"/>
    <row r="276" customFormat="1" hidden="1"/>
    <row r="277" customFormat="1" hidden="1"/>
    <row r="278" customFormat="1" hidden="1"/>
    <row r="279" customFormat="1" hidden="1"/>
    <row r="280" customFormat="1" hidden="1"/>
    <row r="281" customFormat="1" hidden="1"/>
    <row r="282" customFormat="1" hidden="1"/>
    <row r="283" customFormat="1" hidden="1"/>
    <row r="284" customFormat="1" hidden="1"/>
    <row r="285" customFormat="1" hidden="1"/>
    <row r="286" customFormat="1" hidden="1"/>
    <row r="287" customFormat="1" hidden="1"/>
    <row r="288" customFormat="1" hidden="1"/>
    <row r="289" customFormat="1" hidden="1"/>
    <row r="290" customFormat="1" hidden="1"/>
    <row r="291" customFormat="1" hidden="1"/>
    <row r="292" customFormat="1" hidden="1"/>
    <row r="293" customFormat="1" hidden="1"/>
    <row r="294" customFormat="1" hidden="1"/>
    <row r="295" customFormat="1" hidden="1"/>
    <row r="296" customFormat="1" hidden="1"/>
    <row r="297" customFormat="1" hidden="1"/>
    <row r="298" customFormat="1" hidden="1"/>
    <row r="299" customFormat="1" hidden="1"/>
    <row r="300" customFormat="1" hidden="1"/>
    <row r="301" customFormat="1" hidden="1"/>
    <row r="302" customFormat="1" hidden="1"/>
    <row r="303" customFormat="1" hidden="1"/>
    <row r="304" customFormat="1" hidden="1"/>
    <row r="305" customFormat="1" hidden="1"/>
    <row r="306" customFormat="1" hidden="1"/>
    <row r="307" customFormat="1" hidden="1"/>
    <row r="308" customFormat="1" hidden="1"/>
    <row r="309" customFormat="1" hidden="1"/>
    <row r="310" customFormat="1" hidden="1"/>
    <row r="311" customFormat="1" hidden="1"/>
    <row r="312" customFormat="1" hidden="1"/>
    <row r="313" customFormat="1" hidden="1"/>
    <row r="314" customFormat="1" hidden="1"/>
    <row r="315" customFormat="1" hidden="1"/>
    <row r="316" customFormat="1" hidden="1"/>
    <row r="317" customFormat="1" hidden="1"/>
    <row r="318" customFormat="1" hidden="1"/>
    <row r="319" customFormat="1" hidden="1"/>
    <row r="320" customFormat="1" hidden="1"/>
    <row r="321" customFormat="1" hidden="1"/>
    <row r="322" customFormat="1" hidden="1"/>
    <row r="323" customFormat="1" hidden="1"/>
    <row r="324" customFormat="1" hidden="1"/>
    <row r="325" customFormat="1" hidden="1"/>
    <row r="326" customFormat="1" hidden="1"/>
    <row r="327" customFormat="1" hidden="1"/>
    <row r="328" customFormat="1" hidden="1"/>
    <row r="329" customFormat="1" hidden="1"/>
    <row r="330" customFormat="1" hidden="1"/>
    <row r="331" customFormat="1" hidden="1"/>
    <row r="332" customFormat="1" hidden="1"/>
    <row r="333" customFormat="1" hidden="1"/>
    <row r="334" customFormat="1" hidden="1"/>
    <row r="335" customFormat="1" hidden="1"/>
    <row r="336" customFormat="1" hidden="1"/>
    <row r="337" customFormat="1" hidden="1"/>
    <row r="338" customFormat="1" hidden="1"/>
    <row r="339" customFormat="1" hidden="1"/>
    <row r="340" customFormat="1" hidden="1"/>
    <row r="341" customFormat="1" hidden="1"/>
    <row r="342" customFormat="1" hidden="1"/>
    <row r="343" customFormat="1" hidden="1"/>
    <row r="344" customFormat="1" hidden="1"/>
    <row r="345" customFormat="1" hidden="1"/>
    <row r="346" customFormat="1" hidden="1"/>
    <row r="347" customFormat="1" hidden="1"/>
    <row r="348" customFormat="1" hidden="1"/>
    <row r="349" customFormat="1" hidden="1"/>
    <row r="350" customFormat="1" hidden="1"/>
    <row r="351" customFormat="1" hidden="1"/>
    <row r="352" customFormat="1" hidden="1"/>
    <row r="353" customFormat="1" hidden="1"/>
    <row r="354" customFormat="1" hidden="1"/>
    <row r="355" customFormat="1" hidden="1"/>
    <row r="356" customFormat="1" hidden="1"/>
    <row r="357" customFormat="1" hidden="1"/>
    <row r="358" customFormat="1" hidden="1"/>
    <row r="359" customFormat="1" hidden="1"/>
    <row r="360" customFormat="1" hidden="1"/>
    <row r="361" customFormat="1" hidden="1"/>
    <row r="362" customFormat="1" hidden="1"/>
    <row r="363" customFormat="1" hidden="1"/>
    <row r="364" customFormat="1" hidden="1"/>
    <row r="365" customFormat="1" hidden="1"/>
    <row r="366" customFormat="1" hidden="1"/>
    <row r="367" customFormat="1" hidden="1"/>
    <row r="368" customFormat="1" hidden="1"/>
    <row r="369" customFormat="1" hidden="1"/>
    <row r="370" customFormat="1" hidden="1"/>
    <row r="371" customFormat="1" hidden="1"/>
    <row r="372" customFormat="1" hidden="1"/>
    <row r="373" customFormat="1" hidden="1"/>
    <row r="374" customFormat="1" hidden="1"/>
    <row r="375" customFormat="1" hidden="1"/>
    <row r="376" customFormat="1" hidden="1"/>
    <row r="377" customFormat="1" hidden="1"/>
    <row r="378" customFormat="1" hidden="1"/>
    <row r="379" customFormat="1" hidden="1"/>
    <row r="380" customFormat="1" hidden="1"/>
    <row r="381" customFormat="1" hidden="1"/>
    <row r="382" customFormat="1" hidden="1"/>
    <row r="383" customFormat="1" hidden="1"/>
    <row r="384" customFormat="1" hidden="1"/>
    <row r="385" customFormat="1" hidden="1"/>
    <row r="386" customFormat="1" hidden="1"/>
    <row r="387" customFormat="1" hidden="1"/>
    <row r="388" customFormat="1" hidden="1"/>
    <row r="389" customFormat="1" hidden="1"/>
    <row r="390" customFormat="1" hidden="1"/>
    <row r="391" customFormat="1" hidden="1"/>
    <row r="392" customFormat="1" hidden="1"/>
    <row r="393" customFormat="1" hidden="1"/>
    <row r="394" customFormat="1" hidden="1"/>
    <row r="395" customFormat="1" hidden="1"/>
    <row r="396" customFormat="1" hidden="1"/>
    <row r="397" customFormat="1" hidden="1"/>
    <row r="398" customFormat="1" hidden="1"/>
    <row r="399" customFormat="1" hidden="1"/>
    <row r="400" customFormat="1" hidden="1"/>
    <row r="401" customFormat="1" hidden="1"/>
    <row r="402" customFormat="1" hidden="1"/>
    <row r="403" customFormat="1" hidden="1"/>
    <row r="404" customFormat="1" hidden="1"/>
    <row r="405" customFormat="1" hidden="1"/>
    <row r="406" customFormat="1" hidden="1"/>
    <row r="407" customFormat="1" hidden="1"/>
    <row r="408" customFormat="1" hidden="1"/>
    <row r="409" customFormat="1" hidden="1"/>
    <row r="410" customFormat="1" hidden="1"/>
    <row r="411" customFormat="1" hidden="1"/>
    <row r="412" customFormat="1" hidden="1"/>
    <row r="413" customFormat="1" hidden="1"/>
    <row r="414" customFormat="1" hidden="1"/>
    <row r="415" customFormat="1" hidden="1"/>
    <row r="416" customFormat="1" hidden="1"/>
    <row r="417" customFormat="1" hidden="1"/>
    <row r="418" customFormat="1" hidden="1"/>
    <row r="419" customFormat="1" hidden="1"/>
    <row r="420" customFormat="1" hidden="1"/>
    <row r="421" customFormat="1" hidden="1"/>
    <row r="422" customFormat="1" hidden="1"/>
    <row r="423" customFormat="1" hidden="1"/>
    <row r="424" customFormat="1" hidden="1"/>
    <row r="425" customFormat="1" hidden="1"/>
    <row r="426" customFormat="1" hidden="1"/>
    <row r="427" customFormat="1" hidden="1"/>
    <row r="428" customFormat="1" hidden="1"/>
    <row r="429" customFormat="1" hidden="1"/>
    <row r="430" customFormat="1" hidden="1"/>
    <row r="431" customFormat="1" hidden="1"/>
    <row r="432" customFormat="1" hidden="1"/>
    <row r="433" customFormat="1" hidden="1"/>
    <row r="434" customFormat="1" hidden="1"/>
    <row r="435" customFormat="1" hidden="1"/>
    <row r="436" customFormat="1" hidden="1"/>
    <row r="437" customFormat="1" hidden="1"/>
    <row r="438" customFormat="1" hidden="1"/>
    <row r="439" customFormat="1" hidden="1"/>
    <row r="440" customFormat="1" hidden="1"/>
    <row r="441" customFormat="1" hidden="1"/>
    <row r="442" customFormat="1" hidden="1"/>
    <row r="443" customFormat="1" hidden="1"/>
    <row r="444" customFormat="1" hidden="1"/>
    <row r="445" customFormat="1" hidden="1"/>
    <row r="446" customFormat="1" hidden="1"/>
    <row r="447" customFormat="1" hidden="1"/>
    <row r="448" customFormat="1" hidden="1"/>
    <row r="449" customFormat="1" hidden="1"/>
    <row r="450" customFormat="1" hidden="1"/>
    <row r="451" customFormat="1" hidden="1"/>
    <row r="452" customFormat="1" hidden="1"/>
    <row r="453" customFormat="1" hidden="1"/>
    <row r="454" customFormat="1" hidden="1"/>
    <row r="455" customFormat="1" hidden="1"/>
    <row r="456" customFormat="1" hidden="1"/>
    <row r="457" customFormat="1" hidden="1"/>
    <row r="458" customFormat="1" hidden="1"/>
    <row r="459" customFormat="1" hidden="1"/>
    <row r="460" customFormat="1" hidden="1"/>
    <row r="461" customFormat="1" hidden="1"/>
    <row r="462" customFormat="1" hidden="1"/>
    <row r="463" customFormat="1" hidden="1"/>
    <row r="464" customFormat="1" hidden="1"/>
    <row r="465" customFormat="1" hidden="1"/>
    <row r="466" customFormat="1" hidden="1"/>
    <row r="467" customFormat="1" hidden="1"/>
    <row r="468" customFormat="1" hidden="1"/>
    <row r="469" customFormat="1" hidden="1"/>
    <row r="470" customFormat="1" hidden="1"/>
    <row r="471" customFormat="1" hidden="1"/>
    <row r="472" customFormat="1" hidden="1"/>
    <row r="473" customFormat="1" hidden="1"/>
    <row r="474" customFormat="1" hidden="1"/>
    <row r="475" customFormat="1" hidden="1"/>
    <row r="476" customFormat="1" hidden="1"/>
    <row r="477" customFormat="1" hidden="1"/>
    <row r="478" customFormat="1" hidden="1"/>
    <row r="479" customFormat="1" hidden="1"/>
    <row r="480" customFormat="1" hidden="1"/>
    <row r="481" customFormat="1" hidden="1"/>
    <row r="482" customFormat="1" hidden="1"/>
    <row r="483" customFormat="1" hidden="1"/>
    <row r="484" customFormat="1" hidden="1"/>
    <row r="485" customFormat="1" hidden="1"/>
    <row r="486" customFormat="1" hidden="1"/>
    <row r="487" customFormat="1" hidden="1"/>
    <row r="488" customFormat="1" hidden="1"/>
    <row r="489" customFormat="1" hidden="1"/>
    <row r="490" customFormat="1" hidden="1"/>
    <row r="491" customFormat="1" hidden="1"/>
    <row r="492" customFormat="1" hidden="1"/>
    <row r="493" customFormat="1" hidden="1"/>
    <row r="494" customFormat="1" hidden="1"/>
    <row r="495" customFormat="1" hidden="1"/>
    <row r="496" customFormat="1" hidden="1"/>
    <row r="497" customFormat="1" hidden="1"/>
    <row r="498" customFormat="1" hidden="1"/>
    <row r="499" customFormat="1" hidden="1"/>
    <row r="500" customFormat="1" hidden="1"/>
    <row r="501" customFormat="1" hidden="1"/>
    <row r="502" customFormat="1" hidden="1"/>
    <row r="503" customFormat="1" hidden="1"/>
    <row r="504" customFormat="1" hidden="1"/>
    <row r="505" customFormat="1" hidden="1"/>
    <row r="506" customFormat="1" hidden="1"/>
    <row r="507" customFormat="1" hidden="1"/>
    <row r="508" customFormat="1" hidden="1"/>
    <row r="509" customFormat="1" hidden="1"/>
    <row r="510" customFormat="1" hidden="1"/>
    <row r="511" customFormat="1" hidden="1"/>
    <row r="512" customFormat="1" hidden="1"/>
    <row r="513" customFormat="1" hidden="1"/>
    <row r="514" customFormat="1" hidden="1"/>
    <row r="515" customFormat="1" hidden="1"/>
    <row r="516" customFormat="1" hidden="1"/>
    <row r="517" customFormat="1" hidden="1"/>
    <row r="518" customFormat="1" hidden="1"/>
    <row r="519" customFormat="1" hidden="1"/>
    <row r="520" customFormat="1" hidden="1"/>
    <row r="521" customFormat="1" hidden="1"/>
    <row r="522" customFormat="1" hidden="1"/>
    <row r="523" customFormat="1" hidden="1"/>
    <row r="524" customFormat="1" hidden="1"/>
    <row r="525" customFormat="1" hidden="1"/>
    <row r="526" customFormat="1" hidden="1"/>
    <row r="527" customFormat="1" hidden="1"/>
    <row r="528" customFormat="1" hidden="1"/>
    <row r="529" customFormat="1" hidden="1"/>
    <row r="530" customFormat="1" hidden="1"/>
    <row r="531" customFormat="1" hidden="1"/>
    <row r="532" customFormat="1" hidden="1"/>
    <row r="533" customFormat="1" hidden="1"/>
    <row r="534" customFormat="1" hidden="1"/>
    <row r="535" customFormat="1" hidden="1"/>
    <row r="536" customFormat="1" hidden="1"/>
    <row r="537" customFormat="1" hidden="1"/>
    <row r="538" customFormat="1" hidden="1"/>
    <row r="539" customFormat="1" hidden="1"/>
    <row r="540" customFormat="1" hidden="1"/>
    <row r="541" customFormat="1" hidden="1"/>
    <row r="542" customFormat="1" hidden="1"/>
    <row r="543" customFormat="1" hidden="1"/>
    <row r="544" customFormat="1" hidden="1"/>
    <row r="545" customFormat="1" hidden="1"/>
    <row r="546" customFormat="1" hidden="1"/>
    <row r="547" customFormat="1" hidden="1"/>
    <row r="548" customFormat="1" hidden="1"/>
    <row r="549" customFormat="1" hidden="1"/>
    <row r="550" customFormat="1" hidden="1"/>
    <row r="551" customFormat="1" hidden="1"/>
    <row r="552" customFormat="1" hidden="1"/>
    <row r="553" customFormat="1" hidden="1"/>
    <row r="554" customFormat="1" hidden="1"/>
    <row r="555" customFormat="1" hidden="1"/>
    <row r="556" customFormat="1" hidden="1"/>
    <row r="557" customFormat="1" hidden="1"/>
    <row r="558" customFormat="1" hidden="1"/>
    <row r="559" customFormat="1" hidden="1"/>
    <row r="560" customFormat="1" hidden="1"/>
    <row r="561" customFormat="1" hidden="1"/>
    <row r="562" customFormat="1" hidden="1"/>
    <row r="563" customFormat="1" hidden="1"/>
    <row r="564" customFormat="1" hidden="1"/>
    <row r="565" customFormat="1" hidden="1"/>
    <row r="566" customFormat="1" hidden="1"/>
    <row r="567" customFormat="1" hidden="1"/>
    <row r="568" customFormat="1" hidden="1"/>
    <row r="569" customFormat="1" hidden="1"/>
    <row r="570" customFormat="1" hidden="1"/>
    <row r="571" customFormat="1" hidden="1"/>
    <row r="572" customFormat="1" hidden="1"/>
    <row r="573" customFormat="1" hidden="1"/>
    <row r="574" customFormat="1" hidden="1"/>
    <row r="575" customFormat="1" hidden="1"/>
    <row r="576" customFormat="1" hidden="1"/>
    <row r="577" customFormat="1" hidden="1"/>
    <row r="578" customFormat="1" hidden="1"/>
    <row r="579" customFormat="1" hidden="1"/>
    <row r="580" customFormat="1" hidden="1"/>
    <row r="581" customFormat="1" hidden="1"/>
    <row r="582" customFormat="1" hidden="1"/>
    <row r="583" customFormat="1" hidden="1"/>
    <row r="584" customFormat="1" hidden="1"/>
    <row r="585" customFormat="1" hidden="1"/>
    <row r="586" customFormat="1" hidden="1"/>
    <row r="587" customFormat="1" hidden="1"/>
    <row r="588" customFormat="1" hidden="1"/>
    <row r="589" customFormat="1" hidden="1"/>
    <row r="590" customFormat="1" hidden="1"/>
    <row r="591" customFormat="1" hidden="1"/>
    <row r="592" customFormat="1" hidden="1"/>
    <row r="593" customFormat="1" hidden="1"/>
    <row r="594" customFormat="1" hidden="1"/>
    <row r="595" customFormat="1" hidden="1"/>
    <row r="596" customFormat="1" hidden="1"/>
    <row r="597" customFormat="1" hidden="1"/>
    <row r="598" customFormat="1" hidden="1"/>
    <row r="599" customFormat="1" hidden="1"/>
    <row r="600" customFormat="1" hidden="1"/>
    <row r="601" customFormat="1" hidden="1"/>
    <row r="602" customFormat="1" hidden="1"/>
    <row r="603" customFormat="1" hidden="1"/>
    <row r="604" customFormat="1" hidden="1"/>
    <row r="605" customFormat="1" hidden="1"/>
    <row r="606" customFormat="1" hidden="1"/>
    <row r="607" customFormat="1" hidden="1"/>
    <row r="608" customFormat="1" hidden="1"/>
    <row r="609" customFormat="1" hidden="1"/>
    <row r="610" customFormat="1" hidden="1"/>
    <row r="611" customFormat="1" hidden="1"/>
    <row r="612" customFormat="1" hidden="1"/>
    <row r="613" customFormat="1" hidden="1"/>
    <row r="614" customFormat="1" hidden="1"/>
    <row r="615" customFormat="1" hidden="1"/>
    <row r="616" customFormat="1" hidden="1"/>
    <row r="617" customFormat="1" hidden="1"/>
    <row r="618" customFormat="1" hidden="1"/>
    <row r="619" customFormat="1" hidden="1"/>
    <row r="620" customFormat="1" hidden="1"/>
    <row r="621" customFormat="1" hidden="1"/>
    <row r="622" customFormat="1" hidden="1"/>
    <row r="623" customFormat="1" hidden="1"/>
    <row r="624" customFormat="1" hidden="1"/>
    <row r="625" customFormat="1" hidden="1"/>
    <row r="626" customFormat="1" hidden="1"/>
    <row r="627" customFormat="1" hidden="1"/>
    <row r="628" customFormat="1" hidden="1"/>
    <row r="629" customFormat="1" hidden="1"/>
    <row r="630" customFormat="1" hidden="1"/>
    <row r="631" customFormat="1" hidden="1"/>
    <row r="632" customFormat="1" hidden="1"/>
    <row r="633" customFormat="1" hidden="1"/>
    <row r="634" customFormat="1" hidden="1"/>
    <row r="635" customFormat="1" hidden="1"/>
    <row r="636" customFormat="1" hidden="1"/>
    <row r="637" customFormat="1" hidden="1"/>
    <row r="638" customFormat="1" hidden="1"/>
    <row r="639" customFormat="1" hidden="1"/>
    <row r="640" customFormat="1" hidden="1"/>
    <row r="641" customFormat="1" hidden="1"/>
    <row r="642" customFormat="1" hidden="1"/>
    <row r="643" customFormat="1" hidden="1"/>
    <row r="644" customFormat="1" hidden="1"/>
    <row r="645" customFormat="1" hidden="1"/>
    <row r="646" customFormat="1" hidden="1"/>
    <row r="647" customFormat="1" hidden="1"/>
    <row r="648" customFormat="1" hidden="1"/>
    <row r="649" customFormat="1" hidden="1"/>
    <row r="650" customFormat="1" hidden="1"/>
    <row r="651" customFormat="1" hidden="1"/>
    <row r="652" customFormat="1" hidden="1"/>
    <row r="653" customFormat="1" hidden="1"/>
    <row r="654" customFormat="1" hidden="1"/>
    <row r="655" customFormat="1" hidden="1"/>
    <row r="656" customFormat="1" hidden="1"/>
    <row r="657" customFormat="1" hidden="1"/>
    <row r="658" customFormat="1" hidden="1"/>
    <row r="659" customFormat="1" hidden="1"/>
    <row r="660" customFormat="1" hidden="1"/>
    <row r="661" customFormat="1" hidden="1"/>
    <row r="662" customFormat="1" hidden="1"/>
    <row r="663" customFormat="1" hidden="1"/>
    <row r="664" customFormat="1" hidden="1"/>
    <row r="665" customFormat="1" hidden="1"/>
    <row r="666" customFormat="1" hidden="1"/>
    <row r="667" customFormat="1" hidden="1"/>
    <row r="668" customFormat="1" hidden="1"/>
    <row r="669" customFormat="1" hidden="1"/>
    <row r="670" customFormat="1" hidden="1"/>
    <row r="671" customFormat="1" hidden="1"/>
    <row r="672" customFormat="1" hidden="1"/>
    <row r="673" customFormat="1" hidden="1"/>
    <row r="674" customFormat="1" hidden="1"/>
    <row r="675" customFormat="1" hidden="1"/>
    <row r="676" customFormat="1" hidden="1"/>
    <row r="677" customFormat="1" hidden="1"/>
    <row r="678" customFormat="1" hidden="1"/>
    <row r="679" customFormat="1" hidden="1"/>
    <row r="680" customFormat="1" hidden="1"/>
    <row r="681" customFormat="1" hidden="1"/>
    <row r="682" customFormat="1" hidden="1"/>
    <row r="683" customFormat="1" hidden="1"/>
    <row r="684" customFormat="1" hidden="1"/>
    <row r="685" customFormat="1" hidden="1"/>
    <row r="686" customFormat="1" hidden="1"/>
    <row r="687" customFormat="1" hidden="1"/>
    <row r="688" customFormat="1" hidden="1"/>
    <row r="689" customFormat="1" hidden="1"/>
    <row r="690" customFormat="1" hidden="1"/>
    <row r="691" customFormat="1" hidden="1"/>
    <row r="692" customFormat="1" hidden="1"/>
    <row r="693" customFormat="1" hidden="1"/>
    <row r="694" customFormat="1" hidden="1"/>
    <row r="695" customFormat="1" hidden="1"/>
    <row r="696" customFormat="1" hidden="1"/>
    <row r="697" customFormat="1" hidden="1"/>
    <row r="698" customFormat="1" hidden="1"/>
    <row r="699" customFormat="1" hidden="1"/>
    <row r="700" customFormat="1" hidden="1"/>
    <row r="701" customFormat="1" hidden="1"/>
    <row r="702" customFormat="1" hidden="1"/>
    <row r="703" customFormat="1" hidden="1"/>
    <row r="704" customFormat="1" hidden="1"/>
    <row r="705" customFormat="1" hidden="1"/>
    <row r="706" customFormat="1" hidden="1"/>
    <row r="707" customFormat="1" hidden="1"/>
    <row r="708" customFormat="1" hidden="1"/>
    <row r="709" customFormat="1" hidden="1"/>
    <row r="710" customFormat="1" hidden="1"/>
    <row r="711" customFormat="1" hidden="1"/>
    <row r="712" customFormat="1" hidden="1"/>
    <row r="713" customFormat="1" hidden="1"/>
    <row r="714" customFormat="1" hidden="1"/>
    <row r="715" customFormat="1" hidden="1"/>
    <row r="716" customFormat="1" hidden="1"/>
    <row r="717" customFormat="1" hidden="1"/>
    <row r="718" customFormat="1" hidden="1"/>
    <row r="719" customFormat="1" hidden="1"/>
    <row r="720" customFormat="1" hidden="1"/>
    <row r="721" customFormat="1" hidden="1"/>
    <row r="722" customFormat="1" hidden="1"/>
    <row r="723" customFormat="1" hidden="1"/>
    <row r="724" customFormat="1" hidden="1"/>
    <row r="725" customFormat="1" hidden="1"/>
    <row r="726" customFormat="1" hidden="1"/>
    <row r="727" customFormat="1" hidden="1"/>
    <row r="728" customFormat="1" hidden="1"/>
    <row r="729" customFormat="1" hidden="1"/>
    <row r="730" customFormat="1" hidden="1"/>
    <row r="731" customFormat="1" hidden="1"/>
    <row r="732" customFormat="1" hidden="1"/>
    <row r="733" customFormat="1" hidden="1"/>
    <row r="734" customFormat="1" hidden="1"/>
    <row r="735" customFormat="1" hidden="1"/>
    <row r="736" customFormat="1" hidden="1"/>
    <row r="737" customFormat="1" hidden="1"/>
    <row r="738" customFormat="1" hidden="1"/>
    <row r="739" customFormat="1" hidden="1"/>
    <row r="740" customFormat="1" hidden="1"/>
    <row r="741" customFormat="1" hidden="1"/>
    <row r="742" customFormat="1" hidden="1"/>
    <row r="743" customFormat="1" hidden="1"/>
    <row r="744" customFormat="1" hidden="1"/>
    <row r="745" customFormat="1" hidden="1"/>
    <row r="746" customFormat="1" hidden="1"/>
    <row r="747" customFormat="1" hidden="1"/>
    <row r="748" customFormat="1" hidden="1"/>
    <row r="749" customFormat="1" hidden="1"/>
    <row r="750" customFormat="1" hidden="1"/>
    <row r="751" customFormat="1" hidden="1"/>
    <row r="752" customFormat="1" hidden="1"/>
    <row r="753" customFormat="1" hidden="1"/>
    <row r="754" customFormat="1" hidden="1"/>
    <row r="755" customFormat="1" hidden="1"/>
    <row r="756" customFormat="1" hidden="1"/>
    <row r="757" customFormat="1" hidden="1"/>
    <row r="758" customFormat="1" hidden="1"/>
    <row r="759" customFormat="1" hidden="1"/>
    <row r="760" customFormat="1" hidden="1"/>
    <row r="761" customFormat="1" hidden="1"/>
    <row r="762" customFormat="1" hidden="1"/>
    <row r="763" customFormat="1" hidden="1"/>
    <row r="764" customFormat="1" hidden="1"/>
    <row r="765" customFormat="1" hidden="1"/>
    <row r="766" customFormat="1" hidden="1"/>
    <row r="767" customFormat="1" hidden="1"/>
    <row r="768" customFormat="1" hidden="1"/>
    <row r="769" customFormat="1" hidden="1"/>
    <row r="770" customFormat="1" hidden="1"/>
    <row r="771" customFormat="1" hidden="1"/>
    <row r="772" customFormat="1" hidden="1"/>
    <row r="773" customFormat="1" hidden="1"/>
    <row r="774" customFormat="1" hidden="1"/>
    <row r="775" customFormat="1" hidden="1"/>
    <row r="776" customFormat="1" hidden="1"/>
    <row r="777" customFormat="1" hidden="1"/>
    <row r="778" customFormat="1" hidden="1"/>
    <row r="779" customFormat="1" hidden="1"/>
    <row r="780" customFormat="1" hidden="1"/>
    <row r="781" customFormat="1" hidden="1"/>
    <row r="782" customFormat="1" hidden="1"/>
    <row r="783" customFormat="1" hidden="1"/>
    <row r="784" customFormat="1" hidden="1"/>
    <row r="785" customFormat="1" hidden="1"/>
    <row r="786" customFormat="1" hidden="1"/>
    <row r="787" customFormat="1" hidden="1"/>
    <row r="788" customFormat="1" hidden="1"/>
    <row r="789" customFormat="1" hidden="1"/>
    <row r="790" customFormat="1" hidden="1"/>
    <row r="791" customFormat="1" hidden="1"/>
    <row r="792" customFormat="1" hidden="1"/>
    <row r="793" customFormat="1" hidden="1"/>
    <row r="794" customFormat="1" hidden="1"/>
    <row r="795" customFormat="1" hidden="1"/>
    <row r="796" customFormat="1" hidden="1"/>
    <row r="797" customFormat="1" hidden="1"/>
    <row r="798" customFormat="1" hidden="1"/>
    <row r="799" customFormat="1" hidden="1"/>
    <row r="800" customFormat="1" hidden="1"/>
    <row r="801" customFormat="1" hidden="1"/>
    <row r="802" customFormat="1" hidden="1"/>
    <row r="803" customFormat="1" hidden="1"/>
    <row r="804" customFormat="1" hidden="1"/>
    <row r="805" customFormat="1" hidden="1"/>
    <row r="806" customFormat="1" hidden="1"/>
    <row r="807" customFormat="1" hidden="1"/>
    <row r="808" customFormat="1" hidden="1"/>
    <row r="809" customFormat="1" hidden="1"/>
    <row r="810" customFormat="1" hidden="1"/>
    <row r="811" customFormat="1" hidden="1"/>
    <row r="812" customFormat="1" hidden="1"/>
    <row r="813" customFormat="1" hidden="1"/>
    <row r="814" customFormat="1" hidden="1"/>
    <row r="815" customFormat="1" hidden="1"/>
    <row r="816" customFormat="1" hidden="1"/>
    <row r="817" customFormat="1" hidden="1"/>
    <row r="818" customFormat="1" hidden="1"/>
    <row r="819" customFormat="1" hidden="1"/>
    <row r="820" customFormat="1" hidden="1"/>
    <row r="821" customFormat="1" hidden="1"/>
    <row r="822" customFormat="1" hidden="1"/>
    <row r="823" customFormat="1" hidden="1"/>
    <row r="824" customFormat="1" hidden="1"/>
    <row r="825" customFormat="1" hidden="1"/>
    <row r="826" customFormat="1" hidden="1"/>
    <row r="827" customFormat="1" hidden="1"/>
    <row r="828" customFormat="1" hidden="1"/>
    <row r="829" customFormat="1" hidden="1"/>
    <row r="830" customFormat="1" hidden="1"/>
    <row r="831" customFormat="1" hidden="1"/>
    <row r="832" customFormat="1" hidden="1"/>
    <row r="833" customFormat="1" hidden="1"/>
    <row r="834" customFormat="1" hidden="1"/>
    <row r="835" customFormat="1" hidden="1"/>
    <row r="836" customFormat="1" hidden="1"/>
    <row r="837" customFormat="1" hidden="1"/>
    <row r="838" customFormat="1" hidden="1"/>
    <row r="839" customFormat="1" hidden="1"/>
    <row r="840" customFormat="1" hidden="1"/>
    <row r="841" customFormat="1" hidden="1"/>
    <row r="842" customFormat="1" hidden="1"/>
    <row r="843" customFormat="1" hidden="1"/>
    <row r="844" customFormat="1" hidden="1"/>
    <row r="845" customFormat="1" hidden="1"/>
    <row r="846" customFormat="1" hidden="1"/>
    <row r="847" customFormat="1" hidden="1"/>
    <row r="848" customFormat="1" hidden="1"/>
    <row r="849" customFormat="1" hidden="1"/>
    <row r="850" customFormat="1" hidden="1"/>
    <row r="851" customFormat="1" hidden="1"/>
    <row r="852" customFormat="1" hidden="1"/>
    <row r="853" customFormat="1" hidden="1"/>
    <row r="854" customFormat="1" hidden="1"/>
    <row r="855" customFormat="1" hidden="1"/>
    <row r="856" customFormat="1" hidden="1"/>
    <row r="857" customFormat="1" hidden="1"/>
    <row r="858" customFormat="1" hidden="1"/>
    <row r="859" customFormat="1" hidden="1"/>
    <row r="860" customFormat="1" hidden="1"/>
    <row r="861" customFormat="1" hidden="1"/>
    <row r="862" customFormat="1" hidden="1"/>
    <row r="863" customFormat="1" hidden="1"/>
    <row r="864" customFormat="1" hidden="1"/>
    <row r="865" customFormat="1" hidden="1"/>
    <row r="866" customFormat="1" hidden="1"/>
    <row r="867" customFormat="1" hidden="1"/>
    <row r="868" customFormat="1" hidden="1"/>
    <row r="869" customFormat="1" hidden="1"/>
    <row r="870" customFormat="1" hidden="1"/>
    <row r="871" customFormat="1" hidden="1"/>
    <row r="872" customFormat="1" hidden="1"/>
    <row r="873" customFormat="1" hidden="1"/>
    <row r="874" customFormat="1" hidden="1"/>
    <row r="875" customFormat="1" hidden="1"/>
    <row r="876" customFormat="1" hidden="1"/>
    <row r="877" customFormat="1" hidden="1"/>
    <row r="878" customFormat="1" hidden="1"/>
    <row r="879" customFormat="1" hidden="1"/>
    <row r="880" customFormat="1" hidden="1"/>
    <row r="881" customFormat="1" hidden="1"/>
    <row r="882" customFormat="1" hidden="1"/>
    <row r="883" customFormat="1" hidden="1"/>
    <row r="884" customFormat="1" hidden="1"/>
    <row r="885" customFormat="1" hidden="1"/>
    <row r="886" customFormat="1" hidden="1"/>
    <row r="887" customFormat="1" hidden="1"/>
    <row r="888" customFormat="1" hidden="1"/>
    <row r="889" customFormat="1" hidden="1"/>
    <row r="890" customFormat="1" hidden="1"/>
    <row r="891" customFormat="1" hidden="1"/>
    <row r="892" customFormat="1" hidden="1"/>
    <row r="893" customFormat="1" hidden="1"/>
    <row r="894" customFormat="1" hidden="1"/>
    <row r="895" customFormat="1" hidden="1"/>
    <row r="896" customFormat="1" hidden="1"/>
    <row r="897" customFormat="1" hidden="1"/>
    <row r="898" customFormat="1" hidden="1"/>
    <row r="899" customFormat="1" hidden="1"/>
    <row r="900" customFormat="1" hidden="1"/>
    <row r="901" customFormat="1" hidden="1"/>
    <row r="902" customFormat="1" hidden="1"/>
    <row r="903" customFormat="1" hidden="1"/>
    <row r="904" customFormat="1" hidden="1"/>
    <row r="905" customFormat="1" hidden="1"/>
    <row r="906" customFormat="1" hidden="1"/>
    <row r="907" customFormat="1" hidden="1"/>
    <row r="908" customFormat="1" hidden="1"/>
    <row r="909" customFormat="1" hidden="1"/>
    <row r="910" customFormat="1" hidden="1"/>
    <row r="911" customFormat="1" hidden="1"/>
    <row r="912" customFormat="1" hidden="1"/>
    <row r="913" customFormat="1" hidden="1"/>
    <row r="914" customFormat="1" hidden="1"/>
    <row r="915" customFormat="1" hidden="1"/>
    <row r="916" customFormat="1" hidden="1"/>
    <row r="917" customFormat="1" hidden="1"/>
    <row r="918" customFormat="1" hidden="1"/>
    <row r="919" customFormat="1" hidden="1"/>
    <row r="920" customFormat="1" hidden="1"/>
    <row r="921" customFormat="1" hidden="1"/>
    <row r="922" customFormat="1" hidden="1"/>
    <row r="923" customFormat="1" hidden="1"/>
    <row r="924" customFormat="1" hidden="1"/>
    <row r="925" customFormat="1" hidden="1"/>
    <row r="926" customFormat="1" hidden="1"/>
    <row r="927" customFormat="1" hidden="1"/>
    <row r="928" customFormat="1" hidden="1"/>
    <row r="929" customFormat="1" hidden="1"/>
    <row r="930" customFormat="1" hidden="1"/>
    <row r="931" customFormat="1" hidden="1"/>
    <row r="932" customFormat="1" hidden="1"/>
    <row r="933" customFormat="1" hidden="1"/>
    <row r="934" customFormat="1" hidden="1"/>
    <row r="935" customFormat="1" hidden="1"/>
    <row r="936" customFormat="1" hidden="1"/>
    <row r="937" customFormat="1" hidden="1"/>
    <row r="938" customFormat="1" hidden="1"/>
    <row r="939" customFormat="1" hidden="1"/>
    <row r="940" customFormat="1" hidden="1"/>
    <row r="941" customFormat="1" hidden="1"/>
    <row r="942" customFormat="1" hidden="1"/>
    <row r="943" customFormat="1" hidden="1"/>
    <row r="944" customFormat="1" hidden="1"/>
    <row r="945" customFormat="1" hidden="1"/>
    <row r="946" customFormat="1" hidden="1"/>
    <row r="947" customFormat="1" hidden="1"/>
    <row r="948" customFormat="1" hidden="1"/>
    <row r="949" customFormat="1" hidden="1"/>
    <row r="950" customFormat="1" hidden="1"/>
    <row r="951" customFormat="1" hidden="1"/>
    <row r="952" customFormat="1" hidden="1"/>
    <row r="953" customFormat="1" hidden="1"/>
    <row r="954" customFormat="1" hidden="1"/>
    <row r="955" customFormat="1" hidden="1"/>
    <row r="956" customFormat="1" hidden="1"/>
    <row r="957" customFormat="1" hidden="1"/>
    <row r="958" customFormat="1" hidden="1"/>
    <row r="959" customFormat="1" hidden="1"/>
    <row r="960" customFormat="1" hidden="1"/>
    <row r="961" customFormat="1" hidden="1"/>
    <row r="962" customFormat="1" hidden="1"/>
    <row r="963" customFormat="1" hidden="1"/>
    <row r="964" customFormat="1" hidden="1"/>
    <row r="965" customFormat="1" hidden="1"/>
    <row r="966" customFormat="1" hidden="1"/>
    <row r="967" customFormat="1" hidden="1"/>
    <row r="968" customFormat="1" hidden="1"/>
    <row r="969" customFormat="1" hidden="1"/>
    <row r="970" customFormat="1" hidden="1"/>
    <row r="971" customFormat="1" hidden="1"/>
    <row r="972" customFormat="1" hidden="1"/>
    <row r="973" customFormat="1" hidden="1"/>
    <row r="974" customFormat="1" hidden="1"/>
    <row r="975" customFormat="1" hidden="1"/>
    <row r="976" customFormat="1" hidden="1"/>
    <row r="977" customFormat="1" hidden="1"/>
    <row r="978" customFormat="1" hidden="1"/>
    <row r="979" customFormat="1" hidden="1"/>
    <row r="980" customFormat="1" hidden="1"/>
    <row r="981" customFormat="1" hidden="1"/>
    <row r="982" customFormat="1" hidden="1"/>
    <row r="983" customFormat="1" hidden="1"/>
    <row r="984" customFormat="1" hidden="1"/>
    <row r="985" customFormat="1" hidden="1"/>
    <row r="986" customFormat="1" hidden="1"/>
    <row r="987" customFormat="1" hidden="1"/>
    <row r="988" customFormat="1" hidden="1"/>
    <row r="989" customFormat="1" hidden="1"/>
    <row r="990" customFormat="1" hidden="1"/>
    <row r="991" customFormat="1" hidden="1"/>
    <row r="992" customFormat="1" hidden="1"/>
    <row r="993" customFormat="1" hidden="1"/>
    <row r="994" customFormat="1" hidden="1"/>
    <row r="995" customFormat="1" hidden="1"/>
    <row r="996" customFormat="1" hidden="1"/>
    <row r="997" customFormat="1" hidden="1"/>
    <row r="998" customFormat="1" hidden="1"/>
    <row r="999" customFormat="1" hidden="1"/>
    <row r="1000" customFormat="1" hidden="1"/>
    <row r="1001" customFormat="1" hidden="1"/>
    <row r="1002" customFormat="1" hidden="1"/>
    <row r="1003" customFormat="1" hidden="1"/>
    <row r="1004" customFormat="1" hidden="1"/>
    <row r="1005" customFormat="1" hidden="1"/>
    <row r="1006" customFormat="1" hidden="1"/>
    <row r="1007" customFormat="1" hidden="1"/>
    <row r="1008" customFormat="1" hidden="1"/>
    <row r="1009" customFormat="1" hidden="1"/>
    <row r="1010" customFormat="1" hidden="1"/>
    <row r="1011" customFormat="1" hidden="1"/>
    <row r="1012" customFormat="1" hidden="1"/>
    <row r="1013" customFormat="1" hidden="1"/>
    <row r="1014" customFormat="1" hidden="1"/>
    <row r="1015" customFormat="1" hidden="1"/>
    <row r="1016" customFormat="1" hidden="1"/>
    <row r="1017" customFormat="1" hidden="1"/>
    <row r="1018" customFormat="1" hidden="1"/>
    <row r="1019" customFormat="1" hidden="1"/>
    <row r="1020" customFormat="1" hidden="1"/>
    <row r="1021" customFormat="1" hidden="1"/>
    <row r="1022" customFormat="1" hidden="1"/>
    <row r="1023" customFormat="1" hidden="1"/>
    <row r="1024" customFormat="1" hidden="1"/>
    <row r="1025" customFormat="1" hidden="1"/>
    <row r="1026" customFormat="1" hidden="1"/>
    <row r="1027" customFormat="1" hidden="1"/>
    <row r="1028" customFormat="1" hidden="1"/>
    <row r="1029" customFormat="1" hidden="1"/>
    <row r="1030" customFormat="1" hidden="1"/>
    <row r="1031" customFormat="1" hidden="1"/>
    <row r="1032" customFormat="1" hidden="1"/>
    <row r="1033" customFormat="1" hidden="1"/>
    <row r="1034" customFormat="1" hidden="1"/>
    <row r="1035" customFormat="1" hidden="1"/>
    <row r="1036" customFormat="1" hidden="1"/>
    <row r="1037" customFormat="1" hidden="1"/>
    <row r="1038" customFormat="1" hidden="1"/>
    <row r="1039" customFormat="1" hidden="1"/>
    <row r="1040" customFormat="1" hidden="1"/>
    <row r="1041" customFormat="1" hidden="1"/>
    <row r="1042" customFormat="1" hidden="1"/>
    <row r="1043" customFormat="1" hidden="1"/>
    <row r="1044" customFormat="1" hidden="1"/>
    <row r="1045" customFormat="1" hidden="1"/>
    <row r="1046" customFormat="1" hidden="1"/>
    <row r="1047" customFormat="1" hidden="1"/>
    <row r="1048" customFormat="1" hidden="1"/>
    <row r="1049" customFormat="1" hidden="1"/>
    <row r="1050" customFormat="1" hidden="1"/>
    <row r="1051" customFormat="1" hidden="1"/>
    <row r="1052" customFormat="1" hidden="1"/>
    <row r="1053" customFormat="1" hidden="1"/>
    <row r="1054" customFormat="1" hidden="1"/>
    <row r="1055" customFormat="1" hidden="1"/>
    <row r="1056" customFormat="1" hidden="1"/>
    <row r="1057" customFormat="1" hidden="1"/>
    <row r="1058" customFormat="1" hidden="1"/>
    <row r="1059" customFormat="1" hidden="1"/>
    <row r="1060" customFormat="1" hidden="1"/>
    <row r="1061" customFormat="1" hidden="1"/>
    <row r="1062" customFormat="1" hidden="1"/>
    <row r="1063" customFormat="1" hidden="1"/>
    <row r="1064" customFormat="1" hidden="1"/>
    <row r="1065" customFormat="1" hidden="1"/>
    <row r="1066" customFormat="1" hidden="1"/>
    <row r="1067" customFormat="1" hidden="1"/>
    <row r="1068" customFormat="1" hidden="1"/>
    <row r="1069" customFormat="1" hidden="1"/>
    <row r="1070" customFormat="1" hidden="1"/>
    <row r="1071" customFormat="1" hidden="1"/>
    <row r="1072" customFormat="1" hidden="1"/>
    <row r="1073" customFormat="1" hidden="1"/>
    <row r="1074" customFormat="1" hidden="1"/>
    <row r="1075" customFormat="1" hidden="1"/>
    <row r="1076" customFormat="1" hidden="1"/>
    <row r="1077" customFormat="1" hidden="1"/>
    <row r="1078" customFormat="1" hidden="1"/>
    <row r="1079" customFormat="1" hidden="1"/>
    <row r="1080" customFormat="1" hidden="1"/>
    <row r="1081" customFormat="1" hidden="1"/>
    <row r="1082" customFormat="1" hidden="1"/>
    <row r="1083" customFormat="1" hidden="1"/>
    <row r="1084" customFormat="1" hidden="1"/>
    <row r="1085" customFormat="1" hidden="1"/>
    <row r="1086" customFormat="1" hidden="1"/>
    <row r="1087" customFormat="1" hidden="1"/>
    <row r="1088" customFormat="1" hidden="1"/>
    <row r="1089" customFormat="1" hidden="1"/>
    <row r="1090" customFormat="1" hidden="1"/>
    <row r="1091" customFormat="1" hidden="1"/>
    <row r="1092" customFormat="1" hidden="1"/>
    <row r="1093" customFormat="1" hidden="1"/>
    <row r="1094" customFormat="1" hidden="1"/>
    <row r="1095" customFormat="1" hidden="1"/>
    <row r="1096" customFormat="1" hidden="1"/>
    <row r="1097" customFormat="1" hidden="1"/>
    <row r="1098" customFormat="1" hidden="1"/>
    <row r="1099" customFormat="1" hidden="1"/>
    <row r="1100" customFormat="1" hidden="1"/>
    <row r="1101" customFormat="1" hidden="1"/>
    <row r="1102" customFormat="1" hidden="1"/>
    <row r="1103" customFormat="1" hidden="1"/>
    <row r="1104" customFormat="1" hidden="1"/>
    <row r="1105" customFormat="1" hidden="1"/>
    <row r="1106" customFormat="1" hidden="1"/>
    <row r="1107" customFormat="1" hidden="1"/>
    <row r="1108" customFormat="1" hidden="1"/>
    <row r="1109" customFormat="1" hidden="1"/>
    <row r="1110" customFormat="1" hidden="1"/>
    <row r="1111" customFormat="1" hidden="1"/>
    <row r="1112" customFormat="1" hidden="1"/>
    <row r="1113" customFormat="1" hidden="1"/>
    <row r="1114" customFormat="1" hidden="1"/>
    <row r="1115" customFormat="1" hidden="1"/>
    <row r="1116" customFormat="1" hidden="1"/>
    <row r="1117" customFormat="1" hidden="1"/>
    <row r="1118" customFormat="1" hidden="1"/>
    <row r="1119" customFormat="1" hidden="1"/>
    <row r="1120" customFormat="1" hidden="1"/>
    <row r="1121" customFormat="1" hidden="1"/>
    <row r="1122" customFormat="1" hidden="1"/>
    <row r="1123" customFormat="1" hidden="1"/>
    <row r="1124" customFormat="1" hidden="1"/>
    <row r="1125" customFormat="1" hidden="1"/>
    <row r="1126" customFormat="1" hidden="1"/>
    <row r="1127" customFormat="1" hidden="1"/>
    <row r="1128" customFormat="1" hidden="1"/>
    <row r="1129" customFormat="1" hidden="1"/>
    <row r="1130" customFormat="1" hidden="1"/>
    <row r="1131" customFormat="1" hidden="1"/>
    <row r="1132" customFormat="1" hidden="1"/>
    <row r="1133" customFormat="1" hidden="1"/>
    <row r="1134" customFormat="1" hidden="1"/>
    <row r="1135" customFormat="1" hidden="1"/>
    <row r="1136" customFormat="1" hidden="1"/>
    <row r="1137" customFormat="1" hidden="1"/>
    <row r="1138" customFormat="1" hidden="1"/>
    <row r="1139" customFormat="1" hidden="1"/>
    <row r="1140" customFormat="1" hidden="1"/>
    <row r="1141" customFormat="1" hidden="1"/>
    <row r="1142" customFormat="1" hidden="1"/>
    <row r="1143" customFormat="1" hidden="1"/>
    <row r="1144" customFormat="1" hidden="1"/>
    <row r="1145" customFormat="1" hidden="1"/>
    <row r="1146" customFormat="1" hidden="1"/>
    <row r="1147" customFormat="1" hidden="1"/>
    <row r="1148" customFormat="1" hidden="1"/>
    <row r="1149" customFormat="1" hidden="1"/>
    <row r="1150" customFormat="1" hidden="1"/>
    <row r="1151" customFormat="1" hidden="1"/>
    <row r="1152" customFormat="1" hidden="1"/>
    <row r="1153" customFormat="1" hidden="1"/>
    <row r="1154" customFormat="1" hidden="1"/>
    <row r="1155" customFormat="1" hidden="1"/>
    <row r="1156" customFormat="1" hidden="1"/>
    <row r="1157" customFormat="1" hidden="1"/>
    <row r="1158" customFormat="1" hidden="1"/>
    <row r="1159" customFormat="1" hidden="1"/>
    <row r="1160" customFormat="1" hidden="1"/>
    <row r="1161" customFormat="1" hidden="1"/>
    <row r="1162" customFormat="1" hidden="1"/>
    <row r="1163" customFormat="1" hidden="1"/>
    <row r="1164" customFormat="1" hidden="1"/>
    <row r="1165" customFormat="1" hidden="1"/>
    <row r="1166" customFormat="1" hidden="1"/>
    <row r="1167" customFormat="1" hidden="1"/>
    <row r="1168" customFormat="1" hidden="1"/>
    <row r="1169" customFormat="1" hidden="1"/>
    <row r="1170" customFormat="1" hidden="1"/>
    <row r="1171" customFormat="1" hidden="1"/>
    <row r="1172" customFormat="1" hidden="1"/>
    <row r="1173" customFormat="1" hidden="1"/>
    <row r="1174" customFormat="1" hidden="1"/>
    <row r="1175" customFormat="1" hidden="1"/>
    <row r="1176" customFormat="1" hidden="1"/>
    <row r="1177" customFormat="1" hidden="1"/>
    <row r="1178" customFormat="1" hidden="1"/>
    <row r="1179" customFormat="1" hidden="1"/>
    <row r="1180" customFormat="1" hidden="1"/>
    <row r="1181" customFormat="1" hidden="1"/>
    <row r="1182" customFormat="1" hidden="1"/>
    <row r="1183" customFormat="1" hidden="1"/>
    <row r="1184" customFormat="1" hidden="1"/>
    <row r="1185" customFormat="1" hidden="1"/>
    <row r="1186" customFormat="1" hidden="1"/>
    <row r="1187" customFormat="1" hidden="1"/>
    <row r="1188" customFormat="1" hidden="1"/>
    <row r="1189" customFormat="1" hidden="1"/>
    <row r="1190" customFormat="1" hidden="1"/>
    <row r="1191" customFormat="1" hidden="1"/>
    <row r="1192" customFormat="1" hidden="1"/>
    <row r="1193" customFormat="1" hidden="1"/>
    <row r="1194" customFormat="1" hidden="1"/>
    <row r="1195" customFormat="1" hidden="1"/>
    <row r="1196" customFormat="1" hidden="1"/>
    <row r="1197" customFormat="1" hidden="1"/>
    <row r="1198" customFormat="1" hidden="1"/>
    <row r="1199" customFormat="1" hidden="1"/>
    <row r="1200" customFormat="1" hidden="1"/>
    <row r="1201" customFormat="1" hidden="1"/>
    <row r="1202" customFormat="1" hidden="1"/>
    <row r="1203" customFormat="1" hidden="1"/>
    <row r="1204" customFormat="1" hidden="1"/>
    <row r="1205" customFormat="1" hidden="1"/>
    <row r="1206" customFormat="1" hidden="1"/>
    <row r="1207" customFormat="1" hidden="1"/>
    <row r="1208" customFormat="1" hidden="1"/>
    <row r="1209" customFormat="1" hidden="1"/>
    <row r="1210" customFormat="1" hidden="1"/>
    <row r="1211" customFormat="1" hidden="1"/>
    <row r="1212" customFormat="1" hidden="1"/>
    <row r="1213" customFormat="1" hidden="1"/>
    <row r="1214" customFormat="1" hidden="1"/>
    <row r="1215" customFormat="1" hidden="1"/>
    <row r="1216" customFormat="1" hidden="1"/>
    <row r="1217" customFormat="1" hidden="1"/>
    <row r="1218" customFormat="1" hidden="1"/>
    <row r="1219" customFormat="1" hidden="1"/>
    <row r="1220" customFormat="1" hidden="1"/>
    <row r="1221" customFormat="1" hidden="1"/>
    <row r="1222" customFormat="1" hidden="1"/>
    <row r="1223" customFormat="1" hidden="1"/>
    <row r="1224" customFormat="1" hidden="1"/>
    <row r="1225" customFormat="1" hidden="1"/>
    <row r="1226" customFormat="1" hidden="1"/>
    <row r="1227" customFormat="1" hidden="1"/>
    <row r="1228" customFormat="1" hidden="1"/>
    <row r="1229" customFormat="1" hidden="1"/>
    <row r="1230" customFormat="1" hidden="1"/>
    <row r="1231" customFormat="1" hidden="1"/>
    <row r="1232" customFormat="1" hidden="1"/>
    <row r="1233" customFormat="1" hidden="1"/>
    <row r="1234" customFormat="1" hidden="1"/>
    <row r="1235" customFormat="1" hidden="1"/>
    <row r="1236" customFormat="1" hidden="1"/>
    <row r="1237" customFormat="1" hidden="1"/>
    <row r="1238" customFormat="1" hidden="1"/>
    <row r="1239" customFormat="1" hidden="1"/>
    <row r="1240" customFormat="1" hidden="1"/>
    <row r="1241" customFormat="1" hidden="1"/>
    <row r="1242" customFormat="1" hidden="1"/>
    <row r="1243" customFormat="1" hidden="1"/>
    <row r="1244" customFormat="1" hidden="1"/>
    <row r="1245" customFormat="1" hidden="1"/>
    <row r="1246" customFormat="1" hidden="1"/>
    <row r="1247" customFormat="1" hidden="1"/>
    <row r="1248" customFormat="1" hidden="1"/>
    <row r="1249" customFormat="1" hidden="1"/>
    <row r="1250" customFormat="1" hidden="1"/>
    <row r="1251" customFormat="1" hidden="1"/>
    <row r="1252" customFormat="1" hidden="1"/>
    <row r="1253" customFormat="1" hidden="1"/>
    <row r="1254" customFormat="1" hidden="1"/>
    <row r="1255" customFormat="1" hidden="1"/>
    <row r="1256" customFormat="1" hidden="1"/>
    <row r="1257" customFormat="1" hidden="1"/>
    <row r="1258" customFormat="1" hidden="1"/>
    <row r="1259" customFormat="1" hidden="1"/>
    <row r="1260" customFormat="1" hidden="1"/>
    <row r="1261" customFormat="1" hidden="1"/>
    <row r="1262" customFormat="1" hidden="1"/>
    <row r="1263" customFormat="1" hidden="1"/>
    <row r="1264" customFormat="1" hidden="1"/>
    <row r="1265" customFormat="1" hidden="1"/>
    <row r="1266" customFormat="1" hidden="1"/>
    <row r="1267" customFormat="1" hidden="1"/>
    <row r="1268" customFormat="1" hidden="1"/>
    <row r="1269" customFormat="1" hidden="1"/>
    <row r="1270" customFormat="1" hidden="1"/>
    <row r="1271" customFormat="1" hidden="1"/>
    <row r="1272" customFormat="1" hidden="1"/>
    <row r="1273" customFormat="1" hidden="1"/>
    <row r="1274" customFormat="1" hidden="1"/>
    <row r="1275" customFormat="1" hidden="1"/>
    <row r="1276" customFormat="1" hidden="1"/>
    <row r="1277" customFormat="1" hidden="1"/>
    <row r="1278" customFormat="1" hidden="1"/>
    <row r="1279" customFormat="1" hidden="1"/>
    <row r="1280" customFormat="1" hidden="1"/>
    <row r="1281" customFormat="1" hidden="1"/>
    <row r="1282" customFormat="1" hidden="1"/>
    <row r="1283" customFormat="1" hidden="1"/>
    <row r="1284" customFormat="1" hidden="1"/>
    <row r="1285" customFormat="1" hidden="1"/>
    <row r="1286" customFormat="1" hidden="1"/>
    <row r="1287" customFormat="1" hidden="1"/>
    <row r="1288" customFormat="1" hidden="1"/>
    <row r="1289" customFormat="1" hidden="1"/>
    <row r="1290" customFormat="1" hidden="1"/>
    <row r="1291" customFormat="1" hidden="1"/>
    <row r="1292" customFormat="1" hidden="1"/>
    <row r="1293" customFormat="1" hidden="1"/>
    <row r="1294" customFormat="1" hidden="1"/>
    <row r="1295" customFormat="1" hidden="1"/>
    <row r="1296" customFormat="1" hidden="1"/>
    <row r="1297" customFormat="1" hidden="1"/>
    <row r="1298" customFormat="1" hidden="1"/>
    <row r="1299" customFormat="1" hidden="1"/>
    <row r="1300" customFormat="1" hidden="1"/>
    <row r="1301" customFormat="1" hidden="1"/>
    <row r="1302" customFormat="1" hidden="1"/>
    <row r="1303" customFormat="1" hidden="1"/>
    <row r="1304" customFormat="1" hidden="1"/>
    <row r="1305" customFormat="1" hidden="1"/>
    <row r="1306" customFormat="1" hidden="1"/>
    <row r="1307" customFormat="1" hidden="1"/>
    <row r="1308" customFormat="1" hidden="1"/>
    <row r="1309" customFormat="1" hidden="1"/>
    <row r="1310" customFormat="1" hidden="1"/>
    <row r="1311" customFormat="1" hidden="1"/>
    <row r="1312" customFormat="1" hidden="1"/>
    <row r="1313" customFormat="1" hidden="1"/>
    <row r="1314" customFormat="1" hidden="1"/>
    <row r="1315" customFormat="1" hidden="1"/>
    <row r="1316" customFormat="1" hidden="1"/>
    <row r="1317" customFormat="1" hidden="1"/>
    <row r="1318" customFormat="1" hidden="1"/>
    <row r="1319" customFormat="1" hidden="1"/>
    <row r="1320" customFormat="1" hidden="1"/>
    <row r="1321" customFormat="1" hidden="1"/>
    <row r="1322" customFormat="1" hidden="1"/>
    <row r="1323" customFormat="1" hidden="1"/>
    <row r="1324" customFormat="1" hidden="1"/>
    <row r="1325" customFormat="1" hidden="1"/>
    <row r="1326" customFormat="1" hidden="1"/>
    <row r="1327" customFormat="1" hidden="1"/>
    <row r="1328" customFormat="1" hidden="1"/>
    <row r="1329" customFormat="1" hidden="1"/>
    <row r="1330" customFormat="1" hidden="1"/>
    <row r="1331" customFormat="1" hidden="1"/>
    <row r="1332" customFormat="1" hidden="1"/>
    <row r="1333" customFormat="1" hidden="1"/>
    <row r="1334" customFormat="1" hidden="1"/>
    <row r="1335" customFormat="1" hidden="1"/>
    <row r="1336" customFormat="1" hidden="1"/>
    <row r="1337" customFormat="1" hidden="1"/>
    <row r="1338" customFormat="1" hidden="1"/>
    <row r="1339" customFormat="1" hidden="1"/>
    <row r="1340" customFormat="1" hidden="1"/>
    <row r="1341" customFormat="1" hidden="1"/>
    <row r="1342" customFormat="1" hidden="1"/>
    <row r="1343" customFormat="1" hidden="1"/>
    <row r="1344" customFormat="1" hidden="1"/>
    <row r="1345" customFormat="1" hidden="1"/>
    <row r="1346" customFormat="1" hidden="1"/>
    <row r="1347" customFormat="1" hidden="1"/>
    <row r="1348" customFormat="1" hidden="1"/>
    <row r="1349" customFormat="1" hidden="1"/>
    <row r="1350" customFormat="1" hidden="1"/>
    <row r="1351" customFormat="1" hidden="1"/>
    <row r="1352" customFormat="1" hidden="1"/>
    <row r="1353" customFormat="1" hidden="1"/>
    <row r="1354" customFormat="1" hidden="1"/>
    <row r="1355" customFormat="1" hidden="1"/>
    <row r="1356" customFormat="1" hidden="1"/>
    <row r="1357" customFormat="1" hidden="1"/>
    <row r="1358" customFormat="1" hidden="1"/>
    <row r="1359" customFormat="1" hidden="1"/>
    <row r="1360" customFormat="1" hidden="1"/>
    <row r="1361" customFormat="1" hidden="1"/>
    <row r="1362" customFormat="1" hidden="1"/>
    <row r="1363" customFormat="1" hidden="1"/>
    <row r="1364" customFormat="1" hidden="1"/>
    <row r="1365" customFormat="1" hidden="1"/>
    <row r="1366" customFormat="1" hidden="1"/>
    <row r="1367" customFormat="1" hidden="1"/>
    <row r="1368" customFormat="1" hidden="1"/>
    <row r="1369" customFormat="1" hidden="1"/>
    <row r="1370" customFormat="1" hidden="1"/>
    <row r="1371" customFormat="1" hidden="1"/>
    <row r="1372" customFormat="1" hidden="1"/>
    <row r="1373" customFormat="1" hidden="1"/>
    <row r="1374" customFormat="1" hidden="1"/>
    <row r="1375" customFormat="1" hidden="1"/>
    <row r="1376" customFormat="1" hidden="1"/>
    <row r="1377" customFormat="1" hidden="1"/>
    <row r="1378" customFormat="1" hidden="1"/>
    <row r="1379" customFormat="1" hidden="1"/>
    <row r="1380" customFormat="1" hidden="1"/>
    <row r="1381" customFormat="1" hidden="1"/>
    <row r="1382" customFormat="1" hidden="1"/>
    <row r="1383" customFormat="1" hidden="1"/>
    <row r="1384" customFormat="1" hidden="1"/>
    <row r="1385" customFormat="1" hidden="1"/>
    <row r="1386" customFormat="1" hidden="1"/>
    <row r="1387" customFormat="1" hidden="1"/>
    <row r="1388" customFormat="1" hidden="1"/>
    <row r="1389" customFormat="1" hidden="1"/>
    <row r="1390" customFormat="1" hidden="1"/>
    <row r="1391" customFormat="1" hidden="1"/>
    <row r="1392" customFormat="1" hidden="1"/>
    <row r="1393" customFormat="1" hidden="1"/>
    <row r="1394" customFormat="1" hidden="1"/>
    <row r="1395" customFormat="1" hidden="1"/>
    <row r="1396" customFormat="1" hidden="1"/>
    <row r="1397" customFormat="1" hidden="1"/>
    <row r="1398" customFormat="1" hidden="1"/>
    <row r="1399" customFormat="1" hidden="1"/>
    <row r="1400" customFormat="1" hidden="1"/>
    <row r="1401" customFormat="1" hidden="1"/>
    <row r="1402" customFormat="1" hidden="1"/>
    <row r="1403" customFormat="1" hidden="1"/>
    <row r="1404" customFormat="1" hidden="1"/>
    <row r="1405" customFormat="1" hidden="1"/>
    <row r="1406" customFormat="1" hidden="1"/>
    <row r="1407" customFormat="1" hidden="1"/>
    <row r="1408" customFormat="1" hidden="1"/>
    <row r="1409" customFormat="1" hidden="1"/>
    <row r="1410" customFormat="1" hidden="1"/>
    <row r="1411" customFormat="1" hidden="1"/>
    <row r="1412" customFormat="1" hidden="1"/>
    <row r="1413" customFormat="1" hidden="1"/>
    <row r="1414" customFormat="1" hidden="1"/>
    <row r="1415" customFormat="1" hidden="1"/>
    <row r="1416" customFormat="1" hidden="1"/>
    <row r="1417" customFormat="1" hidden="1"/>
    <row r="1418" customFormat="1" hidden="1"/>
    <row r="1419" customFormat="1" hidden="1"/>
    <row r="1420" customFormat="1" hidden="1"/>
    <row r="1421" customFormat="1" hidden="1"/>
    <row r="1422" customFormat="1" hidden="1"/>
    <row r="1423" customFormat="1" hidden="1"/>
    <row r="1424" customFormat="1" hidden="1"/>
    <row r="1425" customFormat="1" hidden="1"/>
    <row r="1426" customFormat="1" hidden="1"/>
    <row r="1427" customFormat="1" hidden="1"/>
    <row r="1428" customFormat="1" hidden="1"/>
    <row r="1429" customFormat="1" hidden="1"/>
    <row r="1430" customFormat="1" hidden="1"/>
    <row r="1431" customFormat="1" hidden="1"/>
    <row r="1432" customFormat="1" hidden="1"/>
    <row r="1433" customFormat="1" hidden="1"/>
    <row r="1434" customFormat="1" hidden="1"/>
    <row r="1435" customFormat="1" hidden="1"/>
    <row r="1436" customFormat="1" hidden="1"/>
    <row r="1437" customFormat="1" hidden="1"/>
    <row r="1438" customFormat="1" hidden="1"/>
    <row r="1439" customFormat="1" hidden="1"/>
    <row r="1440" customFormat="1" hidden="1"/>
    <row r="1441" customFormat="1" hidden="1"/>
    <row r="1442" customFormat="1" hidden="1"/>
    <row r="1443" customFormat="1" hidden="1"/>
    <row r="1444" customFormat="1" hidden="1"/>
    <row r="1445" customFormat="1" hidden="1"/>
    <row r="1446" customFormat="1" hidden="1"/>
    <row r="1447" customFormat="1" hidden="1"/>
    <row r="1448" customFormat="1" hidden="1"/>
    <row r="1449" customFormat="1" hidden="1"/>
    <row r="1450" customFormat="1" hidden="1"/>
    <row r="1451" customFormat="1" hidden="1"/>
    <row r="1452" customFormat="1" hidden="1"/>
    <row r="1453" customFormat="1" hidden="1"/>
    <row r="1454" customFormat="1" hidden="1"/>
    <row r="1455" customFormat="1" hidden="1"/>
    <row r="1456" customFormat="1" hidden="1"/>
    <row r="1457" customFormat="1" hidden="1"/>
    <row r="1458" customFormat="1" hidden="1"/>
    <row r="1459" customFormat="1" hidden="1"/>
    <row r="1460" customFormat="1" hidden="1"/>
    <row r="1461" customFormat="1" hidden="1"/>
    <row r="1462" customFormat="1" hidden="1"/>
    <row r="1463" customFormat="1" hidden="1"/>
    <row r="1464" customFormat="1" hidden="1"/>
    <row r="1465" customFormat="1" hidden="1"/>
    <row r="1466" customFormat="1" hidden="1"/>
    <row r="1467" customFormat="1" hidden="1"/>
    <row r="1468" customFormat="1" hidden="1"/>
    <row r="1469" customFormat="1" hidden="1"/>
    <row r="1470" customFormat="1" hidden="1"/>
    <row r="1471" customFormat="1" hidden="1"/>
    <row r="1472" customFormat="1" hidden="1"/>
    <row r="1473" customFormat="1" hidden="1"/>
    <row r="1474" customFormat="1" hidden="1"/>
    <row r="1475" customFormat="1" hidden="1"/>
    <row r="1476" customFormat="1" hidden="1"/>
    <row r="1477" customFormat="1" hidden="1"/>
    <row r="1478" customFormat="1" hidden="1"/>
    <row r="1479" customFormat="1" hidden="1"/>
    <row r="1480" customFormat="1" hidden="1"/>
    <row r="1481" customFormat="1" hidden="1"/>
    <row r="1482" customFormat="1" hidden="1"/>
    <row r="1483" customFormat="1" hidden="1"/>
    <row r="1484" customFormat="1" hidden="1"/>
    <row r="1485" customFormat="1" hidden="1"/>
    <row r="1486" customFormat="1" hidden="1"/>
    <row r="1487" customFormat="1" hidden="1"/>
    <row r="1488" customFormat="1" hidden="1"/>
    <row r="1489" customFormat="1" hidden="1"/>
    <row r="1490" customFormat="1" hidden="1"/>
    <row r="1491" customFormat="1" hidden="1"/>
    <row r="1492" customFormat="1" hidden="1"/>
    <row r="1493" customFormat="1" hidden="1"/>
    <row r="1494" customFormat="1" hidden="1"/>
    <row r="1495" customFormat="1" hidden="1"/>
    <row r="1496" customFormat="1" hidden="1"/>
    <row r="1497" customFormat="1" hidden="1"/>
    <row r="1498" customFormat="1" hidden="1"/>
    <row r="1499" customFormat="1" hidden="1"/>
    <row r="1500" customFormat="1" hidden="1"/>
    <row r="1501" customFormat="1" hidden="1"/>
    <row r="1502" customFormat="1" hidden="1"/>
    <row r="1503" customFormat="1" hidden="1"/>
    <row r="1504" customFormat="1" hidden="1"/>
    <row r="1505" customFormat="1" hidden="1"/>
    <row r="1506" customFormat="1" hidden="1"/>
    <row r="1507" customFormat="1" hidden="1"/>
    <row r="1508" customFormat="1" hidden="1"/>
    <row r="1509" customFormat="1" hidden="1"/>
    <row r="1510" customFormat="1" hidden="1"/>
    <row r="1511" customFormat="1" hidden="1"/>
    <row r="1512" customFormat="1" hidden="1"/>
    <row r="1513" customFormat="1" hidden="1"/>
    <row r="1514" customFormat="1" hidden="1"/>
    <row r="1515" customFormat="1" hidden="1"/>
    <row r="1516" customFormat="1" hidden="1"/>
    <row r="1517" customFormat="1" hidden="1"/>
    <row r="1518" customFormat="1" hidden="1"/>
    <row r="1519" customFormat="1" hidden="1"/>
    <row r="1520" customFormat="1" hidden="1"/>
    <row r="1521" customFormat="1" hidden="1"/>
    <row r="1522" customFormat="1" hidden="1"/>
    <row r="1523" customFormat="1" hidden="1"/>
    <row r="1524" customFormat="1" hidden="1"/>
    <row r="1525" customFormat="1" hidden="1"/>
    <row r="1526" customFormat="1" hidden="1"/>
    <row r="1527" customFormat="1" hidden="1"/>
    <row r="1528" customFormat="1" hidden="1"/>
    <row r="1529" customFormat="1" hidden="1"/>
    <row r="1530" customFormat="1" hidden="1"/>
    <row r="1531" customFormat="1" hidden="1"/>
    <row r="1532" customFormat="1" hidden="1"/>
    <row r="1533" customFormat="1" hidden="1"/>
    <row r="1534" customFormat="1" hidden="1"/>
    <row r="1535" customFormat="1" hidden="1"/>
    <row r="1536" customFormat="1" hidden="1"/>
    <row r="1537" customFormat="1" hidden="1"/>
    <row r="1538" customFormat="1" hidden="1"/>
    <row r="1539" customFormat="1" hidden="1"/>
    <row r="1540" customFormat="1" hidden="1"/>
    <row r="1541" customFormat="1" hidden="1"/>
    <row r="1542" customFormat="1" hidden="1"/>
    <row r="1543" customFormat="1" hidden="1"/>
    <row r="1544" customFormat="1" hidden="1"/>
    <row r="1545" customFormat="1" hidden="1"/>
    <row r="1546" customFormat="1" hidden="1"/>
    <row r="1547" customFormat="1" hidden="1"/>
    <row r="1548" customFormat="1" hidden="1"/>
    <row r="1549" customFormat="1" hidden="1"/>
    <row r="1550" customFormat="1" hidden="1"/>
    <row r="1551" customFormat="1" hidden="1"/>
    <row r="1552" customFormat="1" hidden="1"/>
    <row r="1553" customFormat="1" hidden="1"/>
    <row r="1554" customFormat="1" hidden="1"/>
    <row r="1555" customFormat="1" hidden="1"/>
    <row r="1556" customFormat="1" hidden="1"/>
    <row r="1557" customFormat="1" hidden="1"/>
    <row r="1558" customFormat="1" hidden="1"/>
    <row r="1559" customFormat="1" hidden="1"/>
    <row r="1560" customFormat="1" hidden="1"/>
    <row r="1561" customFormat="1" hidden="1"/>
    <row r="1562" customFormat="1" hidden="1"/>
    <row r="1563" customFormat="1" hidden="1"/>
    <row r="1564" customFormat="1" hidden="1"/>
    <row r="1565" customFormat="1" hidden="1"/>
    <row r="1566" customFormat="1" hidden="1"/>
    <row r="1567" customFormat="1" hidden="1"/>
    <row r="1568" customFormat="1" hidden="1"/>
    <row r="1569" customFormat="1" hidden="1"/>
    <row r="1570" customFormat="1" hidden="1"/>
    <row r="1571" customFormat="1" hidden="1"/>
    <row r="1572" customFormat="1" hidden="1"/>
    <row r="1573" customFormat="1" hidden="1"/>
    <row r="1574" customFormat="1" hidden="1"/>
    <row r="1575" customFormat="1" hidden="1"/>
    <row r="1576" customFormat="1" hidden="1"/>
    <row r="1577" customFormat="1" hidden="1"/>
    <row r="1578" customFormat="1" hidden="1"/>
    <row r="1579" customFormat="1" hidden="1"/>
    <row r="1580" customFormat="1" hidden="1"/>
    <row r="1581" customFormat="1" hidden="1"/>
    <row r="1582" customFormat="1" hidden="1"/>
    <row r="1583" customFormat="1" hidden="1"/>
    <row r="1584" customFormat="1" hidden="1"/>
    <row r="1585" customFormat="1" hidden="1"/>
    <row r="1586" customFormat="1" hidden="1"/>
    <row r="1587" customFormat="1" hidden="1"/>
    <row r="1588" customFormat="1" hidden="1"/>
    <row r="1589" customFormat="1" hidden="1"/>
    <row r="1590" customFormat="1" hidden="1"/>
    <row r="1591" customFormat="1" hidden="1"/>
    <row r="1592" customFormat="1" hidden="1"/>
    <row r="1593" customFormat="1" hidden="1"/>
    <row r="1594" customFormat="1" hidden="1"/>
    <row r="1595" customFormat="1" hidden="1"/>
    <row r="1596" customFormat="1" hidden="1"/>
    <row r="1597" customFormat="1" hidden="1"/>
    <row r="1598" customFormat="1" hidden="1"/>
    <row r="1599" customFormat="1" hidden="1"/>
    <row r="1600" customFormat="1" hidden="1"/>
    <row r="1601" customFormat="1" hidden="1"/>
    <row r="1602" customFormat="1" hidden="1"/>
    <row r="1603" customFormat="1" hidden="1"/>
    <row r="1604" customFormat="1" hidden="1"/>
    <row r="1605" customFormat="1" hidden="1"/>
    <row r="1606" customFormat="1" hidden="1"/>
    <row r="1607" customFormat="1" hidden="1"/>
    <row r="1608" customFormat="1" hidden="1"/>
    <row r="1609" customFormat="1" hidden="1"/>
    <row r="1610" customFormat="1" hidden="1"/>
    <row r="1611" customFormat="1" hidden="1"/>
    <row r="1612" customFormat="1" hidden="1"/>
    <row r="1613" customFormat="1" hidden="1"/>
    <row r="1614" customFormat="1" hidden="1"/>
    <row r="1615" customFormat="1" hidden="1"/>
    <row r="1616" customFormat="1" hidden="1"/>
    <row r="1617" customFormat="1" hidden="1"/>
    <row r="1618" customFormat="1" hidden="1"/>
    <row r="1619" customFormat="1" hidden="1"/>
    <row r="1620" customFormat="1" hidden="1"/>
    <row r="1621" customFormat="1" hidden="1"/>
    <row r="1622" customFormat="1" hidden="1"/>
    <row r="1623" customFormat="1" hidden="1"/>
    <row r="1624" customFormat="1" hidden="1"/>
    <row r="1625" customFormat="1" hidden="1"/>
    <row r="1626" customFormat="1" hidden="1"/>
    <row r="1627" customFormat="1" hidden="1"/>
    <row r="1628" customFormat="1" hidden="1"/>
    <row r="1629" customFormat="1" hidden="1"/>
    <row r="1630" customFormat="1" hidden="1"/>
    <row r="1631" customFormat="1" hidden="1"/>
    <row r="1632" customFormat="1" hidden="1"/>
    <row r="1633" customFormat="1" hidden="1"/>
    <row r="1634" customFormat="1" hidden="1"/>
    <row r="1635" customFormat="1" hidden="1"/>
    <row r="1636" customFormat="1" hidden="1"/>
    <row r="1637" customFormat="1" hidden="1"/>
    <row r="1638" customFormat="1" hidden="1"/>
    <row r="1639" customFormat="1" hidden="1"/>
    <row r="1640" customFormat="1" hidden="1"/>
    <row r="1641" customFormat="1" hidden="1"/>
    <row r="1642" customFormat="1" hidden="1"/>
    <row r="1643" customFormat="1" hidden="1"/>
    <row r="1644" customFormat="1" hidden="1"/>
    <row r="1645" customFormat="1" hidden="1"/>
    <row r="1646" customFormat="1" hidden="1"/>
    <row r="1647" customFormat="1" hidden="1"/>
    <row r="1648" customFormat="1" hidden="1"/>
    <row r="1649" customFormat="1" hidden="1"/>
    <row r="1650" customFormat="1" hidden="1"/>
    <row r="1651" customFormat="1" hidden="1"/>
    <row r="1652" customFormat="1" hidden="1"/>
    <row r="1653" customFormat="1" hidden="1"/>
    <row r="1654" customFormat="1" hidden="1"/>
    <row r="1655" customFormat="1" hidden="1"/>
    <row r="1656" customFormat="1" hidden="1"/>
    <row r="1657" customFormat="1" hidden="1"/>
    <row r="1658" customFormat="1" hidden="1"/>
    <row r="1659" customFormat="1" hidden="1"/>
    <row r="1660" customFormat="1" hidden="1"/>
    <row r="1661" customFormat="1" hidden="1"/>
    <row r="1662" customFormat="1" hidden="1"/>
    <row r="1663" customFormat="1" hidden="1"/>
    <row r="1664" customFormat="1" hidden="1"/>
    <row r="1665" customFormat="1" hidden="1"/>
    <row r="1666" customFormat="1" hidden="1"/>
    <row r="1667" customFormat="1" hidden="1"/>
    <row r="1668" customFormat="1" hidden="1"/>
    <row r="1669" customFormat="1" hidden="1"/>
    <row r="1670" customFormat="1" hidden="1"/>
    <row r="1671" customFormat="1" hidden="1"/>
    <row r="1672" customFormat="1" hidden="1"/>
    <row r="1673" customFormat="1" hidden="1"/>
    <row r="1674" customFormat="1" hidden="1"/>
    <row r="1675" customFormat="1" hidden="1"/>
    <row r="1676" customFormat="1" hidden="1"/>
    <row r="1677" customFormat="1" hidden="1"/>
    <row r="1678" customFormat="1" hidden="1"/>
    <row r="1679" customFormat="1" hidden="1"/>
    <row r="1680" customFormat="1" hidden="1"/>
    <row r="1681" customFormat="1" hidden="1"/>
    <row r="1682" customFormat="1" hidden="1"/>
    <row r="1683" customFormat="1" hidden="1"/>
    <row r="1684" customFormat="1" hidden="1"/>
    <row r="1685" customFormat="1" hidden="1"/>
    <row r="1686" customFormat="1" hidden="1"/>
    <row r="1687" customFormat="1" hidden="1"/>
    <row r="1688" customFormat="1" hidden="1"/>
    <row r="1689" customFormat="1" hidden="1"/>
    <row r="1690" customFormat="1" hidden="1"/>
    <row r="1691" customFormat="1" hidden="1"/>
    <row r="1692" customFormat="1" hidden="1"/>
    <row r="1693" customFormat="1" hidden="1"/>
    <row r="1694" customFormat="1" hidden="1"/>
    <row r="1695" customFormat="1" hidden="1"/>
    <row r="1696" customFormat="1" hidden="1"/>
    <row r="1697" customFormat="1" hidden="1"/>
    <row r="1698" customFormat="1" hidden="1"/>
    <row r="1699" customFormat="1" hidden="1"/>
    <row r="1700" customFormat="1" hidden="1"/>
    <row r="1701" customFormat="1" hidden="1"/>
    <row r="1702" customFormat="1" hidden="1"/>
    <row r="1703" customFormat="1" hidden="1"/>
    <row r="1704" customFormat="1" hidden="1"/>
    <row r="1705" customFormat="1" hidden="1"/>
    <row r="1706" customFormat="1" hidden="1"/>
    <row r="1707" customFormat="1" hidden="1"/>
    <row r="1708" customFormat="1" hidden="1"/>
    <row r="1709" customFormat="1" hidden="1"/>
    <row r="1710" customFormat="1" hidden="1"/>
    <row r="1711" customFormat="1" hidden="1"/>
    <row r="1712" customFormat="1" hidden="1"/>
    <row r="1713" customFormat="1" hidden="1"/>
    <row r="1714" customFormat="1" hidden="1"/>
    <row r="1715" customFormat="1" hidden="1"/>
    <row r="1716" customFormat="1" hidden="1"/>
    <row r="1717" customFormat="1" hidden="1"/>
    <row r="1718" customFormat="1" hidden="1"/>
    <row r="1719" customFormat="1" hidden="1"/>
    <row r="1720" customFormat="1" hidden="1"/>
    <row r="1721" customFormat="1" hidden="1"/>
    <row r="1722" customFormat="1" hidden="1"/>
    <row r="1723" customFormat="1" hidden="1"/>
    <row r="1724" customFormat="1" hidden="1"/>
    <row r="1725" customFormat="1" hidden="1"/>
    <row r="1726" customFormat="1" hidden="1"/>
    <row r="1727" customFormat="1" hidden="1"/>
    <row r="1728" customFormat="1" hidden="1"/>
    <row r="1729" customFormat="1" hidden="1"/>
    <row r="1730" customFormat="1" hidden="1"/>
    <row r="1731" customFormat="1" hidden="1"/>
    <row r="1732" customFormat="1" hidden="1"/>
    <row r="1733" customFormat="1" hidden="1"/>
    <row r="1734" customFormat="1" hidden="1"/>
    <row r="1735" customFormat="1" hidden="1"/>
    <row r="1736" customFormat="1" hidden="1"/>
    <row r="1737" customFormat="1" hidden="1"/>
    <row r="1738" customFormat="1" hidden="1"/>
    <row r="1739" customFormat="1" hidden="1"/>
    <row r="1740" customFormat="1" hidden="1"/>
    <row r="1741" customFormat="1" hidden="1"/>
    <row r="1742" customFormat="1" hidden="1"/>
    <row r="1743" customFormat="1" hidden="1"/>
    <row r="1744" customFormat="1" hidden="1"/>
    <row r="1745" customFormat="1" hidden="1"/>
    <row r="1746" customFormat="1" hidden="1"/>
    <row r="1747" customFormat="1" hidden="1"/>
    <row r="1748" customFormat="1" hidden="1"/>
    <row r="1749" customFormat="1" hidden="1"/>
    <row r="1750" customFormat="1" hidden="1"/>
    <row r="1751" customFormat="1" hidden="1"/>
    <row r="1752" customFormat="1" hidden="1"/>
    <row r="1753" customFormat="1" hidden="1"/>
    <row r="1754" customFormat="1" hidden="1"/>
    <row r="1755" customFormat="1" hidden="1"/>
    <row r="1756" customFormat="1" hidden="1"/>
    <row r="1757" customFormat="1" hidden="1"/>
    <row r="1758" customFormat="1" hidden="1"/>
    <row r="1759" customFormat="1" hidden="1"/>
    <row r="1760" customFormat="1" hidden="1"/>
    <row r="1761" customFormat="1" hidden="1"/>
    <row r="1762" customFormat="1" hidden="1"/>
    <row r="1763" customFormat="1" hidden="1"/>
    <row r="1764" customFormat="1" hidden="1"/>
    <row r="1765" customFormat="1" hidden="1"/>
    <row r="1766" customFormat="1" hidden="1"/>
    <row r="1767" customFormat="1" hidden="1"/>
    <row r="1768" customFormat="1" hidden="1"/>
    <row r="1769" customFormat="1" hidden="1"/>
    <row r="1770" customFormat="1" hidden="1"/>
    <row r="1771" customFormat="1" hidden="1"/>
    <row r="1772" customFormat="1" hidden="1"/>
    <row r="1773" customFormat="1" hidden="1"/>
    <row r="1774" customFormat="1" hidden="1"/>
    <row r="1775" customFormat="1" hidden="1"/>
    <row r="1776" customFormat="1" hidden="1"/>
    <row r="1777" customFormat="1" hidden="1"/>
    <row r="1778" customFormat="1" hidden="1"/>
    <row r="1779" customFormat="1" hidden="1"/>
    <row r="1780" customFormat="1" hidden="1"/>
    <row r="1781" customFormat="1" hidden="1"/>
    <row r="1782" customFormat="1" hidden="1"/>
    <row r="1783" customFormat="1" hidden="1"/>
    <row r="1784" customFormat="1" hidden="1"/>
    <row r="1785" customFormat="1" hidden="1"/>
    <row r="1786" customFormat="1" hidden="1"/>
    <row r="1787" customFormat="1" hidden="1"/>
    <row r="1788" customFormat="1" hidden="1"/>
    <row r="1789" customFormat="1" hidden="1"/>
    <row r="1790" customFormat="1" hidden="1"/>
    <row r="1791" customFormat="1" hidden="1"/>
    <row r="1792" customFormat="1" hidden="1"/>
    <row r="1793" customFormat="1" hidden="1"/>
    <row r="1794" customFormat="1" hidden="1"/>
    <row r="1795" customFormat="1" hidden="1"/>
    <row r="1796" customFormat="1" hidden="1"/>
    <row r="1797" customFormat="1" hidden="1"/>
    <row r="1798" customFormat="1" hidden="1"/>
    <row r="1799" customFormat="1" hidden="1"/>
    <row r="1800" customFormat="1" hidden="1"/>
    <row r="1801" customFormat="1" hidden="1"/>
    <row r="1802" customFormat="1" hidden="1"/>
    <row r="1803" customFormat="1" hidden="1"/>
    <row r="1804" customFormat="1" hidden="1"/>
    <row r="1805" customFormat="1" hidden="1"/>
    <row r="1806" customFormat="1" hidden="1"/>
    <row r="1807" customFormat="1" hidden="1"/>
    <row r="1808" customFormat="1" hidden="1"/>
    <row r="1809" customFormat="1" hidden="1"/>
    <row r="1810" customFormat="1" hidden="1"/>
    <row r="1811" customFormat="1" hidden="1"/>
    <row r="1812" customFormat="1" hidden="1"/>
    <row r="1813" customFormat="1" hidden="1"/>
    <row r="1814" customFormat="1" hidden="1"/>
    <row r="1815" customFormat="1" hidden="1"/>
    <row r="1816" customFormat="1" hidden="1"/>
    <row r="1817" customFormat="1" hidden="1"/>
    <row r="1818" customFormat="1" hidden="1"/>
    <row r="1819" customFormat="1" hidden="1"/>
    <row r="1820" customFormat="1" hidden="1"/>
    <row r="1821" customFormat="1" hidden="1"/>
    <row r="1822" customFormat="1" hidden="1"/>
    <row r="1823" customFormat="1" hidden="1"/>
    <row r="1824" customFormat="1" hidden="1"/>
    <row r="1825" customFormat="1" hidden="1"/>
    <row r="1826" customFormat="1" hidden="1"/>
    <row r="1827" customFormat="1" hidden="1"/>
    <row r="1828" customFormat="1" hidden="1"/>
    <row r="1829" customFormat="1" hidden="1"/>
    <row r="1830" customFormat="1" hidden="1"/>
    <row r="1831" customFormat="1" hidden="1"/>
    <row r="1832" customFormat="1" hidden="1"/>
    <row r="1833" customFormat="1" hidden="1"/>
    <row r="1834" customFormat="1" hidden="1"/>
    <row r="1835" customFormat="1" hidden="1"/>
    <row r="1836" customFormat="1" hidden="1"/>
    <row r="1837" customFormat="1" hidden="1"/>
    <row r="1838" customFormat="1" hidden="1"/>
    <row r="1839" customFormat="1" hidden="1"/>
    <row r="1840" customFormat="1" hidden="1"/>
    <row r="1841" customFormat="1" hidden="1"/>
    <row r="1842" customFormat="1" hidden="1"/>
    <row r="1843" customFormat="1" hidden="1"/>
    <row r="1844" customFormat="1" hidden="1"/>
    <row r="1845" customFormat="1" hidden="1"/>
    <row r="1846" customFormat="1" hidden="1"/>
    <row r="1847" customFormat="1" hidden="1"/>
    <row r="1848" customFormat="1" hidden="1"/>
    <row r="1849" customFormat="1" hidden="1"/>
    <row r="1850" customFormat="1" hidden="1"/>
    <row r="1851" customFormat="1" hidden="1"/>
    <row r="1852" customFormat="1" hidden="1"/>
    <row r="1853" customFormat="1" hidden="1"/>
    <row r="1854" customFormat="1" hidden="1"/>
    <row r="1855" customFormat="1" hidden="1"/>
    <row r="1856" customFormat="1" hidden="1"/>
    <row r="1857" customFormat="1" hidden="1"/>
    <row r="1858" customFormat="1" hidden="1"/>
    <row r="1859" customFormat="1" hidden="1"/>
    <row r="1860" customFormat="1" hidden="1"/>
    <row r="1861" customFormat="1" hidden="1"/>
    <row r="1862" customFormat="1" hidden="1"/>
    <row r="1863" customFormat="1" hidden="1"/>
    <row r="1864" customFormat="1" hidden="1"/>
    <row r="1865" customFormat="1" hidden="1"/>
    <row r="1866" customFormat="1" hidden="1"/>
    <row r="1867" customFormat="1" hidden="1"/>
    <row r="1868" customFormat="1" hidden="1"/>
    <row r="1869" customFormat="1" hidden="1"/>
    <row r="1870" customFormat="1" hidden="1"/>
    <row r="1871" customFormat="1" hidden="1"/>
    <row r="1872" customFormat="1" hidden="1"/>
    <row r="1873" customFormat="1" hidden="1"/>
    <row r="1874" customFormat="1" hidden="1"/>
    <row r="1875" customFormat="1" hidden="1"/>
    <row r="1876" customFormat="1" hidden="1"/>
    <row r="1877" customFormat="1" hidden="1"/>
    <row r="1878" customFormat="1" hidden="1"/>
    <row r="1879" customFormat="1" hidden="1"/>
    <row r="1880" customFormat="1" hidden="1"/>
    <row r="1881" customFormat="1" hidden="1"/>
    <row r="1882" customFormat="1" hidden="1"/>
    <row r="1883" customFormat="1" hidden="1"/>
    <row r="1884" customFormat="1" hidden="1"/>
    <row r="1885" customFormat="1" hidden="1"/>
    <row r="1886" customFormat="1" hidden="1"/>
    <row r="1887" customFormat="1" hidden="1"/>
    <row r="1888" customFormat="1" hidden="1"/>
    <row r="1889" customFormat="1" hidden="1"/>
    <row r="1890" customFormat="1" hidden="1"/>
    <row r="1891" customFormat="1" hidden="1"/>
    <row r="1892" customFormat="1" hidden="1"/>
    <row r="1893" customFormat="1" hidden="1"/>
    <row r="1894" customFormat="1" hidden="1"/>
    <row r="1895" customFormat="1" hidden="1"/>
    <row r="1896" customFormat="1" hidden="1"/>
    <row r="1897" customFormat="1" hidden="1"/>
    <row r="1898" customFormat="1" hidden="1"/>
    <row r="1899" customFormat="1" hidden="1"/>
    <row r="1900" customFormat="1" hidden="1"/>
    <row r="1901" customFormat="1" hidden="1"/>
    <row r="1902" customFormat="1" hidden="1"/>
    <row r="1903" customFormat="1" hidden="1"/>
    <row r="1904" customFormat="1" hidden="1"/>
    <row r="1905" customFormat="1" hidden="1"/>
    <row r="1906" customFormat="1" hidden="1"/>
    <row r="1907" customFormat="1" hidden="1"/>
    <row r="1908" customFormat="1" hidden="1"/>
    <row r="1909" customFormat="1" hidden="1"/>
    <row r="1910" customFormat="1" hidden="1"/>
    <row r="1911" customFormat="1" hidden="1"/>
    <row r="1912" customFormat="1" hidden="1"/>
    <row r="1913" customFormat="1" hidden="1"/>
    <row r="1914" customFormat="1" hidden="1"/>
    <row r="1915" customFormat="1" hidden="1"/>
    <row r="1916" customFormat="1" hidden="1"/>
    <row r="1917" customFormat="1" hidden="1"/>
    <row r="1918" customFormat="1" hidden="1"/>
    <row r="1919" customFormat="1" hidden="1"/>
    <row r="1920" customFormat="1" hidden="1"/>
    <row r="1921" customFormat="1" hidden="1"/>
    <row r="1922" customFormat="1" hidden="1"/>
    <row r="1923" customFormat="1" hidden="1"/>
    <row r="1924" customFormat="1" hidden="1"/>
    <row r="1925" customFormat="1" hidden="1"/>
    <row r="1926" customFormat="1" hidden="1"/>
    <row r="1927" customFormat="1" hidden="1"/>
    <row r="1928" customFormat="1" hidden="1"/>
    <row r="1929" customFormat="1" hidden="1"/>
    <row r="1930" customFormat="1" hidden="1"/>
    <row r="1931" customFormat="1" hidden="1"/>
    <row r="1932" customFormat="1" hidden="1"/>
    <row r="1933" customFormat="1" hidden="1"/>
    <row r="1934" customFormat="1" hidden="1"/>
    <row r="1935" customFormat="1" hidden="1"/>
    <row r="1936" customFormat="1" hidden="1"/>
    <row r="1937" customFormat="1" hidden="1"/>
    <row r="1938" customFormat="1" hidden="1"/>
    <row r="1939" customFormat="1" hidden="1"/>
    <row r="1940" customFormat="1" hidden="1"/>
    <row r="1941" customFormat="1" hidden="1"/>
    <row r="1942" customFormat="1" hidden="1"/>
    <row r="1943" customFormat="1" hidden="1"/>
    <row r="1944" customFormat="1" hidden="1"/>
    <row r="1945" customFormat="1" hidden="1"/>
    <row r="1946" customFormat="1" hidden="1"/>
    <row r="1947" customFormat="1" hidden="1"/>
    <row r="1948" customFormat="1" hidden="1"/>
    <row r="1949" customFormat="1" hidden="1"/>
    <row r="1950" customFormat="1" hidden="1"/>
    <row r="1951" customFormat="1" hidden="1"/>
    <row r="1952" customFormat="1" hidden="1"/>
    <row r="1953" customFormat="1" hidden="1"/>
    <row r="1954" customFormat="1" hidden="1"/>
    <row r="1955" customFormat="1" hidden="1"/>
    <row r="1956" customFormat="1" hidden="1"/>
    <row r="1957" customFormat="1" hidden="1"/>
    <row r="1958" customFormat="1" hidden="1"/>
    <row r="1959" customFormat="1" hidden="1"/>
    <row r="1960" customFormat="1" hidden="1"/>
    <row r="1961" customFormat="1" hidden="1"/>
    <row r="1962" customFormat="1" hidden="1"/>
    <row r="1963" customFormat="1" hidden="1"/>
    <row r="1964" customFormat="1" hidden="1"/>
    <row r="1965" customFormat="1" hidden="1"/>
    <row r="1966" customFormat="1" hidden="1"/>
    <row r="1967" customFormat="1" hidden="1"/>
    <row r="1968" customFormat="1" hidden="1"/>
    <row r="1969" customFormat="1" hidden="1"/>
    <row r="1970" customFormat="1" hidden="1"/>
    <row r="1971" customFormat="1" hidden="1"/>
    <row r="1972" customFormat="1" hidden="1"/>
    <row r="1973" customFormat="1" hidden="1"/>
    <row r="1974" customFormat="1" hidden="1"/>
    <row r="1975" customFormat="1" hidden="1"/>
    <row r="1976" customFormat="1" hidden="1"/>
    <row r="1977" customFormat="1" hidden="1"/>
    <row r="1978" customFormat="1" hidden="1"/>
    <row r="1979" customFormat="1" hidden="1"/>
    <row r="1980" customFormat="1" hidden="1"/>
    <row r="1981" customFormat="1" hidden="1"/>
    <row r="1982" customFormat="1" hidden="1"/>
    <row r="1983" customFormat="1" hidden="1"/>
    <row r="1984" customFormat="1" hidden="1"/>
    <row r="1985" customFormat="1" hidden="1"/>
    <row r="1986" customFormat="1" hidden="1"/>
    <row r="1987" customFormat="1" hidden="1"/>
    <row r="1988" customFormat="1" hidden="1"/>
    <row r="1989" customFormat="1" hidden="1"/>
    <row r="1990" customFormat="1" hidden="1"/>
    <row r="1991" customFormat="1" hidden="1"/>
    <row r="1992" customFormat="1" hidden="1"/>
    <row r="1993" customFormat="1" hidden="1"/>
    <row r="1994" customFormat="1" hidden="1"/>
    <row r="1995" customFormat="1" hidden="1"/>
    <row r="1996" customFormat="1" hidden="1"/>
    <row r="1997" customFormat="1" hidden="1"/>
    <row r="1998" customFormat="1" hidden="1"/>
    <row r="1999" customFormat="1" hidden="1"/>
    <row r="2000" customFormat="1" hidden="1"/>
    <row r="2001" customFormat="1" hidden="1"/>
    <row r="2002" customFormat="1" hidden="1"/>
    <row r="2003" customFormat="1" hidden="1"/>
    <row r="2004" customFormat="1" hidden="1"/>
    <row r="2005" customFormat="1" hidden="1"/>
    <row r="2006" customFormat="1" hidden="1"/>
    <row r="2007" customFormat="1" hidden="1"/>
    <row r="2008" customFormat="1" hidden="1"/>
    <row r="2009" customFormat="1" hidden="1"/>
    <row r="2010" customFormat="1" hidden="1"/>
    <row r="2011" customFormat="1" hidden="1"/>
    <row r="2012" customFormat="1" hidden="1"/>
    <row r="2013" customFormat="1" hidden="1"/>
    <row r="2014" customFormat="1" hidden="1"/>
    <row r="2015" customFormat="1" hidden="1"/>
    <row r="2016" customFormat="1" hidden="1"/>
    <row r="2017" customFormat="1" hidden="1"/>
    <row r="2018" customFormat="1" hidden="1"/>
    <row r="2019" customFormat="1" hidden="1"/>
    <row r="2020" customFormat="1" hidden="1"/>
    <row r="2021" customFormat="1" hidden="1"/>
    <row r="2022" customFormat="1" hidden="1"/>
    <row r="2023" customFormat="1" hidden="1"/>
    <row r="2024" customFormat="1" hidden="1"/>
    <row r="2025" customFormat="1" hidden="1"/>
    <row r="2026" customFormat="1" hidden="1"/>
    <row r="2027" customFormat="1" hidden="1"/>
    <row r="2028" customFormat="1" hidden="1"/>
    <row r="2029" customFormat="1" hidden="1"/>
    <row r="2030" customFormat="1" hidden="1"/>
    <row r="2031" customFormat="1" hidden="1"/>
    <row r="2032" customFormat="1" hidden="1"/>
    <row r="2033" customFormat="1" hidden="1"/>
    <row r="2034" customFormat="1" hidden="1"/>
    <row r="2035" customFormat="1" hidden="1"/>
    <row r="2036" customFormat="1" hidden="1"/>
    <row r="2037" customFormat="1" hidden="1"/>
    <row r="2038" customFormat="1" hidden="1"/>
    <row r="2039" customFormat="1" hidden="1"/>
    <row r="2040" customFormat="1" hidden="1"/>
    <row r="2041" customFormat="1" hidden="1"/>
    <row r="2042" customFormat="1" hidden="1"/>
    <row r="2043" customFormat="1" hidden="1"/>
    <row r="2044" customFormat="1" hidden="1"/>
    <row r="2045" customFormat="1" hidden="1"/>
    <row r="2046" customFormat="1" hidden="1"/>
    <row r="2047" customFormat="1" hidden="1"/>
    <row r="2048" customFormat="1" hidden="1"/>
    <row r="2049" customFormat="1" hidden="1"/>
    <row r="2050" customFormat="1" hidden="1"/>
    <row r="2051" customFormat="1" hidden="1"/>
    <row r="2052" customFormat="1" hidden="1"/>
    <row r="2053" customFormat="1" hidden="1"/>
    <row r="2054" customFormat="1" hidden="1"/>
    <row r="2055" customFormat="1" hidden="1"/>
    <row r="2056" customFormat="1" hidden="1"/>
    <row r="2057" customFormat="1" hidden="1"/>
    <row r="2058" customFormat="1" hidden="1"/>
    <row r="2059" customFormat="1" hidden="1"/>
    <row r="2060" customFormat="1" hidden="1"/>
    <row r="2061" customFormat="1" hidden="1"/>
    <row r="2062" customFormat="1" hidden="1"/>
    <row r="2063" customFormat="1" hidden="1"/>
    <row r="2064" customFormat="1" hidden="1"/>
    <row r="2065" customFormat="1" hidden="1"/>
    <row r="2066" customFormat="1" hidden="1"/>
    <row r="2067" customFormat="1" hidden="1"/>
    <row r="2068" customFormat="1" hidden="1"/>
    <row r="2069" customFormat="1" hidden="1"/>
    <row r="2070" customFormat="1" hidden="1"/>
    <row r="2071" customFormat="1" hidden="1"/>
    <row r="2072" customFormat="1" hidden="1"/>
    <row r="2073" customFormat="1" hidden="1"/>
    <row r="2074" customFormat="1" hidden="1"/>
    <row r="2075" customFormat="1" hidden="1"/>
    <row r="2076" customFormat="1" hidden="1"/>
    <row r="2077" customFormat="1" hidden="1"/>
    <row r="2078" customFormat="1" hidden="1"/>
    <row r="2079" customFormat="1" hidden="1"/>
    <row r="2080" customFormat="1" hidden="1"/>
    <row r="2081" customFormat="1" hidden="1"/>
    <row r="2082" customFormat="1" hidden="1"/>
    <row r="2083" customFormat="1" hidden="1"/>
    <row r="2084" customFormat="1" hidden="1"/>
    <row r="2085" customFormat="1" hidden="1"/>
    <row r="2086" customFormat="1" hidden="1"/>
    <row r="2087" customFormat="1" hidden="1"/>
    <row r="2088" customFormat="1" hidden="1"/>
    <row r="2089" customFormat="1" hidden="1"/>
    <row r="2090" customFormat="1" hidden="1"/>
    <row r="2091" customFormat="1" hidden="1"/>
    <row r="2092" customFormat="1" hidden="1"/>
    <row r="2093" customFormat="1" hidden="1"/>
    <row r="2094" customFormat="1" hidden="1"/>
    <row r="2095" customFormat="1" hidden="1"/>
    <row r="2096" customFormat="1" hidden="1"/>
    <row r="2097" customFormat="1" hidden="1"/>
    <row r="2098" customFormat="1" hidden="1"/>
    <row r="2099" customFormat="1" hidden="1"/>
    <row r="2100" customFormat="1" hidden="1"/>
    <row r="2101" customFormat="1" hidden="1"/>
    <row r="2102" customFormat="1" hidden="1"/>
    <row r="2103" customFormat="1" hidden="1"/>
    <row r="2104" customFormat="1" hidden="1"/>
    <row r="2105" customFormat="1" hidden="1"/>
    <row r="2106" customFormat="1" hidden="1"/>
    <row r="2107" customFormat="1" hidden="1"/>
    <row r="2108" customFormat="1" hidden="1"/>
    <row r="2109" customFormat="1" hidden="1"/>
    <row r="2110" customFormat="1" hidden="1"/>
    <row r="2111" customFormat="1" hidden="1"/>
    <row r="2112" customFormat="1" hidden="1"/>
    <row r="2113" customFormat="1" hidden="1"/>
    <row r="2114" customFormat="1" hidden="1"/>
    <row r="2115" customFormat="1" hidden="1"/>
    <row r="2116" customFormat="1" hidden="1"/>
    <row r="2117" customFormat="1" hidden="1"/>
    <row r="2118" customFormat="1" hidden="1"/>
    <row r="2119" customFormat="1" hidden="1"/>
    <row r="2120" customFormat="1" hidden="1"/>
    <row r="2121" customFormat="1" hidden="1"/>
    <row r="2122" customFormat="1" hidden="1"/>
    <row r="2123" customFormat="1" hidden="1"/>
    <row r="2124" customFormat="1" hidden="1"/>
    <row r="2125" customFormat="1" hidden="1"/>
    <row r="2126" customFormat="1" hidden="1"/>
    <row r="2127" customFormat="1" hidden="1"/>
    <row r="2128" customFormat="1" hidden="1"/>
    <row r="2129" customFormat="1" hidden="1"/>
    <row r="2130" customFormat="1" hidden="1"/>
    <row r="2131" customFormat="1" hidden="1"/>
    <row r="2132" customFormat="1" hidden="1"/>
    <row r="2133" customFormat="1" hidden="1"/>
    <row r="2134" customFormat="1" hidden="1"/>
    <row r="2135" customFormat="1" hidden="1"/>
    <row r="2136" customFormat="1" hidden="1"/>
    <row r="2137" customFormat="1" hidden="1"/>
    <row r="2138" customFormat="1" hidden="1"/>
    <row r="2139" customFormat="1" hidden="1"/>
    <row r="2140" customFormat="1" hidden="1"/>
    <row r="2141" customFormat="1" hidden="1"/>
    <row r="2142" customFormat="1" hidden="1"/>
    <row r="2143" customFormat="1" hidden="1"/>
    <row r="2144" customFormat="1" hidden="1"/>
    <row r="2145" customFormat="1" hidden="1"/>
    <row r="2146" customFormat="1" hidden="1"/>
    <row r="2147" customFormat="1" hidden="1"/>
    <row r="2148" customFormat="1" hidden="1"/>
    <row r="2149" customFormat="1" hidden="1"/>
    <row r="2150" customFormat="1" hidden="1"/>
    <row r="2151" customFormat="1" hidden="1"/>
    <row r="2152" customFormat="1" hidden="1"/>
    <row r="2153" customFormat="1" hidden="1"/>
    <row r="2154" customFormat="1" hidden="1"/>
    <row r="2155" customFormat="1" hidden="1"/>
    <row r="2156" customFormat="1" hidden="1"/>
    <row r="2157" customFormat="1" hidden="1"/>
    <row r="2158" customFormat="1" hidden="1"/>
    <row r="2159" customFormat="1" hidden="1"/>
    <row r="2160" customFormat="1" hidden="1"/>
    <row r="2161" customFormat="1" hidden="1"/>
    <row r="2162" customFormat="1" hidden="1"/>
    <row r="2163" customFormat="1" hidden="1"/>
    <row r="2164" customFormat="1" hidden="1"/>
    <row r="2165" customFormat="1" hidden="1"/>
    <row r="2166" customFormat="1" hidden="1"/>
    <row r="2167" customFormat="1" hidden="1"/>
    <row r="2168" customFormat="1" hidden="1"/>
    <row r="2169" customFormat="1" hidden="1"/>
    <row r="2170" customFormat="1" hidden="1"/>
    <row r="2171" customFormat="1" hidden="1"/>
    <row r="2172" customFormat="1" hidden="1"/>
    <row r="2173" customFormat="1" hidden="1"/>
    <row r="2174" customFormat="1" hidden="1"/>
    <row r="2175" customFormat="1" hidden="1"/>
    <row r="2176" customFormat="1" hidden="1"/>
    <row r="2177" customFormat="1" hidden="1"/>
    <row r="2178" customFormat="1" hidden="1"/>
    <row r="2179" customFormat="1" hidden="1"/>
    <row r="2180" customFormat="1" hidden="1"/>
    <row r="2181" customFormat="1" hidden="1"/>
    <row r="2182" customFormat="1" hidden="1"/>
    <row r="2183" customFormat="1" hidden="1"/>
    <row r="2184" customFormat="1" hidden="1"/>
    <row r="2185" customFormat="1" hidden="1"/>
    <row r="2186" customFormat="1" hidden="1"/>
    <row r="2187" customFormat="1" hidden="1"/>
    <row r="2188" customFormat="1" hidden="1"/>
    <row r="2189" customFormat="1" hidden="1"/>
    <row r="2190" customFormat="1" hidden="1"/>
    <row r="2191" customFormat="1" hidden="1"/>
    <row r="2192" customFormat="1" hidden="1"/>
    <row r="2193" customFormat="1" hidden="1"/>
    <row r="2194" customFormat="1" hidden="1"/>
    <row r="2195" customFormat="1" hidden="1"/>
    <row r="2196" customFormat="1" hidden="1"/>
    <row r="2197" customFormat="1" hidden="1"/>
    <row r="2198" customFormat="1" hidden="1"/>
    <row r="2199" customFormat="1" hidden="1"/>
    <row r="2200" customFormat="1" hidden="1"/>
    <row r="2201" customFormat="1" hidden="1"/>
    <row r="2202" customFormat="1" hidden="1"/>
    <row r="2203" customFormat="1" hidden="1"/>
    <row r="2204" customFormat="1" hidden="1"/>
    <row r="2205" customFormat="1" hidden="1"/>
    <row r="2206" customFormat="1" hidden="1"/>
    <row r="2207" customFormat="1" hidden="1"/>
    <row r="2208" customFormat="1" hidden="1"/>
    <row r="2209" customFormat="1" hidden="1"/>
    <row r="2210" customFormat="1" hidden="1"/>
    <row r="2211" customFormat="1" hidden="1"/>
    <row r="2212" customFormat="1" hidden="1"/>
    <row r="2213" customFormat="1" hidden="1"/>
    <row r="2214" customFormat="1" hidden="1"/>
    <row r="2215" customFormat="1" hidden="1"/>
    <row r="2216" customFormat="1" hidden="1"/>
    <row r="2217" customFormat="1" hidden="1"/>
    <row r="2218" customFormat="1" hidden="1"/>
    <row r="2219" customFormat="1" hidden="1"/>
    <row r="2220" customFormat="1" hidden="1"/>
    <row r="2221" customFormat="1" hidden="1"/>
    <row r="2222" customFormat="1" hidden="1"/>
    <row r="2223" customFormat="1" hidden="1"/>
    <row r="2224" customFormat="1" hidden="1"/>
    <row r="2225" customFormat="1" hidden="1"/>
    <row r="2226" customFormat="1" hidden="1"/>
    <row r="2227" customFormat="1" hidden="1"/>
    <row r="2228" customFormat="1" hidden="1"/>
    <row r="2229" customFormat="1" hidden="1"/>
    <row r="2230" customFormat="1" hidden="1"/>
    <row r="2231" customFormat="1" hidden="1"/>
    <row r="2232" customFormat="1" hidden="1"/>
    <row r="2233" customFormat="1" hidden="1"/>
    <row r="2234" customFormat="1" hidden="1"/>
    <row r="2235" customFormat="1" hidden="1"/>
    <row r="2236" customFormat="1" hidden="1"/>
    <row r="2237" customFormat="1" hidden="1"/>
    <row r="2238" customFormat="1" hidden="1"/>
    <row r="2239" customFormat="1" hidden="1"/>
    <row r="2240" customFormat="1" hidden="1"/>
    <row r="2241" customFormat="1" hidden="1"/>
    <row r="2242" customFormat="1" hidden="1"/>
    <row r="2243" customFormat="1" hidden="1"/>
    <row r="2244" customFormat="1" hidden="1"/>
    <row r="2245" customFormat="1" hidden="1"/>
    <row r="2246" customFormat="1" hidden="1"/>
    <row r="2247" customFormat="1" hidden="1"/>
    <row r="2248" customFormat="1" hidden="1"/>
    <row r="2249" customFormat="1" hidden="1"/>
    <row r="2250" customFormat="1" hidden="1"/>
    <row r="2251" customFormat="1" hidden="1"/>
    <row r="2252" customFormat="1" hidden="1"/>
    <row r="2253" customFormat="1" hidden="1"/>
    <row r="2254" customFormat="1" hidden="1"/>
    <row r="2255" customFormat="1" hidden="1"/>
    <row r="2256" customFormat="1" hidden="1"/>
    <row r="2257" customFormat="1" hidden="1"/>
    <row r="2258" customFormat="1" hidden="1"/>
    <row r="2259" customFormat="1" hidden="1"/>
    <row r="2260" customFormat="1" hidden="1"/>
    <row r="2261" customFormat="1" hidden="1"/>
    <row r="2262" customFormat="1" hidden="1"/>
    <row r="2263" customFormat="1" hidden="1"/>
    <row r="2264" customFormat="1" hidden="1"/>
    <row r="2265" customFormat="1" hidden="1"/>
    <row r="2266" customFormat="1" hidden="1"/>
    <row r="2267" customFormat="1" hidden="1"/>
    <row r="2268" customFormat="1" hidden="1"/>
    <row r="2269" customFormat="1" hidden="1"/>
    <row r="2270" customFormat="1" hidden="1"/>
    <row r="2271" customFormat="1" hidden="1"/>
    <row r="2272" customFormat="1" hidden="1"/>
    <row r="2273" customFormat="1" hidden="1"/>
    <row r="2274" customFormat="1" hidden="1"/>
    <row r="2275" customFormat="1" hidden="1"/>
    <row r="2276" customFormat="1" hidden="1"/>
    <row r="2277" customFormat="1" hidden="1"/>
    <row r="2278" customFormat="1" hidden="1"/>
    <row r="2279" customFormat="1" hidden="1"/>
    <row r="2280" customFormat="1" hidden="1"/>
    <row r="2281" customFormat="1" hidden="1"/>
    <row r="2282" customFormat="1" hidden="1"/>
    <row r="2283" customFormat="1" hidden="1"/>
    <row r="2284" customFormat="1" hidden="1"/>
    <row r="2285" customFormat="1" hidden="1"/>
    <row r="2286" customFormat="1" hidden="1"/>
    <row r="2287" customFormat="1" hidden="1"/>
    <row r="2288" customFormat="1" hidden="1"/>
    <row r="2289" customFormat="1" hidden="1"/>
    <row r="2290" customFormat="1" hidden="1"/>
    <row r="2291" customFormat="1" hidden="1"/>
    <row r="2292" customFormat="1" hidden="1"/>
    <row r="2293" customFormat="1" hidden="1"/>
    <row r="2294" customFormat="1" hidden="1"/>
    <row r="2295" customFormat="1" hidden="1"/>
    <row r="2296" customFormat="1" hidden="1"/>
    <row r="2297" customFormat="1" hidden="1"/>
    <row r="2298" customFormat="1" hidden="1"/>
    <row r="2299" customFormat="1" hidden="1"/>
    <row r="2300" customFormat="1" hidden="1"/>
    <row r="2301" customFormat="1" hidden="1"/>
    <row r="2302" customFormat="1" hidden="1"/>
    <row r="2303" customFormat="1" hidden="1"/>
    <row r="2304" customFormat="1" hidden="1"/>
    <row r="2305" customFormat="1" hidden="1"/>
    <row r="2306" customFormat="1" hidden="1"/>
    <row r="2307" customFormat="1" hidden="1"/>
    <row r="2308" customFormat="1" hidden="1"/>
    <row r="2309" customFormat="1" hidden="1"/>
    <row r="2310" customFormat="1" hidden="1"/>
    <row r="2311" customFormat="1" hidden="1"/>
    <row r="2312" customFormat="1" hidden="1"/>
    <row r="2313" customFormat="1" hidden="1"/>
    <row r="2314" customFormat="1" hidden="1"/>
    <row r="2315" customFormat="1" hidden="1"/>
    <row r="2316" customFormat="1" hidden="1"/>
    <row r="2317" customFormat="1" hidden="1"/>
    <row r="2318" customFormat="1" hidden="1"/>
    <row r="2319" customFormat="1" hidden="1"/>
    <row r="2320" customFormat="1" hidden="1"/>
    <row r="2321" customFormat="1" hidden="1"/>
    <row r="2322" customFormat="1" hidden="1"/>
    <row r="2323" customFormat="1" hidden="1"/>
    <row r="2324" customFormat="1" hidden="1"/>
    <row r="2325" customFormat="1" hidden="1"/>
    <row r="2326" customFormat="1" hidden="1"/>
    <row r="2327" customFormat="1" hidden="1"/>
    <row r="2328" customFormat="1" hidden="1"/>
    <row r="2329" customFormat="1" hidden="1"/>
    <row r="2330" customFormat="1" hidden="1"/>
    <row r="2331" customFormat="1" hidden="1"/>
    <row r="2332" customFormat="1" hidden="1"/>
    <row r="2333" customFormat="1" hidden="1"/>
    <row r="2334" customFormat="1" hidden="1"/>
    <row r="2335" customFormat="1" hidden="1"/>
    <row r="2336" customFormat="1" hidden="1"/>
    <row r="2337" customFormat="1" hidden="1"/>
    <row r="2338" customFormat="1" hidden="1"/>
    <row r="2339" customFormat="1" hidden="1"/>
    <row r="2340" customFormat="1" hidden="1"/>
    <row r="2341" customFormat="1" hidden="1"/>
    <row r="2342" customFormat="1" hidden="1"/>
    <row r="2343" customFormat="1" hidden="1"/>
    <row r="2344" customFormat="1" hidden="1"/>
    <row r="2345" customFormat="1" hidden="1"/>
    <row r="2346" customFormat="1" hidden="1"/>
    <row r="2347" customFormat="1" hidden="1"/>
    <row r="2348" customFormat="1" hidden="1"/>
    <row r="2349" customFormat="1" hidden="1"/>
    <row r="2350" customFormat="1" hidden="1"/>
    <row r="2351" customFormat="1" hidden="1"/>
    <row r="2352" customFormat="1" hidden="1"/>
    <row r="2353" customFormat="1" hidden="1"/>
    <row r="2354" customFormat="1" hidden="1"/>
    <row r="2355" customFormat="1" hidden="1"/>
    <row r="2356" customFormat="1" hidden="1"/>
    <row r="2357" customFormat="1" hidden="1"/>
    <row r="2358" customFormat="1" hidden="1"/>
    <row r="2359" customFormat="1" hidden="1"/>
    <row r="2360" customFormat="1" hidden="1"/>
    <row r="2361" customFormat="1" hidden="1"/>
    <row r="2362" customFormat="1" hidden="1"/>
    <row r="2363" customFormat="1" hidden="1"/>
    <row r="2364" customFormat="1" hidden="1"/>
    <row r="2365" customFormat="1" hidden="1"/>
    <row r="2366" customFormat="1" hidden="1"/>
    <row r="2367" customFormat="1" hidden="1"/>
    <row r="2368" customFormat="1" hidden="1"/>
    <row r="2369" customFormat="1" hidden="1"/>
    <row r="2370" customFormat="1" hidden="1"/>
    <row r="2371" customFormat="1" hidden="1"/>
    <row r="2372" customFormat="1" hidden="1"/>
    <row r="2373" customFormat="1" hidden="1"/>
    <row r="2374" customFormat="1" hidden="1"/>
    <row r="2375" customFormat="1" hidden="1"/>
    <row r="2376" customFormat="1" hidden="1"/>
    <row r="2377" customFormat="1" hidden="1"/>
    <row r="2378" customFormat="1" hidden="1"/>
    <row r="2379" customFormat="1" hidden="1"/>
    <row r="2380" customFormat="1" hidden="1"/>
    <row r="2381" customFormat="1" hidden="1"/>
    <row r="2382" customFormat="1" hidden="1"/>
    <row r="2383" customFormat="1" hidden="1"/>
    <row r="2384" customFormat="1" hidden="1"/>
    <row r="2385" customFormat="1" hidden="1"/>
    <row r="2386" customFormat="1" hidden="1"/>
    <row r="2387" customFormat="1" hidden="1"/>
    <row r="2388" customFormat="1" hidden="1"/>
    <row r="2389" customFormat="1" hidden="1"/>
    <row r="2390" customFormat="1" hidden="1"/>
    <row r="2391" customFormat="1" hidden="1"/>
    <row r="2392" customFormat="1" hidden="1"/>
    <row r="2393" customFormat="1" hidden="1"/>
    <row r="2394" customFormat="1" hidden="1"/>
    <row r="2395" customFormat="1" hidden="1"/>
    <row r="2396" customFormat="1" hidden="1"/>
    <row r="2397" customFormat="1" hidden="1"/>
    <row r="2398" customFormat="1" hidden="1"/>
    <row r="2399" customFormat="1" hidden="1"/>
    <row r="2400" customFormat="1" hidden="1"/>
    <row r="2401" customFormat="1" hidden="1"/>
    <row r="2402" customFormat="1" hidden="1"/>
    <row r="2403" customFormat="1" hidden="1"/>
    <row r="2404" customFormat="1" hidden="1"/>
    <row r="2405" customFormat="1" hidden="1"/>
    <row r="2406" customFormat="1" hidden="1"/>
    <row r="2407" customFormat="1" hidden="1"/>
    <row r="2408" customFormat="1" hidden="1"/>
    <row r="2409" customFormat="1" hidden="1"/>
    <row r="2410" customFormat="1" hidden="1"/>
    <row r="2411" customFormat="1" hidden="1"/>
    <row r="2412" customFormat="1" hidden="1"/>
    <row r="2413" customFormat="1" hidden="1"/>
    <row r="2414" customFormat="1" hidden="1"/>
    <row r="2415" customFormat="1" hidden="1"/>
    <row r="2416" customFormat="1" hidden="1"/>
    <row r="2417" customFormat="1" hidden="1"/>
    <row r="2418" customFormat="1" hidden="1"/>
    <row r="2419" customFormat="1" hidden="1"/>
    <row r="2420" customFormat="1" hidden="1"/>
    <row r="2421" customFormat="1" hidden="1"/>
    <row r="2422" customFormat="1" hidden="1"/>
    <row r="2423" customFormat="1" hidden="1"/>
    <row r="2424" customFormat="1" hidden="1"/>
    <row r="2425" customFormat="1" hidden="1"/>
    <row r="2426" customFormat="1" hidden="1"/>
    <row r="2427" customFormat="1" hidden="1"/>
    <row r="2428" customFormat="1" hidden="1"/>
    <row r="2429" customFormat="1" hidden="1"/>
    <row r="2430" customFormat="1" hidden="1"/>
    <row r="2431" customFormat="1" hidden="1"/>
    <row r="2432" customFormat="1" hidden="1"/>
    <row r="2433" customFormat="1" hidden="1"/>
    <row r="2434" customFormat="1" hidden="1"/>
    <row r="2435" customFormat="1" hidden="1"/>
    <row r="2436" customFormat="1" hidden="1"/>
    <row r="2437" customFormat="1" hidden="1"/>
    <row r="2438" customFormat="1" hidden="1"/>
    <row r="2439" customFormat="1" hidden="1"/>
    <row r="2440" customFormat="1" hidden="1"/>
    <row r="2441" customFormat="1" hidden="1"/>
    <row r="2442" customFormat="1" hidden="1"/>
    <row r="2443" customFormat="1" hidden="1"/>
    <row r="2444" customFormat="1" hidden="1"/>
    <row r="2445" customFormat="1" hidden="1"/>
    <row r="2446" customFormat="1" hidden="1"/>
    <row r="2447" customFormat="1" hidden="1"/>
    <row r="2448" customFormat="1" hidden="1"/>
    <row r="2449" customFormat="1" hidden="1"/>
    <row r="2450" customFormat="1" hidden="1"/>
    <row r="2451" customFormat="1" hidden="1"/>
    <row r="2452" customFormat="1" hidden="1"/>
    <row r="2453" customFormat="1" hidden="1"/>
    <row r="2454" customFormat="1" hidden="1"/>
    <row r="2455" customFormat="1" hidden="1"/>
    <row r="2456" customFormat="1" hidden="1"/>
    <row r="2457" customFormat="1" hidden="1"/>
    <row r="2458" customFormat="1" hidden="1"/>
    <row r="2459" customFormat="1" hidden="1"/>
    <row r="2460" customFormat="1" hidden="1"/>
    <row r="2461" customFormat="1" hidden="1"/>
    <row r="2462" customFormat="1" hidden="1"/>
    <row r="2463" customFormat="1" hidden="1"/>
    <row r="2464" customFormat="1" hidden="1"/>
    <row r="2465" customFormat="1" hidden="1"/>
    <row r="2466" customFormat="1" hidden="1"/>
    <row r="2467" customFormat="1" hidden="1"/>
    <row r="2468" customFormat="1" hidden="1"/>
    <row r="2469" customFormat="1" hidden="1"/>
    <row r="2470" customFormat="1" hidden="1"/>
    <row r="2471" customFormat="1" hidden="1"/>
    <row r="2472" customFormat="1" hidden="1"/>
    <row r="2473" customFormat="1" hidden="1"/>
    <row r="2474" customFormat="1" hidden="1"/>
    <row r="2475" customFormat="1" hidden="1"/>
    <row r="2476" customFormat="1" hidden="1"/>
    <row r="2477" customFormat="1" hidden="1"/>
    <row r="2478" customFormat="1" hidden="1"/>
    <row r="2479" customFormat="1" hidden="1"/>
    <row r="2480" customFormat="1" hidden="1"/>
    <row r="2481" customFormat="1" hidden="1"/>
    <row r="2482" customFormat="1" hidden="1"/>
    <row r="2483" customFormat="1" hidden="1"/>
    <row r="2484" customFormat="1" hidden="1"/>
    <row r="2485" customFormat="1" hidden="1"/>
    <row r="2486" customFormat="1" hidden="1"/>
    <row r="2487" customFormat="1" hidden="1"/>
    <row r="2488" customFormat="1" hidden="1"/>
    <row r="2489" customFormat="1" hidden="1"/>
    <row r="2490" customFormat="1" hidden="1"/>
    <row r="2491" customFormat="1" hidden="1"/>
    <row r="2492" customFormat="1" hidden="1"/>
    <row r="2493" customFormat="1" hidden="1"/>
    <row r="2494" customFormat="1" hidden="1"/>
    <row r="2495" customFormat="1" hidden="1"/>
    <row r="2496" customFormat="1" hidden="1"/>
    <row r="2497" customFormat="1" hidden="1"/>
    <row r="2498" customFormat="1" hidden="1"/>
    <row r="2499" customFormat="1" hidden="1"/>
    <row r="2500" customFormat="1" hidden="1"/>
    <row r="2501" customFormat="1" hidden="1"/>
    <row r="2502" customFormat="1" hidden="1"/>
    <row r="2503" customFormat="1" hidden="1"/>
    <row r="2504" customFormat="1" hidden="1"/>
    <row r="2505" customFormat="1" hidden="1"/>
    <row r="2506" customFormat="1" hidden="1"/>
    <row r="2507" customFormat="1" hidden="1"/>
    <row r="2508" customFormat="1" hidden="1"/>
    <row r="2509" customFormat="1" hidden="1"/>
    <row r="2510" customFormat="1" hidden="1"/>
    <row r="2511" customFormat="1" hidden="1"/>
    <row r="2512" customFormat="1" hidden="1"/>
    <row r="2513" customFormat="1" hidden="1"/>
    <row r="2514" customFormat="1" hidden="1"/>
    <row r="2515" customFormat="1" hidden="1"/>
    <row r="2516" customFormat="1" hidden="1"/>
    <row r="2517" customFormat="1" hidden="1"/>
    <row r="2518" customFormat="1" hidden="1"/>
    <row r="2519" customFormat="1" hidden="1"/>
    <row r="2520" customFormat="1" hidden="1"/>
    <row r="2521" customFormat="1" hidden="1"/>
    <row r="2522" customFormat="1" hidden="1"/>
    <row r="2523" customFormat="1" hidden="1"/>
    <row r="2524" customFormat="1" hidden="1"/>
    <row r="2525" customFormat="1" hidden="1"/>
    <row r="2526" customFormat="1" hidden="1"/>
    <row r="2527" customFormat="1" hidden="1"/>
    <row r="2528" customFormat="1" hidden="1"/>
    <row r="2529" customFormat="1" hidden="1"/>
    <row r="2530" customFormat="1" hidden="1"/>
    <row r="2531" customFormat="1" hidden="1"/>
    <row r="2532" customFormat="1" hidden="1"/>
    <row r="2533" customFormat="1" hidden="1"/>
    <row r="2534" customFormat="1" hidden="1"/>
    <row r="2535" customFormat="1" hidden="1"/>
    <row r="2536" customFormat="1" hidden="1"/>
    <row r="2537" customFormat="1" hidden="1"/>
    <row r="2538" customFormat="1" hidden="1"/>
    <row r="2539" customFormat="1" hidden="1"/>
    <row r="2540" customFormat="1" hidden="1"/>
    <row r="2541" customFormat="1" hidden="1"/>
    <row r="2542" customFormat="1" hidden="1"/>
    <row r="2543" customFormat="1" hidden="1"/>
    <row r="2544" customFormat="1" hidden="1"/>
    <row r="2545" customFormat="1" hidden="1"/>
    <row r="2546" customFormat="1" hidden="1"/>
    <row r="2547" customFormat="1" hidden="1"/>
    <row r="2548" customFormat="1" hidden="1"/>
    <row r="2549" customFormat="1" hidden="1"/>
    <row r="2550" customFormat="1" hidden="1"/>
    <row r="2551" customFormat="1" hidden="1"/>
    <row r="2552" customFormat="1" hidden="1"/>
    <row r="2553" customFormat="1" hidden="1"/>
    <row r="2554" customFormat="1" hidden="1"/>
    <row r="2555" customFormat="1" hidden="1"/>
    <row r="2556" customFormat="1" hidden="1"/>
    <row r="2557" customFormat="1" hidden="1"/>
    <row r="2558" customFormat="1" hidden="1"/>
    <row r="2559" customFormat="1" hidden="1"/>
    <row r="2560" customFormat="1" hidden="1"/>
    <row r="2561" customFormat="1" hidden="1"/>
    <row r="2562" customFormat="1" hidden="1"/>
    <row r="2563" customFormat="1" hidden="1"/>
    <row r="2564" customFormat="1" hidden="1"/>
    <row r="2565" customFormat="1" hidden="1"/>
    <row r="2566" customFormat="1" hidden="1"/>
    <row r="2567" customFormat="1" hidden="1"/>
    <row r="2568" customFormat="1" hidden="1"/>
    <row r="2569" customFormat="1" hidden="1"/>
    <row r="2570" customFormat="1" hidden="1"/>
    <row r="2571" customFormat="1" hidden="1"/>
    <row r="2572" customFormat="1" hidden="1"/>
    <row r="2573" customFormat="1" hidden="1"/>
    <row r="2574" customFormat="1" hidden="1"/>
    <row r="2575" customFormat="1" hidden="1"/>
    <row r="2576" customFormat="1" hidden="1"/>
    <row r="2577" customFormat="1" hidden="1"/>
    <row r="2578" customFormat="1" hidden="1"/>
    <row r="2579" customFormat="1" hidden="1"/>
    <row r="2580" customFormat="1" hidden="1"/>
    <row r="2581" customFormat="1" hidden="1"/>
    <row r="2582" customFormat="1" hidden="1"/>
    <row r="2583" customFormat="1" hidden="1"/>
    <row r="2584" customFormat="1" hidden="1"/>
    <row r="2585" customFormat="1" hidden="1"/>
    <row r="2586" customFormat="1" hidden="1"/>
    <row r="2587" customFormat="1" hidden="1"/>
    <row r="2588" customFormat="1" hidden="1"/>
    <row r="2589" customFormat="1" hidden="1"/>
    <row r="2590" customFormat="1" hidden="1"/>
    <row r="2591" customFormat="1" hidden="1"/>
    <row r="2592" customFormat="1" hidden="1"/>
    <row r="2593" customFormat="1" hidden="1"/>
    <row r="2594" customFormat="1" hidden="1"/>
    <row r="2595" customFormat="1" hidden="1"/>
    <row r="2596" customFormat="1" hidden="1"/>
    <row r="2597" customFormat="1" hidden="1"/>
    <row r="2598" customFormat="1" hidden="1"/>
    <row r="2599" customFormat="1" hidden="1"/>
    <row r="2600" customFormat="1" hidden="1"/>
    <row r="2601" customFormat="1" hidden="1"/>
    <row r="2602" customFormat="1" hidden="1"/>
    <row r="2603" customFormat="1" hidden="1"/>
    <row r="2604" customFormat="1" hidden="1"/>
    <row r="2605" customFormat="1" hidden="1"/>
    <row r="2606" customFormat="1" hidden="1"/>
    <row r="2607" customFormat="1" hidden="1"/>
    <row r="2608" customFormat="1" hidden="1"/>
    <row r="2609" customFormat="1" hidden="1"/>
    <row r="2610" customFormat="1" hidden="1"/>
    <row r="2611" customFormat="1" hidden="1"/>
    <row r="2612" customFormat="1" hidden="1"/>
    <row r="2613" customFormat="1" hidden="1"/>
    <row r="2614" customFormat="1" hidden="1"/>
    <row r="2615" customFormat="1" hidden="1"/>
    <row r="2616" customFormat="1" hidden="1"/>
    <row r="2617" customFormat="1" hidden="1"/>
    <row r="2618" customFormat="1" hidden="1"/>
    <row r="2619" customFormat="1" hidden="1"/>
    <row r="2620" customFormat="1" hidden="1"/>
    <row r="2621" customFormat="1" hidden="1"/>
    <row r="2622" customFormat="1" hidden="1"/>
    <row r="2623" customFormat="1" hidden="1"/>
    <row r="2624" customFormat="1" hidden="1"/>
    <row r="2625" customFormat="1" hidden="1"/>
    <row r="2626" customFormat="1" hidden="1"/>
    <row r="2627" customFormat="1" hidden="1"/>
    <row r="2628" customFormat="1" hidden="1"/>
    <row r="2629" customFormat="1" hidden="1"/>
    <row r="2630" customFormat="1" hidden="1"/>
    <row r="2631" customFormat="1" hidden="1"/>
    <row r="2632" customFormat="1" hidden="1"/>
    <row r="2633" customFormat="1" hidden="1"/>
    <row r="2634" customFormat="1" hidden="1"/>
    <row r="2635" customFormat="1" hidden="1"/>
    <row r="2636" customFormat="1" hidden="1"/>
    <row r="2637" customFormat="1" hidden="1"/>
    <row r="2638" customFormat="1" hidden="1"/>
    <row r="2639" customFormat="1" hidden="1"/>
    <row r="2640" customFormat="1" hidden="1"/>
    <row r="2641" customFormat="1" hidden="1"/>
    <row r="2642" customFormat="1" hidden="1"/>
    <row r="2643" customFormat="1" hidden="1"/>
    <row r="2644" customFormat="1" hidden="1"/>
    <row r="2645" customFormat="1" hidden="1"/>
    <row r="2646" customFormat="1" hidden="1"/>
    <row r="2647" customFormat="1" hidden="1"/>
    <row r="2648" customFormat="1" hidden="1"/>
    <row r="2649" customFormat="1" hidden="1"/>
    <row r="2650" customFormat="1" hidden="1"/>
    <row r="2651" customFormat="1" hidden="1"/>
    <row r="2652" customFormat="1" hidden="1"/>
    <row r="2653" customFormat="1" hidden="1"/>
    <row r="2654" customFormat="1" hidden="1"/>
    <row r="2655" customFormat="1" hidden="1"/>
    <row r="2656" customFormat="1" hidden="1"/>
    <row r="2657" customFormat="1" hidden="1"/>
    <row r="2658" customFormat="1" hidden="1"/>
    <row r="2659" customFormat="1" hidden="1"/>
    <row r="2660" customFormat="1" hidden="1"/>
    <row r="2661" customFormat="1" hidden="1"/>
    <row r="2662" customFormat="1" hidden="1"/>
    <row r="2663" customFormat="1" hidden="1"/>
    <row r="2664" customFormat="1" hidden="1"/>
    <row r="2665" customFormat="1" hidden="1"/>
    <row r="2666" customFormat="1" hidden="1"/>
    <row r="2667" customFormat="1" hidden="1"/>
    <row r="2668" customFormat="1" hidden="1"/>
    <row r="2669" customFormat="1" hidden="1"/>
    <row r="2670" customFormat="1" hidden="1"/>
    <row r="2671" customFormat="1" hidden="1"/>
    <row r="2672" customFormat="1" hidden="1"/>
    <row r="2673" customFormat="1" hidden="1"/>
    <row r="2674" customFormat="1" hidden="1"/>
    <row r="2675" customFormat="1" hidden="1"/>
    <row r="2676" customFormat="1" hidden="1"/>
    <row r="2677" customFormat="1" hidden="1"/>
    <row r="2678" customFormat="1" hidden="1"/>
    <row r="2679" customFormat="1" hidden="1"/>
    <row r="2680" customFormat="1" hidden="1"/>
    <row r="2681" customFormat="1" hidden="1"/>
    <row r="2682" customFormat="1" hidden="1"/>
    <row r="2683" customFormat="1" hidden="1"/>
    <row r="2684" customFormat="1" hidden="1"/>
    <row r="2685" customFormat="1" hidden="1"/>
    <row r="2686" customFormat="1" hidden="1"/>
    <row r="2687" customFormat="1" hidden="1"/>
    <row r="2688" customFormat="1" hidden="1"/>
    <row r="2689" customFormat="1" hidden="1"/>
    <row r="2690" customFormat="1" hidden="1"/>
    <row r="2691" customFormat="1" hidden="1"/>
    <row r="2692" customFormat="1" hidden="1"/>
    <row r="2693" customFormat="1" hidden="1"/>
    <row r="2694" customFormat="1" hidden="1"/>
    <row r="2695" customFormat="1" hidden="1"/>
    <row r="2696" customFormat="1" hidden="1"/>
    <row r="2697" customFormat="1" hidden="1"/>
    <row r="2698" customFormat="1" hidden="1"/>
    <row r="2699" customFormat="1" hidden="1"/>
    <row r="2700" customFormat="1" hidden="1"/>
    <row r="2701" customFormat="1" hidden="1"/>
    <row r="2702" customFormat="1" hidden="1"/>
    <row r="2703" customFormat="1" hidden="1"/>
    <row r="2704" customFormat="1" hidden="1"/>
    <row r="2705" customFormat="1" hidden="1"/>
    <row r="2706" customFormat="1" hidden="1"/>
    <row r="2707" customFormat="1" hidden="1"/>
    <row r="2708" customFormat="1" hidden="1"/>
    <row r="2709" customFormat="1" hidden="1"/>
    <row r="2710" customFormat="1" hidden="1"/>
    <row r="2711" customFormat="1" hidden="1"/>
    <row r="2712" customFormat="1" hidden="1"/>
    <row r="2713" customFormat="1" hidden="1"/>
    <row r="2714" customFormat="1" hidden="1"/>
    <row r="2715" customFormat="1" hidden="1"/>
    <row r="2716" customFormat="1" hidden="1"/>
    <row r="2717" customFormat="1" hidden="1"/>
    <row r="2718" customFormat="1" hidden="1"/>
    <row r="2719" customFormat="1" hidden="1"/>
    <row r="2720" customFormat="1" hidden="1"/>
    <row r="2721" customFormat="1" hidden="1"/>
    <row r="2722" customFormat="1" hidden="1"/>
    <row r="2723" customFormat="1" hidden="1"/>
    <row r="2724" customFormat="1" hidden="1"/>
    <row r="2725" customFormat="1" hidden="1"/>
    <row r="2726" customFormat="1" hidden="1"/>
    <row r="2727" customFormat="1" hidden="1"/>
    <row r="2728" customFormat="1" hidden="1"/>
    <row r="2729" customFormat="1" hidden="1"/>
    <row r="2730" customFormat="1" hidden="1"/>
    <row r="2731" customFormat="1" hidden="1"/>
    <row r="2732" customFormat="1" hidden="1"/>
    <row r="2733" customFormat="1" hidden="1"/>
    <row r="2734" customFormat="1" hidden="1"/>
    <row r="2735" customFormat="1" hidden="1"/>
    <row r="2736" customFormat="1" hidden="1"/>
    <row r="2737" customFormat="1" hidden="1"/>
    <row r="2738" customFormat="1" hidden="1"/>
    <row r="2739" customFormat="1" hidden="1"/>
    <row r="2740" customFormat="1" hidden="1"/>
    <row r="2741" customFormat="1" hidden="1"/>
    <row r="2742" customFormat="1" hidden="1"/>
    <row r="2743" customFormat="1" hidden="1"/>
    <row r="2744" customFormat="1" hidden="1"/>
    <row r="2745" customFormat="1" hidden="1"/>
    <row r="2746" customFormat="1" hidden="1"/>
    <row r="2747" customFormat="1" hidden="1"/>
    <row r="2748" customFormat="1" hidden="1"/>
    <row r="2749" customFormat="1" hidden="1"/>
    <row r="2750" customFormat="1" hidden="1"/>
    <row r="2751" customFormat="1" hidden="1"/>
    <row r="2752" customFormat="1" hidden="1"/>
    <row r="2753" customFormat="1" hidden="1"/>
    <row r="2754" customFormat="1" hidden="1"/>
    <row r="2755" customFormat="1" hidden="1"/>
    <row r="2756" customFormat="1" hidden="1"/>
    <row r="2757" customFormat="1" hidden="1"/>
    <row r="2758" customFormat="1" hidden="1"/>
    <row r="2759" customFormat="1" hidden="1"/>
    <row r="2760" customFormat="1" hidden="1"/>
    <row r="2761" customFormat="1" hidden="1"/>
    <row r="2762" customFormat="1" hidden="1"/>
    <row r="2763" customFormat="1" hidden="1"/>
    <row r="2764" customFormat="1" hidden="1"/>
    <row r="2765" customFormat="1" hidden="1"/>
    <row r="2766" customFormat="1" hidden="1"/>
    <row r="2767" customFormat="1" hidden="1"/>
    <row r="2768" customFormat="1" hidden="1"/>
    <row r="2769" customFormat="1" hidden="1"/>
    <row r="2770" customFormat="1" hidden="1"/>
    <row r="2771" customFormat="1" hidden="1"/>
    <row r="2772" customFormat="1" hidden="1"/>
    <row r="2773" customFormat="1" hidden="1"/>
    <row r="2774" customFormat="1" hidden="1"/>
    <row r="2775" customFormat="1" hidden="1"/>
    <row r="2776" customFormat="1" hidden="1"/>
    <row r="2777" customFormat="1" hidden="1"/>
    <row r="2778" customFormat="1" hidden="1"/>
    <row r="2779" customFormat="1" hidden="1"/>
    <row r="2780" customFormat="1" hidden="1"/>
    <row r="2781" customFormat="1" hidden="1"/>
    <row r="2782" customFormat="1" hidden="1"/>
    <row r="2783" customFormat="1" hidden="1"/>
    <row r="2784" customFormat="1" hidden="1"/>
    <row r="2785" customFormat="1" hidden="1"/>
    <row r="2786" customFormat="1" hidden="1"/>
    <row r="2787" customFormat="1" hidden="1"/>
    <row r="2788" customFormat="1" hidden="1"/>
    <row r="2789" customFormat="1" hidden="1"/>
    <row r="2790" customFormat="1" hidden="1"/>
    <row r="2791" customFormat="1" hidden="1"/>
    <row r="2792" customFormat="1" hidden="1"/>
    <row r="2793" customFormat="1" hidden="1"/>
    <row r="2794" customFormat="1" hidden="1"/>
    <row r="2795" customFormat="1" hidden="1"/>
    <row r="2796" customFormat="1" hidden="1"/>
    <row r="2797" customFormat="1" hidden="1"/>
    <row r="2798" customFormat="1" hidden="1"/>
    <row r="2799" customFormat="1" hidden="1"/>
    <row r="2800" customFormat="1" hidden="1"/>
    <row r="2801" customFormat="1" hidden="1"/>
    <row r="2802" customFormat="1" hidden="1"/>
    <row r="2803" customFormat="1" hidden="1"/>
    <row r="2804" customFormat="1" hidden="1"/>
    <row r="2805" customFormat="1" hidden="1"/>
    <row r="2806" customFormat="1" hidden="1"/>
    <row r="2807" customFormat="1" hidden="1"/>
    <row r="2808" customFormat="1" hidden="1"/>
    <row r="2809" customFormat="1" hidden="1"/>
    <row r="2810" customFormat="1" hidden="1"/>
    <row r="2811" customFormat="1" hidden="1"/>
    <row r="2812" customFormat="1" hidden="1"/>
    <row r="2813" customFormat="1" hidden="1"/>
    <row r="2814" customFormat="1" hidden="1"/>
    <row r="2815" customFormat="1" hidden="1"/>
    <row r="2816" customFormat="1" hidden="1"/>
    <row r="2817" customFormat="1" hidden="1"/>
    <row r="2818" customFormat="1" hidden="1"/>
    <row r="2819" customFormat="1" hidden="1"/>
    <row r="2820" customFormat="1" hidden="1"/>
    <row r="2821" customFormat="1" hidden="1"/>
    <row r="2822" customFormat="1" hidden="1"/>
    <row r="2823" customFormat="1" hidden="1"/>
    <row r="2824" customFormat="1" hidden="1"/>
    <row r="2825" customFormat="1" hidden="1"/>
    <row r="2826" customFormat="1" hidden="1"/>
    <row r="2827" customFormat="1" hidden="1"/>
    <row r="2828" customFormat="1" hidden="1"/>
    <row r="2829" customFormat="1" hidden="1"/>
    <row r="2830" customFormat="1" hidden="1"/>
    <row r="2831" customFormat="1" hidden="1"/>
    <row r="2832" customFormat="1" hidden="1"/>
    <row r="2833" customFormat="1" hidden="1"/>
    <row r="2834" customFormat="1" hidden="1"/>
    <row r="2835" customFormat="1" hidden="1"/>
    <row r="2836" customFormat="1" hidden="1"/>
    <row r="2837" customFormat="1" hidden="1"/>
    <row r="2838" customFormat="1" hidden="1"/>
    <row r="2839" customFormat="1" hidden="1"/>
    <row r="2840" customFormat="1" hidden="1"/>
    <row r="2841" customFormat="1" hidden="1"/>
    <row r="2842" customFormat="1" hidden="1"/>
    <row r="2843" customFormat="1" hidden="1"/>
    <row r="2844" customFormat="1" hidden="1"/>
    <row r="2845" customFormat="1" hidden="1"/>
    <row r="2846" customFormat="1" hidden="1"/>
    <row r="2847" customFormat="1" hidden="1"/>
    <row r="2848" customFormat="1" hidden="1"/>
    <row r="2849" customFormat="1" hidden="1"/>
    <row r="2850" customFormat="1" hidden="1"/>
    <row r="2851" customFormat="1" hidden="1"/>
    <row r="2852" customFormat="1" hidden="1"/>
    <row r="2853" customFormat="1" hidden="1"/>
    <row r="2854" customFormat="1" hidden="1"/>
    <row r="2855" customFormat="1" hidden="1"/>
    <row r="2856" customFormat="1" hidden="1"/>
    <row r="2857" customFormat="1" hidden="1"/>
    <row r="2858" customFormat="1" hidden="1"/>
    <row r="2859" customFormat="1" hidden="1"/>
    <row r="2860" customFormat="1" hidden="1"/>
    <row r="2861" customFormat="1" hidden="1"/>
    <row r="2862" customFormat="1" hidden="1"/>
    <row r="2863" customFormat="1" hidden="1"/>
    <row r="2864" customFormat="1" hidden="1"/>
    <row r="2865" customFormat="1" hidden="1"/>
    <row r="2866" customFormat="1" hidden="1"/>
    <row r="2867" customFormat="1" hidden="1"/>
    <row r="2868" customFormat="1" hidden="1"/>
    <row r="2869" customFormat="1" hidden="1"/>
    <row r="2870" customFormat="1" hidden="1"/>
    <row r="2871" customFormat="1" hidden="1"/>
    <row r="2872" customFormat="1" hidden="1"/>
    <row r="2873" customFormat="1" hidden="1"/>
    <row r="2874" customFormat="1" hidden="1"/>
    <row r="2875" customFormat="1" hidden="1"/>
    <row r="2876" customFormat="1" hidden="1"/>
    <row r="2877" customFormat="1" hidden="1"/>
    <row r="2878" customFormat="1" hidden="1"/>
    <row r="2879" customFormat="1" hidden="1"/>
    <row r="2880" customFormat="1" hidden="1"/>
    <row r="2881" customFormat="1" hidden="1"/>
    <row r="2882" customFormat="1" hidden="1"/>
    <row r="2883" customFormat="1" hidden="1"/>
    <row r="2884" customFormat="1" hidden="1"/>
    <row r="2885" customFormat="1" hidden="1"/>
    <row r="2886" customFormat="1" hidden="1"/>
    <row r="2887" customFormat="1" hidden="1"/>
    <row r="2888" customFormat="1" hidden="1"/>
    <row r="2889" customFormat="1" hidden="1"/>
    <row r="2890" customFormat="1" hidden="1"/>
    <row r="2891" customFormat="1" hidden="1"/>
    <row r="2892" customFormat="1" hidden="1"/>
    <row r="2893" customFormat="1" hidden="1"/>
    <row r="2894" customFormat="1" hidden="1"/>
    <row r="2895" customFormat="1" hidden="1"/>
    <row r="2896" customFormat="1" hidden="1"/>
    <row r="2897" customFormat="1" hidden="1"/>
    <row r="2898" customFormat="1" hidden="1"/>
    <row r="2899" customFormat="1" hidden="1"/>
    <row r="2900" customFormat="1" hidden="1"/>
    <row r="2901" customFormat="1" hidden="1"/>
    <row r="2902" customFormat="1" hidden="1"/>
    <row r="2903" customFormat="1" hidden="1"/>
    <row r="2904" customFormat="1" hidden="1"/>
    <row r="2905" customFormat="1" hidden="1"/>
    <row r="2906" customFormat="1" hidden="1"/>
    <row r="2907" customFormat="1" hidden="1"/>
    <row r="2908" customFormat="1" hidden="1"/>
    <row r="2909" customFormat="1" hidden="1"/>
    <row r="2910" customFormat="1" hidden="1"/>
    <row r="2911" customFormat="1" hidden="1"/>
    <row r="2912" customFormat="1" hidden="1"/>
    <row r="2913" customFormat="1" hidden="1"/>
    <row r="2914" customFormat="1" hidden="1"/>
    <row r="2915" customFormat="1" hidden="1"/>
    <row r="2916" customFormat="1" hidden="1"/>
    <row r="2917" customFormat="1" hidden="1"/>
    <row r="2918" customFormat="1" hidden="1"/>
    <row r="2919" customFormat="1" hidden="1"/>
    <row r="2920" customFormat="1" hidden="1"/>
    <row r="2921" customFormat="1" hidden="1"/>
    <row r="2922" customFormat="1" hidden="1"/>
    <row r="2923" customFormat="1" hidden="1"/>
    <row r="2924" customFormat="1" hidden="1"/>
    <row r="2925" customFormat="1" hidden="1"/>
    <row r="2926" customFormat="1" hidden="1"/>
    <row r="2927" customFormat="1" hidden="1"/>
    <row r="2928" customFormat="1" hidden="1"/>
    <row r="2929" customFormat="1" hidden="1"/>
    <row r="2930" customFormat="1" hidden="1"/>
    <row r="2931" customFormat="1" hidden="1"/>
    <row r="2932" customFormat="1" hidden="1"/>
    <row r="2933" customFormat="1" hidden="1"/>
    <row r="2934" customFormat="1" hidden="1"/>
    <row r="2935" customFormat="1" hidden="1"/>
    <row r="2936" customFormat="1" hidden="1"/>
    <row r="2937" customFormat="1" hidden="1"/>
    <row r="2938" customFormat="1" hidden="1"/>
    <row r="2939" customFormat="1" hidden="1"/>
    <row r="2940" customFormat="1" hidden="1"/>
    <row r="2941" customFormat="1" hidden="1"/>
    <row r="2942" customFormat="1" hidden="1"/>
    <row r="2943" customFormat="1" hidden="1"/>
    <row r="2944" customFormat="1" hidden="1"/>
    <row r="2945" customFormat="1" hidden="1"/>
    <row r="2946" customFormat="1" hidden="1"/>
    <row r="2947" customFormat="1" hidden="1"/>
    <row r="2948" customFormat="1" hidden="1"/>
    <row r="2949" customFormat="1" hidden="1"/>
    <row r="2950" customFormat="1" hidden="1"/>
    <row r="2951" customFormat="1" hidden="1"/>
    <row r="2952" customFormat="1" hidden="1"/>
    <row r="2953" customFormat="1" hidden="1"/>
    <row r="2954" customFormat="1" hidden="1"/>
    <row r="2955" customFormat="1" hidden="1"/>
    <row r="2956" customFormat="1" hidden="1"/>
    <row r="2957" customFormat="1" hidden="1"/>
    <row r="2958" customFormat="1" hidden="1"/>
    <row r="2959" customFormat="1" hidden="1"/>
    <row r="2960" customFormat="1" hidden="1"/>
    <row r="2961" customFormat="1" hidden="1"/>
    <row r="2962" customFormat="1" hidden="1"/>
    <row r="2963" customFormat="1" hidden="1"/>
    <row r="2964" customFormat="1" hidden="1"/>
    <row r="2965" customFormat="1" hidden="1"/>
    <row r="2966" customFormat="1" hidden="1"/>
    <row r="2967" customFormat="1" hidden="1"/>
    <row r="2968" customFormat="1" hidden="1"/>
    <row r="2969" customFormat="1" hidden="1"/>
    <row r="2970" customFormat="1" hidden="1"/>
    <row r="2971" customFormat="1" hidden="1"/>
    <row r="2972" customFormat="1" hidden="1"/>
    <row r="2973" customFormat="1" hidden="1"/>
    <row r="2974" customFormat="1" hidden="1"/>
    <row r="2975" customFormat="1" hidden="1"/>
    <row r="2976" customFormat="1" hidden="1"/>
    <row r="2977" customFormat="1" hidden="1"/>
    <row r="2978" customFormat="1" hidden="1"/>
    <row r="2979" customFormat="1" hidden="1"/>
    <row r="2980" customFormat="1" hidden="1"/>
    <row r="2981" customFormat="1" hidden="1"/>
    <row r="2982" customFormat="1" hidden="1"/>
    <row r="2983" customFormat="1" hidden="1"/>
    <row r="2984" customFormat="1" hidden="1"/>
    <row r="2985" customFormat="1" hidden="1"/>
    <row r="2986" customFormat="1" hidden="1"/>
    <row r="2987" customFormat="1" hidden="1"/>
    <row r="2988" customFormat="1" hidden="1"/>
    <row r="2989" customFormat="1" hidden="1"/>
    <row r="2990" customFormat="1" hidden="1"/>
    <row r="2991" customFormat="1" hidden="1"/>
    <row r="2992" customFormat="1" hidden="1"/>
    <row r="2993" customFormat="1" hidden="1"/>
    <row r="2994" customFormat="1" hidden="1"/>
    <row r="2995" customFormat="1" hidden="1"/>
    <row r="2996" customFormat="1" hidden="1"/>
    <row r="2997" customFormat="1" hidden="1"/>
    <row r="2998" customFormat="1" hidden="1"/>
    <row r="2999" customFormat="1" hidden="1"/>
    <row r="3000" customFormat="1" hidden="1"/>
    <row r="3001" customFormat="1" hidden="1"/>
    <row r="3002" customFormat="1" hidden="1"/>
    <row r="3003" customFormat="1" hidden="1"/>
    <row r="3004" customFormat="1" hidden="1"/>
    <row r="3005" customFormat="1" hidden="1"/>
    <row r="3006" customFormat="1" hidden="1"/>
    <row r="3007" customFormat="1" hidden="1"/>
    <row r="3008" customFormat="1" hidden="1"/>
    <row r="3009" customFormat="1" hidden="1"/>
    <row r="3010" customFormat="1" hidden="1"/>
    <row r="3011" customFormat="1" hidden="1"/>
    <row r="3012" customFormat="1" hidden="1"/>
    <row r="3013" customFormat="1" hidden="1"/>
    <row r="3014" customFormat="1" hidden="1"/>
    <row r="3015" customFormat="1" hidden="1"/>
    <row r="3016" customFormat="1" hidden="1"/>
    <row r="3017" customFormat="1" hidden="1"/>
    <row r="3018" customFormat="1" hidden="1"/>
    <row r="3019" customFormat="1" hidden="1"/>
    <row r="3020" customFormat="1" hidden="1"/>
    <row r="3021" customFormat="1" hidden="1"/>
    <row r="3022" customFormat="1" hidden="1"/>
    <row r="3023" customFormat="1" hidden="1"/>
    <row r="3024" customFormat="1" hidden="1"/>
    <row r="3025" customFormat="1" hidden="1"/>
    <row r="3026" customFormat="1" hidden="1"/>
    <row r="3027" customFormat="1" hidden="1"/>
    <row r="3028" customFormat="1" hidden="1"/>
    <row r="3029" customFormat="1" hidden="1"/>
    <row r="3030" customFormat="1" hidden="1"/>
    <row r="3031" customFormat="1" hidden="1"/>
    <row r="3032" customFormat="1" hidden="1"/>
    <row r="3033" customFormat="1" hidden="1"/>
    <row r="3034" customFormat="1" hidden="1"/>
    <row r="3035" customFormat="1" hidden="1"/>
    <row r="3036" customFormat="1" hidden="1"/>
    <row r="3037" customFormat="1" hidden="1"/>
    <row r="3038" customFormat="1" hidden="1"/>
    <row r="3039" customFormat="1" hidden="1"/>
    <row r="3040" customFormat="1" hidden="1"/>
    <row r="3041" customFormat="1" hidden="1"/>
    <row r="3042" customFormat="1" hidden="1"/>
    <row r="3043" customFormat="1" hidden="1"/>
    <row r="3044" customFormat="1" hidden="1"/>
    <row r="3045" customFormat="1" hidden="1"/>
    <row r="3046" customFormat="1" hidden="1"/>
    <row r="3047" customFormat="1" hidden="1"/>
    <row r="3048" customFormat="1" hidden="1"/>
    <row r="3049" customFormat="1" hidden="1"/>
    <row r="3050" customFormat="1" hidden="1"/>
    <row r="3051" customFormat="1" hidden="1"/>
    <row r="3052" customFormat="1" hidden="1"/>
    <row r="3053" customFormat="1" hidden="1"/>
    <row r="3054" customFormat="1" hidden="1"/>
    <row r="3055" customFormat="1" hidden="1"/>
    <row r="3056" customFormat="1" hidden="1"/>
    <row r="3057" customFormat="1" hidden="1"/>
    <row r="3058" customFormat="1" hidden="1"/>
    <row r="3059" customFormat="1" hidden="1"/>
    <row r="3060" customFormat="1" hidden="1"/>
    <row r="3061" customFormat="1" hidden="1"/>
    <row r="3062" customFormat="1" hidden="1"/>
    <row r="3063" customFormat="1" hidden="1"/>
    <row r="3064" customFormat="1" hidden="1"/>
    <row r="3065" customFormat="1" hidden="1"/>
    <row r="3066" customFormat="1" hidden="1"/>
    <row r="3067" customFormat="1" hidden="1"/>
    <row r="3068" customFormat="1" hidden="1"/>
    <row r="3069" customFormat="1" hidden="1"/>
    <row r="3070" customFormat="1" hidden="1"/>
    <row r="3071" customFormat="1" hidden="1"/>
    <row r="3072" customFormat="1" hidden="1"/>
    <row r="3073" customFormat="1" hidden="1"/>
    <row r="3074" customFormat="1" hidden="1"/>
    <row r="3075" customFormat="1" hidden="1"/>
    <row r="3076" customFormat="1" hidden="1"/>
    <row r="3077" customFormat="1" hidden="1"/>
    <row r="3078" customFormat="1" hidden="1"/>
    <row r="3079" customFormat="1" hidden="1"/>
    <row r="3080" customFormat="1" hidden="1"/>
    <row r="3081" customFormat="1" hidden="1"/>
    <row r="3082" customFormat="1" hidden="1"/>
    <row r="3083" customFormat="1" hidden="1"/>
    <row r="3084" customFormat="1" hidden="1"/>
    <row r="3085" customFormat="1" hidden="1"/>
    <row r="3086" customFormat="1" hidden="1"/>
    <row r="3087" customFormat="1" hidden="1"/>
    <row r="3088" customFormat="1" hidden="1"/>
    <row r="3089" customFormat="1" hidden="1"/>
    <row r="3090" customFormat="1" hidden="1"/>
    <row r="3091" customFormat="1" hidden="1"/>
    <row r="3092" customFormat="1" hidden="1"/>
    <row r="3093" customFormat="1" hidden="1"/>
    <row r="3094" customFormat="1" hidden="1"/>
    <row r="3095" customFormat="1" hidden="1"/>
    <row r="3096" customFormat="1" hidden="1"/>
    <row r="3097" customFormat="1" hidden="1"/>
    <row r="3098" customFormat="1" hidden="1"/>
    <row r="3099" customFormat="1" hidden="1"/>
    <row r="3100" customFormat="1" hidden="1"/>
    <row r="3101" customFormat="1" hidden="1"/>
    <row r="3102" customFormat="1" hidden="1"/>
    <row r="3103" customFormat="1" hidden="1"/>
    <row r="3104" customFormat="1" hidden="1"/>
    <row r="3105" customFormat="1" hidden="1"/>
    <row r="3106" customFormat="1" hidden="1"/>
    <row r="3107" customFormat="1" hidden="1"/>
    <row r="3108" customFormat="1" hidden="1"/>
    <row r="3109" customFormat="1" hidden="1"/>
    <row r="3110" customFormat="1" hidden="1"/>
    <row r="3111" customFormat="1" hidden="1"/>
    <row r="3112" customFormat="1" hidden="1"/>
    <row r="3113" customFormat="1" hidden="1"/>
    <row r="3114" customFormat="1" hidden="1"/>
    <row r="3115" customFormat="1" hidden="1"/>
    <row r="3116" customFormat="1" hidden="1"/>
    <row r="3117" customFormat="1" hidden="1"/>
    <row r="3118" customFormat="1" hidden="1"/>
    <row r="3119" customFormat="1" hidden="1"/>
    <row r="3120" customFormat="1" hidden="1"/>
    <row r="3121" customFormat="1" hidden="1"/>
    <row r="3122" customFormat="1" hidden="1"/>
    <row r="3123" customFormat="1" hidden="1"/>
    <row r="3124" customFormat="1" hidden="1"/>
    <row r="3125" customFormat="1" hidden="1"/>
    <row r="3126" customFormat="1" hidden="1"/>
    <row r="3127" customFormat="1" hidden="1"/>
    <row r="3128" customFormat="1" hidden="1"/>
    <row r="3129" customFormat="1" hidden="1"/>
    <row r="3130" customFormat="1" hidden="1"/>
    <row r="3131" customFormat="1" hidden="1"/>
    <row r="3132" customFormat="1" hidden="1"/>
    <row r="3133" customFormat="1" hidden="1"/>
    <row r="3134" customFormat="1" hidden="1"/>
    <row r="3135" customFormat="1" hidden="1"/>
    <row r="3136" customFormat="1" hidden="1"/>
    <row r="3137" customFormat="1" hidden="1"/>
    <row r="3138" customFormat="1" hidden="1"/>
    <row r="3139" customFormat="1" hidden="1"/>
    <row r="3140" customFormat="1" hidden="1"/>
    <row r="3141" customFormat="1" hidden="1"/>
    <row r="3142" customFormat="1" hidden="1"/>
    <row r="3143" customFormat="1" hidden="1"/>
    <row r="3144" customFormat="1" hidden="1"/>
    <row r="3145" customFormat="1" hidden="1"/>
    <row r="3146" customFormat="1" hidden="1"/>
    <row r="3147" customFormat="1" hidden="1"/>
    <row r="3148" customFormat="1" hidden="1"/>
    <row r="3149" customFormat="1" hidden="1"/>
    <row r="3150" customFormat="1" hidden="1"/>
    <row r="3151" customFormat="1" hidden="1"/>
    <row r="3152" customFormat="1" hidden="1"/>
    <row r="3153" customFormat="1" hidden="1"/>
    <row r="3154" customFormat="1" hidden="1"/>
    <row r="3155" customFormat="1" hidden="1"/>
    <row r="3156" customFormat="1" hidden="1"/>
    <row r="3157" customFormat="1" hidden="1"/>
    <row r="3158" customFormat="1" hidden="1"/>
    <row r="3159" customFormat="1" hidden="1"/>
    <row r="3160" customFormat="1" hidden="1"/>
    <row r="3161" customFormat="1" hidden="1"/>
    <row r="3162" customFormat="1" hidden="1"/>
    <row r="3163" customFormat="1" hidden="1"/>
    <row r="3164" customFormat="1" hidden="1"/>
    <row r="3165" customFormat="1" hidden="1"/>
    <row r="3166" customFormat="1" hidden="1"/>
    <row r="3167" customFormat="1" hidden="1"/>
    <row r="3168" customFormat="1" hidden="1"/>
    <row r="3169" customFormat="1" hidden="1"/>
    <row r="3170" customFormat="1" hidden="1"/>
    <row r="3171" customFormat="1" hidden="1"/>
    <row r="3172" customFormat="1" hidden="1"/>
    <row r="3173" customFormat="1" hidden="1"/>
    <row r="3174" customFormat="1" hidden="1"/>
    <row r="3175" customFormat="1" hidden="1"/>
    <row r="3176" customFormat="1" hidden="1"/>
    <row r="3177" customFormat="1" hidden="1"/>
    <row r="3178" customFormat="1" hidden="1"/>
    <row r="3179" customFormat="1" hidden="1"/>
    <row r="3180" customFormat="1" hidden="1"/>
    <row r="3181" customFormat="1" hidden="1"/>
    <row r="3182" customFormat="1" hidden="1"/>
    <row r="3183" customFormat="1" hidden="1"/>
    <row r="3184" customFormat="1" hidden="1"/>
    <row r="3185" customFormat="1" hidden="1"/>
    <row r="3186" customFormat="1" hidden="1"/>
    <row r="3187" customFormat="1" hidden="1"/>
    <row r="3188" customFormat="1" hidden="1"/>
    <row r="3189" customFormat="1" hidden="1"/>
    <row r="3190" customFormat="1" hidden="1"/>
    <row r="3191" customFormat="1" hidden="1"/>
    <row r="3192" customFormat="1" hidden="1"/>
    <row r="3193" customFormat="1" hidden="1"/>
    <row r="3194" customFormat="1" hidden="1"/>
    <row r="3195" customFormat="1" hidden="1"/>
    <row r="3196" customFormat="1" hidden="1"/>
    <row r="3197" customFormat="1" hidden="1"/>
    <row r="3198" customFormat="1" hidden="1"/>
    <row r="3199" customFormat="1" hidden="1"/>
    <row r="3200" customFormat="1" hidden="1"/>
    <row r="3201" customFormat="1" hidden="1"/>
    <row r="3202" customFormat="1" hidden="1"/>
    <row r="3203" customFormat="1" hidden="1"/>
    <row r="3204" customFormat="1" hidden="1"/>
    <row r="3205" customFormat="1" hidden="1"/>
    <row r="3206" customFormat="1" hidden="1"/>
    <row r="3207" customFormat="1" hidden="1"/>
    <row r="3208" customFormat="1" hidden="1"/>
    <row r="3209" customFormat="1" hidden="1"/>
    <row r="3210" customFormat="1" hidden="1"/>
    <row r="3211" customFormat="1" hidden="1"/>
    <row r="3212" customFormat="1" hidden="1"/>
    <row r="3213" customFormat="1" hidden="1"/>
    <row r="3214" customFormat="1" hidden="1"/>
    <row r="3215" customFormat="1" hidden="1"/>
    <row r="3216" customFormat="1" hidden="1"/>
    <row r="3217" customFormat="1" hidden="1"/>
    <row r="3218" customFormat="1" hidden="1"/>
    <row r="3219" customFormat="1" hidden="1"/>
    <row r="3220" customFormat="1" hidden="1"/>
    <row r="3221" customFormat="1" hidden="1"/>
    <row r="3222" customFormat="1" hidden="1"/>
    <row r="3223" customFormat="1" hidden="1"/>
    <row r="3224" customFormat="1" hidden="1"/>
    <row r="3225" customFormat="1" hidden="1"/>
    <row r="3226" customFormat="1" hidden="1"/>
    <row r="3227" customFormat="1" hidden="1"/>
    <row r="3228" customFormat="1" hidden="1"/>
    <row r="3229" customFormat="1" hidden="1"/>
    <row r="3230" customFormat="1" hidden="1"/>
    <row r="3231" customFormat="1" hidden="1"/>
    <row r="3232" customFormat="1" hidden="1"/>
    <row r="3233" customFormat="1" hidden="1"/>
    <row r="3234" customFormat="1" hidden="1"/>
    <row r="3235" customFormat="1" hidden="1"/>
    <row r="3236" customFormat="1" hidden="1"/>
    <row r="3237" customFormat="1" hidden="1"/>
    <row r="3238" customFormat="1" hidden="1"/>
    <row r="3239" customFormat="1" hidden="1"/>
    <row r="3240" customFormat="1" hidden="1"/>
    <row r="3241" customFormat="1" hidden="1"/>
    <row r="3242" customFormat="1" hidden="1"/>
    <row r="3243" customFormat="1" hidden="1"/>
    <row r="3244" customFormat="1" hidden="1"/>
    <row r="3245" customFormat="1" hidden="1"/>
    <row r="3246" customFormat="1" hidden="1"/>
    <row r="3247" customFormat="1" hidden="1"/>
    <row r="3248" customFormat="1" hidden="1"/>
    <row r="3249" customFormat="1" hidden="1"/>
    <row r="3250" customFormat="1" hidden="1"/>
    <row r="3251" customFormat="1" hidden="1"/>
    <row r="3252" customFormat="1" hidden="1"/>
    <row r="3253" customFormat="1" hidden="1"/>
    <row r="3254" customFormat="1" hidden="1"/>
    <row r="3255" customFormat="1" hidden="1"/>
    <row r="3256" customFormat="1" hidden="1"/>
    <row r="3257" customFormat="1" hidden="1"/>
    <row r="3258" customFormat="1" hidden="1"/>
    <row r="3259" customFormat="1" hidden="1"/>
    <row r="3260" customFormat="1" hidden="1"/>
    <row r="3261" customFormat="1" hidden="1"/>
    <row r="3262" customFormat="1" hidden="1"/>
    <row r="3263" customFormat="1" hidden="1"/>
    <row r="3264" customFormat="1" hidden="1"/>
    <row r="3265" customFormat="1" hidden="1"/>
    <row r="3266" customFormat="1" hidden="1"/>
    <row r="3267" customFormat="1" hidden="1"/>
    <row r="3268" customFormat="1" hidden="1"/>
    <row r="3269" customFormat="1" hidden="1"/>
    <row r="3270" customFormat="1" hidden="1"/>
    <row r="3271" customFormat="1" hidden="1"/>
    <row r="3272" customFormat="1" hidden="1"/>
    <row r="3273" customFormat="1" hidden="1"/>
    <row r="3274" customFormat="1" hidden="1"/>
    <row r="3275" customFormat="1" hidden="1"/>
    <row r="3276" customFormat="1" hidden="1"/>
    <row r="3277" customFormat="1" hidden="1"/>
    <row r="3278" customFormat="1" hidden="1"/>
    <row r="3279" customFormat="1" hidden="1"/>
    <row r="3280" customFormat="1" hidden="1"/>
    <row r="3281" customFormat="1" hidden="1"/>
    <row r="3282" customFormat="1" hidden="1"/>
    <row r="3283" customFormat="1" hidden="1"/>
    <row r="3284" customFormat="1" hidden="1"/>
    <row r="3285" customFormat="1" hidden="1"/>
    <row r="3286" customFormat="1" hidden="1"/>
    <row r="3287" customFormat="1" hidden="1"/>
    <row r="3288" customFormat="1" hidden="1"/>
    <row r="3289" customFormat="1" hidden="1"/>
    <row r="3290" customFormat="1" hidden="1"/>
    <row r="3291" customFormat="1" hidden="1"/>
    <row r="3292" customFormat="1" hidden="1"/>
    <row r="3293" customFormat="1" hidden="1"/>
    <row r="3294" customFormat="1" hidden="1"/>
    <row r="3295" customFormat="1" hidden="1"/>
    <row r="3296" customFormat="1" hidden="1"/>
    <row r="3297" customFormat="1" hidden="1"/>
    <row r="3298" customFormat="1" hidden="1"/>
    <row r="3299" customFormat="1" hidden="1"/>
    <row r="3300" customFormat="1" hidden="1"/>
    <row r="3301" customFormat="1" hidden="1"/>
    <row r="3302" customFormat="1" hidden="1"/>
    <row r="3303" customFormat="1" hidden="1"/>
    <row r="3304" customFormat="1" hidden="1"/>
    <row r="3305" customFormat="1" hidden="1"/>
    <row r="3306" customFormat="1" hidden="1"/>
    <row r="3307" customFormat="1" hidden="1"/>
    <row r="3308" customFormat="1" hidden="1"/>
    <row r="3309" customFormat="1" hidden="1"/>
    <row r="3310" customFormat="1" hidden="1"/>
    <row r="3311" customFormat="1" hidden="1"/>
    <row r="3312" customFormat="1" hidden="1"/>
    <row r="3313" customFormat="1" hidden="1"/>
    <row r="3314" customFormat="1" hidden="1"/>
    <row r="3315" customFormat="1" hidden="1"/>
    <row r="3316" customFormat="1" hidden="1"/>
    <row r="3317" customFormat="1" hidden="1"/>
    <row r="3318" customFormat="1" hidden="1"/>
    <row r="3319" customFormat="1" hidden="1"/>
    <row r="3320" customFormat="1" hidden="1"/>
    <row r="3321" customFormat="1" hidden="1"/>
    <row r="3322" customFormat="1" hidden="1"/>
    <row r="3323" customFormat="1" hidden="1"/>
    <row r="3324" customFormat="1" hidden="1"/>
    <row r="3325" customFormat="1" hidden="1"/>
    <row r="3326" customFormat="1" hidden="1"/>
    <row r="3327" customFormat="1" hidden="1"/>
    <row r="3328" customFormat="1" hidden="1"/>
    <row r="3329" customFormat="1" hidden="1"/>
    <row r="3330" customFormat="1" hidden="1"/>
    <row r="3331" customFormat="1" hidden="1"/>
    <row r="3332" customFormat="1" hidden="1"/>
    <row r="3333" customFormat="1" hidden="1"/>
    <row r="3334" customFormat="1" hidden="1"/>
    <row r="3335" customFormat="1" hidden="1"/>
    <row r="3336" customFormat="1" hidden="1"/>
    <row r="3337" customFormat="1" hidden="1"/>
    <row r="3338" customFormat="1" hidden="1"/>
    <row r="3339" customFormat="1" hidden="1"/>
    <row r="3340" customFormat="1" hidden="1"/>
    <row r="3341" customFormat="1" hidden="1"/>
    <row r="3342" customFormat="1" hidden="1"/>
    <row r="3343" customFormat="1" hidden="1"/>
    <row r="3344" customFormat="1" hidden="1"/>
    <row r="3345" customFormat="1" hidden="1"/>
    <row r="3346" customFormat="1" hidden="1"/>
    <row r="3347" customFormat="1" hidden="1"/>
    <row r="3348" customFormat="1" hidden="1"/>
    <row r="3349" customFormat="1" hidden="1"/>
    <row r="3350" customFormat="1" hidden="1"/>
    <row r="3351" customFormat="1" hidden="1"/>
    <row r="3352" customFormat="1" hidden="1"/>
    <row r="3353" customFormat="1" hidden="1"/>
    <row r="3354" customFormat="1" hidden="1"/>
    <row r="3355" customFormat="1" hidden="1"/>
    <row r="3356" customFormat="1" hidden="1"/>
    <row r="3357" customFormat="1" hidden="1"/>
    <row r="3358" customFormat="1" hidden="1"/>
    <row r="3359" customFormat="1" hidden="1"/>
    <row r="3360" customFormat="1" hidden="1"/>
    <row r="3361" customFormat="1" hidden="1"/>
    <row r="3362" customFormat="1" hidden="1"/>
    <row r="3363" customFormat="1" hidden="1"/>
    <row r="3364" customFormat="1" hidden="1"/>
    <row r="3365" customFormat="1" hidden="1"/>
    <row r="3366" customFormat="1" hidden="1"/>
    <row r="3367" customFormat="1" hidden="1"/>
    <row r="3368" customFormat="1" hidden="1"/>
    <row r="3369" customFormat="1" hidden="1"/>
    <row r="3370" customFormat="1" hidden="1"/>
    <row r="3371" customFormat="1" hidden="1"/>
    <row r="3372" customFormat="1" hidden="1"/>
    <row r="3373" customFormat="1" hidden="1"/>
    <row r="3374" customFormat="1" hidden="1"/>
    <row r="3375" customFormat="1" hidden="1"/>
    <row r="3376" customFormat="1" hidden="1"/>
    <row r="3377" customFormat="1" hidden="1"/>
    <row r="3378" customFormat="1" hidden="1"/>
    <row r="3379" customFormat="1" hidden="1"/>
    <row r="3380" customFormat="1" hidden="1"/>
    <row r="3381" customFormat="1" hidden="1"/>
    <row r="3382" customFormat="1" hidden="1"/>
    <row r="3383" customFormat="1" hidden="1"/>
    <row r="3384" customFormat="1" hidden="1"/>
    <row r="3385" customFormat="1" hidden="1"/>
    <row r="3386" customFormat="1" hidden="1"/>
    <row r="3387" customFormat="1" hidden="1"/>
    <row r="3388" customFormat="1" hidden="1"/>
    <row r="3389" customFormat="1" hidden="1"/>
    <row r="3390" customFormat="1" hidden="1"/>
    <row r="3391" customFormat="1" hidden="1"/>
    <row r="3392" customFormat="1" hidden="1"/>
    <row r="3393" customFormat="1" hidden="1"/>
    <row r="3394" customFormat="1" hidden="1"/>
    <row r="3395" customFormat="1" hidden="1"/>
    <row r="3396" customFormat="1" hidden="1"/>
    <row r="3397" customFormat="1" hidden="1"/>
    <row r="3398" customFormat="1" hidden="1"/>
    <row r="3399" customFormat="1" hidden="1"/>
    <row r="3400" customFormat="1" hidden="1"/>
    <row r="3401" customFormat="1" hidden="1"/>
    <row r="3402" customFormat="1" hidden="1"/>
    <row r="3403" customFormat="1" hidden="1"/>
    <row r="3404" customFormat="1" hidden="1"/>
    <row r="3405" customFormat="1" hidden="1"/>
    <row r="3406" customFormat="1" hidden="1"/>
    <row r="3407" customFormat="1" hidden="1"/>
    <row r="3408" customFormat="1" hidden="1"/>
    <row r="3409" customFormat="1" hidden="1"/>
    <row r="3410" customFormat="1" hidden="1"/>
    <row r="3411" customFormat="1" hidden="1"/>
    <row r="3412" customFormat="1" hidden="1"/>
    <row r="3413" customFormat="1" hidden="1"/>
    <row r="3414" customFormat="1" hidden="1"/>
    <row r="3415" customFormat="1" hidden="1"/>
    <row r="3416" customFormat="1" hidden="1"/>
    <row r="3417" customFormat="1" hidden="1"/>
    <row r="3418" customFormat="1" hidden="1"/>
    <row r="3419" customFormat="1" hidden="1"/>
    <row r="3420" customFormat="1" hidden="1"/>
    <row r="3421" customFormat="1" hidden="1"/>
    <row r="3422" customFormat="1" hidden="1"/>
    <row r="3423" customFormat="1" hidden="1"/>
    <row r="3424" customFormat="1" hidden="1"/>
    <row r="3425" customFormat="1" hidden="1"/>
    <row r="3426" customFormat="1" hidden="1"/>
    <row r="3427" customFormat="1" hidden="1"/>
    <row r="3428" customFormat="1" hidden="1"/>
    <row r="3429" customFormat="1" hidden="1"/>
    <row r="3430" customFormat="1" hidden="1"/>
    <row r="3431" customFormat="1" hidden="1"/>
    <row r="3432" customFormat="1" hidden="1"/>
    <row r="3433" customFormat="1" hidden="1"/>
    <row r="3434" customFormat="1" hidden="1"/>
    <row r="3435" customFormat="1" hidden="1"/>
    <row r="3436" customFormat="1" hidden="1"/>
    <row r="3437" customFormat="1" hidden="1"/>
    <row r="3438" customFormat="1" hidden="1"/>
    <row r="3439" customFormat="1" hidden="1"/>
    <row r="3440" customFormat="1" hidden="1"/>
    <row r="3441" customFormat="1" hidden="1"/>
    <row r="3442" customFormat="1" hidden="1"/>
    <row r="3443" customFormat="1" hidden="1"/>
    <row r="3444" customFormat="1" hidden="1"/>
    <row r="3445" customFormat="1" hidden="1"/>
    <row r="3446" customFormat="1" hidden="1"/>
    <row r="3447" customFormat="1" hidden="1"/>
    <row r="3448" customFormat="1" hidden="1"/>
    <row r="3449" customFormat="1" hidden="1"/>
    <row r="3450" customFormat="1" hidden="1"/>
    <row r="3451" customFormat="1" hidden="1"/>
    <row r="3452" customFormat="1" hidden="1"/>
    <row r="3453" customFormat="1" hidden="1"/>
    <row r="3454" customFormat="1" hidden="1"/>
    <row r="3455" customFormat="1" hidden="1"/>
    <row r="3456" customFormat="1" hidden="1"/>
    <row r="3457" customFormat="1" hidden="1"/>
    <row r="3458" customFormat="1" hidden="1"/>
    <row r="3459" customFormat="1" hidden="1"/>
    <row r="3460" customFormat="1" hidden="1"/>
    <row r="3461" customFormat="1" hidden="1"/>
    <row r="3462" customFormat="1" hidden="1"/>
    <row r="3463" customFormat="1" hidden="1"/>
    <row r="3464" customFormat="1" hidden="1"/>
    <row r="3465" customFormat="1" hidden="1"/>
    <row r="3466" customFormat="1" hidden="1"/>
    <row r="3467" customFormat="1" hidden="1"/>
    <row r="3468" customFormat="1" hidden="1"/>
    <row r="3469" customFormat="1" hidden="1"/>
    <row r="3470" customFormat="1" hidden="1"/>
    <row r="3471" customFormat="1" hidden="1"/>
    <row r="3472" customFormat="1" hidden="1"/>
    <row r="3473" customFormat="1" hidden="1"/>
    <row r="3474" customFormat="1" hidden="1"/>
    <row r="3475" customFormat="1" hidden="1"/>
    <row r="3476" customFormat="1" hidden="1"/>
    <row r="3477" customFormat="1" hidden="1"/>
    <row r="3478" customFormat="1" hidden="1"/>
    <row r="3479" customFormat="1" hidden="1"/>
    <row r="3480" customFormat="1" hidden="1"/>
    <row r="3481" customFormat="1" hidden="1"/>
    <row r="3482" customFormat="1" hidden="1"/>
    <row r="3483" customFormat="1" hidden="1"/>
    <row r="3484" customFormat="1" hidden="1"/>
    <row r="3485" customFormat="1" hidden="1"/>
    <row r="3486" customFormat="1" hidden="1"/>
    <row r="3487" customFormat="1" hidden="1"/>
    <row r="3488" customFormat="1" hidden="1"/>
    <row r="3489" customFormat="1" hidden="1"/>
    <row r="3490" customFormat="1" hidden="1"/>
    <row r="3491" customFormat="1" hidden="1"/>
    <row r="3492" customFormat="1" hidden="1"/>
    <row r="3493" customFormat="1" hidden="1"/>
    <row r="3494" customFormat="1" hidden="1"/>
    <row r="3495" customFormat="1" hidden="1"/>
    <row r="3496" customFormat="1" hidden="1"/>
    <row r="3497" customFormat="1" hidden="1"/>
    <row r="3498" customFormat="1" hidden="1"/>
    <row r="3499" customFormat="1" hidden="1"/>
    <row r="3500" customFormat="1" hidden="1"/>
    <row r="3501" customFormat="1" hidden="1"/>
    <row r="3502" customFormat="1" hidden="1"/>
    <row r="3503" customFormat="1" hidden="1"/>
    <row r="3504" customFormat="1" hidden="1"/>
    <row r="3505" customFormat="1" hidden="1"/>
    <row r="3506" customFormat="1" hidden="1"/>
    <row r="3507" customFormat="1" hidden="1"/>
    <row r="3508" customFormat="1" hidden="1"/>
    <row r="3509" customFormat="1" hidden="1"/>
    <row r="3510" customFormat="1" hidden="1"/>
    <row r="3511" customFormat="1" hidden="1"/>
    <row r="3512" customFormat="1" hidden="1"/>
    <row r="3513" customFormat="1" hidden="1"/>
    <row r="3514" customFormat="1" hidden="1"/>
    <row r="3515" customFormat="1" hidden="1"/>
    <row r="3516" customFormat="1" hidden="1"/>
    <row r="3517" customFormat="1" hidden="1"/>
    <row r="3518" customFormat="1" hidden="1"/>
    <row r="3519" customFormat="1" hidden="1"/>
    <row r="3520" customFormat="1" hidden="1"/>
    <row r="3521" customFormat="1" hidden="1"/>
    <row r="3522" customFormat="1" hidden="1"/>
    <row r="3523" customFormat="1" hidden="1"/>
    <row r="3524" customFormat="1" hidden="1"/>
    <row r="3525" customFormat="1" hidden="1"/>
    <row r="3526" customFormat="1" hidden="1"/>
    <row r="3527" customFormat="1" hidden="1"/>
    <row r="3528" customFormat="1" hidden="1"/>
    <row r="3529" customFormat="1" hidden="1"/>
    <row r="3530" customFormat="1" hidden="1"/>
    <row r="3531" customFormat="1" hidden="1"/>
    <row r="3532" customFormat="1" hidden="1"/>
    <row r="3533" customFormat="1" hidden="1"/>
    <row r="3534" customFormat="1" hidden="1"/>
    <row r="3535" customFormat="1" hidden="1"/>
    <row r="3536" customFormat="1" hidden="1"/>
    <row r="3537" customFormat="1" hidden="1"/>
    <row r="3538" customFormat="1" hidden="1"/>
    <row r="3539" customFormat="1" hidden="1"/>
    <row r="3540" customFormat="1" hidden="1"/>
    <row r="3541" customFormat="1" hidden="1"/>
    <row r="3542" customFormat="1" hidden="1"/>
    <row r="3543" customFormat="1" hidden="1"/>
    <row r="3544" customFormat="1" hidden="1"/>
    <row r="3545" customFormat="1" hidden="1"/>
    <row r="3546" customFormat="1" hidden="1"/>
    <row r="3547" customFormat="1" hidden="1"/>
    <row r="3548" customFormat="1" hidden="1"/>
    <row r="3549" customFormat="1" hidden="1"/>
    <row r="3550" customFormat="1" hidden="1"/>
    <row r="3551" customFormat="1" hidden="1"/>
    <row r="3552" customFormat="1" hidden="1"/>
    <row r="3553" customFormat="1" hidden="1"/>
    <row r="3554" customFormat="1" hidden="1"/>
    <row r="3555" customFormat="1" hidden="1"/>
    <row r="3556" customFormat="1" hidden="1"/>
    <row r="3557" customFormat="1" hidden="1"/>
    <row r="3558" customFormat="1" hidden="1"/>
    <row r="3559" customFormat="1" hidden="1"/>
    <row r="3560" customFormat="1" hidden="1"/>
    <row r="3561" customFormat="1" hidden="1"/>
    <row r="3562" customFormat="1" hidden="1"/>
    <row r="3563" customFormat="1" hidden="1"/>
    <row r="3564" customFormat="1" hidden="1"/>
    <row r="3565" customFormat="1" hidden="1"/>
    <row r="3566" customFormat="1" hidden="1"/>
    <row r="3567" customFormat="1" hidden="1"/>
    <row r="3568" customFormat="1" hidden="1"/>
    <row r="3569" customFormat="1" hidden="1"/>
    <row r="3570" customFormat="1" hidden="1"/>
    <row r="3571" customFormat="1" hidden="1"/>
    <row r="3572" customFormat="1" hidden="1"/>
    <row r="3573" customFormat="1" hidden="1"/>
    <row r="3574" customFormat="1" hidden="1"/>
    <row r="3575" customFormat="1" hidden="1"/>
    <row r="3576" customFormat="1" hidden="1"/>
    <row r="3577" customFormat="1" hidden="1"/>
    <row r="3578" customFormat="1" hidden="1"/>
    <row r="3579" customFormat="1" hidden="1"/>
    <row r="3580" customFormat="1" hidden="1"/>
    <row r="3581" customFormat="1" hidden="1"/>
    <row r="3582" customFormat="1" hidden="1"/>
    <row r="3583" customFormat="1" hidden="1"/>
    <row r="3584" customFormat="1" hidden="1"/>
    <row r="3585" customFormat="1" hidden="1"/>
    <row r="3586" customFormat="1" hidden="1"/>
    <row r="3587" customFormat="1" hidden="1"/>
    <row r="3588" customFormat="1" hidden="1"/>
    <row r="3589" customFormat="1" hidden="1"/>
    <row r="3590" customFormat="1" hidden="1"/>
    <row r="3591" customFormat="1" hidden="1"/>
    <row r="3592" customFormat="1" hidden="1"/>
    <row r="3593" customFormat="1" hidden="1"/>
    <row r="3594" customFormat="1" hidden="1"/>
    <row r="3595" customFormat="1" hidden="1"/>
    <row r="3596" customFormat="1" hidden="1"/>
    <row r="3597" customFormat="1" hidden="1"/>
    <row r="3598" customFormat="1" hidden="1"/>
    <row r="3599" customFormat="1" hidden="1"/>
    <row r="3600" customFormat="1" hidden="1"/>
    <row r="3601" customFormat="1" hidden="1"/>
    <row r="3602" customFormat="1" hidden="1"/>
    <row r="3603" customFormat="1" hidden="1"/>
    <row r="3604" customFormat="1" hidden="1"/>
    <row r="3605" customFormat="1" hidden="1"/>
    <row r="3606" customFormat="1" hidden="1"/>
    <row r="3607" customFormat="1" hidden="1"/>
    <row r="3608" customFormat="1" hidden="1"/>
    <row r="3609" customFormat="1" hidden="1"/>
    <row r="3610" customFormat="1" hidden="1"/>
    <row r="3611" customFormat="1" hidden="1"/>
    <row r="3612" customFormat="1" hidden="1"/>
    <row r="3613" customFormat="1" hidden="1"/>
    <row r="3614" customFormat="1" hidden="1"/>
    <row r="3615" customFormat="1" hidden="1"/>
    <row r="3616" customFormat="1" hidden="1"/>
    <row r="3617" customFormat="1" hidden="1"/>
    <row r="3618" customFormat="1" hidden="1"/>
    <row r="3619" customFormat="1" hidden="1"/>
    <row r="3620" customFormat="1" hidden="1"/>
    <row r="3621" customFormat="1" hidden="1"/>
    <row r="3622" customFormat="1" hidden="1"/>
    <row r="3623" customFormat="1" hidden="1"/>
    <row r="3624" customFormat="1" hidden="1"/>
    <row r="3625" customFormat="1" hidden="1"/>
    <row r="3626" customFormat="1" hidden="1"/>
    <row r="3627" customFormat="1" hidden="1"/>
    <row r="3628" customFormat="1" hidden="1"/>
    <row r="3629" customFormat="1" hidden="1"/>
    <row r="3630" customFormat="1" hidden="1"/>
    <row r="3631" customFormat="1" hidden="1"/>
    <row r="3632" customFormat="1" hidden="1"/>
    <row r="3633" customFormat="1" hidden="1"/>
    <row r="3634" customFormat="1" hidden="1"/>
    <row r="3635" customFormat="1" hidden="1"/>
    <row r="3636" customFormat="1" hidden="1"/>
    <row r="3637" customFormat="1" hidden="1"/>
    <row r="3638" customFormat="1" hidden="1"/>
    <row r="3639" customFormat="1" hidden="1"/>
    <row r="3640" customFormat="1" hidden="1"/>
    <row r="3641" customFormat="1" hidden="1"/>
    <row r="3642" customFormat="1" hidden="1"/>
    <row r="3643" customFormat="1" hidden="1"/>
    <row r="3644" customFormat="1" hidden="1"/>
    <row r="3645" customFormat="1" hidden="1"/>
    <row r="3646" customFormat="1" hidden="1"/>
    <row r="3647" customFormat="1" hidden="1"/>
    <row r="3648" customFormat="1" hidden="1"/>
    <row r="3649" customFormat="1" hidden="1"/>
    <row r="3650" customFormat="1" hidden="1"/>
    <row r="3651" customFormat="1" hidden="1"/>
    <row r="3652" customFormat="1" hidden="1"/>
    <row r="3653" customFormat="1" hidden="1"/>
    <row r="3654" customFormat="1" hidden="1"/>
    <row r="3655" customFormat="1" hidden="1"/>
    <row r="3656" customFormat="1" hidden="1"/>
    <row r="3657" customFormat="1" hidden="1"/>
    <row r="3658" customFormat="1" hidden="1"/>
    <row r="3659" customFormat="1" hidden="1"/>
    <row r="3660" customFormat="1" hidden="1"/>
    <row r="3661" customFormat="1" hidden="1"/>
    <row r="3662" customFormat="1" hidden="1"/>
    <row r="3663" customFormat="1" hidden="1"/>
    <row r="3664" customFormat="1" hidden="1"/>
    <row r="3665" customFormat="1" hidden="1"/>
    <row r="3666" customFormat="1" hidden="1"/>
    <row r="3667" customFormat="1" hidden="1"/>
    <row r="3668" customFormat="1" hidden="1"/>
    <row r="3669" customFormat="1" hidden="1"/>
    <row r="3670" customFormat="1" hidden="1"/>
    <row r="3671" customFormat="1" hidden="1"/>
    <row r="3672" customFormat="1" hidden="1"/>
    <row r="3673" customFormat="1" hidden="1"/>
    <row r="3674" customFormat="1" hidden="1"/>
    <row r="3675" customFormat="1" hidden="1"/>
    <row r="3676" customFormat="1" hidden="1"/>
    <row r="3677" customFormat="1" hidden="1"/>
    <row r="3678" customFormat="1" hidden="1"/>
    <row r="3679" customFormat="1" hidden="1"/>
    <row r="3680" customFormat="1" hidden="1"/>
    <row r="3681" customFormat="1" hidden="1"/>
    <row r="3682" customFormat="1" hidden="1"/>
    <row r="3683" customFormat="1" hidden="1"/>
    <row r="3684" customFormat="1" hidden="1"/>
    <row r="3685" customFormat="1" hidden="1"/>
    <row r="3686" customFormat="1" hidden="1"/>
    <row r="3687" customFormat="1" hidden="1"/>
    <row r="3688" customFormat="1" hidden="1"/>
    <row r="3689" customFormat="1" hidden="1"/>
    <row r="3690" customFormat="1" hidden="1"/>
    <row r="3691" customFormat="1" hidden="1"/>
    <row r="3692" customFormat="1" hidden="1"/>
    <row r="3693" customFormat="1" hidden="1"/>
    <row r="3694" customFormat="1" hidden="1"/>
    <row r="3695" customFormat="1" hidden="1"/>
    <row r="3696" customFormat="1" hidden="1"/>
    <row r="3697" customFormat="1" hidden="1"/>
    <row r="3698" customFormat="1" hidden="1"/>
    <row r="3699" customFormat="1" hidden="1"/>
    <row r="3700" customFormat="1" hidden="1"/>
    <row r="3701" customFormat="1" hidden="1"/>
    <row r="3702" customFormat="1" hidden="1"/>
    <row r="3703" customFormat="1" hidden="1"/>
    <row r="3704" customFormat="1" hidden="1"/>
    <row r="3705" customFormat="1" hidden="1"/>
    <row r="3706" customFormat="1" hidden="1"/>
    <row r="3707" customFormat="1" hidden="1"/>
    <row r="3708" customFormat="1" hidden="1"/>
    <row r="3709" customFormat="1" hidden="1"/>
    <row r="3710" customFormat="1" hidden="1"/>
    <row r="3711" customFormat="1" hidden="1"/>
    <row r="3712" customFormat="1" hidden="1"/>
    <row r="3713" customFormat="1" hidden="1"/>
    <row r="3714" customFormat="1" hidden="1"/>
    <row r="3715" customFormat="1" hidden="1"/>
    <row r="3716" customFormat="1" hidden="1"/>
    <row r="3717" customFormat="1" hidden="1"/>
    <row r="3718" customFormat="1" hidden="1"/>
    <row r="3719" customFormat="1" hidden="1"/>
    <row r="3720" customFormat="1" hidden="1"/>
    <row r="3721" customFormat="1" hidden="1"/>
    <row r="3722" customFormat="1" hidden="1"/>
    <row r="3723" customFormat="1" hidden="1"/>
    <row r="3724" customFormat="1" hidden="1"/>
    <row r="3725" customFormat="1" hidden="1"/>
    <row r="3726" customFormat="1" hidden="1"/>
    <row r="3727" customFormat="1" hidden="1"/>
    <row r="3728" customFormat="1" hidden="1"/>
    <row r="3729" customFormat="1" hidden="1"/>
    <row r="3730" customFormat="1" hidden="1"/>
    <row r="3731" customFormat="1" hidden="1"/>
    <row r="3732" customFormat="1" hidden="1"/>
    <row r="3733" customFormat="1" hidden="1"/>
    <row r="3734" customFormat="1" hidden="1"/>
    <row r="3735" customFormat="1" hidden="1"/>
    <row r="3736" customFormat="1" hidden="1"/>
    <row r="3737" customFormat="1" hidden="1"/>
    <row r="3738" customFormat="1" hidden="1"/>
    <row r="3739" customFormat="1" hidden="1"/>
    <row r="3740" customFormat="1" hidden="1"/>
    <row r="3741" customFormat="1" hidden="1"/>
    <row r="3742" customFormat="1" hidden="1"/>
    <row r="3743" customFormat="1" hidden="1"/>
    <row r="3744" customFormat="1" hidden="1"/>
    <row r="3745" customFormat="1" hidden="1"/>
    <row r="3746" customFormat="1" hidden="1"/>
    <row r="3747" customFormat="1" hidden="1"/>
    <row r="3748" customFormat="1" hidden="1"/>
    <row r="3749" customFormat="1" hidden="1"/>
    <row r="3750" customFormat="1" hidden="1"/>
    <row r="3751" customFormat="1" hidden="1"/>
    <row r="3752" customFormat="1" hidden="1"/>
    <row r="3753" customFormat="1" hidden="1"/>
    <row r="3754" customFormat="1" hidden="1"/>
    <row r="3755" customFormat="1" hidden="1"/>
    <row r="3756" customFormat="1" hidden="1"/>
    <row r="3757" customFormat="1" hidden="1"/>
    <row r="3758" customFormat="1" hidden="1"/>
    <row r="3759" customFormat="1" hidden="1"/>
    <row r="3760" customFormat="1" hidden="1"/>
    <row r="3761" customFormat="1" hidden="1"/>
    <row r="3762" customFormat="1" hidden="1"/>
    <row r="3763" customFormat="1" hidden="1"/>
    <row r="3764" customFormat="1" hidden="1"/>
    <row r="3765" customFormat="1" hidden="1"/>
    <row r="3766" customFormat="1" hidden="1"/>
    <row r="3767" customFormat="1" hidden="1"/>
    <row r="3768" customFormat="1" hidden="1"/>
    <row r="3769" customFormat="1" hidden="1"/>
    <row r="3770" customFormat="1" hidden="1"/>
    <row r="3771" customFormat="1" hidden="1"/>
    <row r="3772" customFormat="1" hidden="1"/>
    <row r="3773" customFormat="1" hidden="1"/>
    <row r="3774" customFormat="1" hidden="1"/>
    <row r="3775" customFormat="1" hidden="1"/>
    <row r="3776" customFormat="1" hidden="1"/>
    <row r="3777" customFormat="1" hidden="1"/>
    <row r="3778" customFormat="1" hidden="1"/>
    <row r="3779" customFormat="1" hidden="1"/>
    <row r="3780" customFormat="1" hidden="1"/>
    <row r="3781" customFormat="1" hidden="1"/>
    <row r="3782" customFormat="1" hidden="1"/>
    <row r="3783" customFormat="1" hidden="1"/>
    <row r="3784" customFormat="1" hidden="1"/>
    <row r="3785" customFormat="1" hidden="1"/>
    <row r="3786" customFormat="1" hidden="1"/>
    <row r="3787" customFormat="1" hidden="1"/>
    <row r="3788" customFormat="1" hidden="1"/>
    <row r="3789" customFormat="1" hidden="1"/>
    <row r="3790" customFormat="1" hidden="1"/>
    <row r="3791" customFormat="1" hidden="1"/>
    <row r="3792" customFormat="1" hidden="1"/>
    <row r="3793" customFormat="1" hidden="1"/>
    <row r="3794" customFormat="1" hidden="1"/>
    <row r="3795" customFormat="1" hidden="1"/>
    <row r="3796" customFormat="1" hidden="1"/>
    <row r="3797" customFormat="1" hidden="1"/>
    <row r="3798" customFormat="1" hidden="1"/>
    <row r="3799" customFormat="1" hidden="1"/>
    <row r="3800" customFormat="1" hidden="1"/>
    <row r="3801" customFormat="1" hidden="1"/>
    <row r="3802" customFormat="1" hidden="1"/>
    <row r="3803" customFormat="1" hidden="1"/>
    <row r="3804" customFormat="1" hidden="1"/>
    <row r="3805" customFormat="1" hidden="1"/>
    <row r="3806" customFormat="1" hidden="1"/>
    <row r="3807" customFormat="1" hidden="1"/>
    <row r="3808" customFormat="1" hidden="1"/>
    <row r="3809" customFormat="1" hidden="1"/>
    <row r="3810" customFormat="1" hidden="1"/>
    <row r="3811" customFormat="1" hidden="1"/>
    <row r="3812" customFormat="1" hidden="1"/>
    <row r="3813" customFormat="1" hidden="1"/>
    <row r="3814" customFormat="1" hidden="1"/>
    <row r="3815" customFormat="1" hidden="1"/>
    <row r="3816" customFormat="1" hidden="1"/>
    <row r="3817" customFormat="1" hidden="1"/>
    <row r="3818" customFormat="1" hidden="1"/>
    <row r="3819" customFormat="1" hidden="1"/>
    <row r="3820" customFormat="1" hidden="1"/>
    <row r="3821" customFormat="1" hidden="1"/>
    <row r="3822" customFormat="1" hidden="1"/>
    <row r="3823" customFormat="1" hidden="1"/>
    <row r="3824" customFormat="1" hidden="1"/>
    <row r="3825" customFormat="1" hidden="1"/>
    <row r="3826" customFormat="1" hidden="1"/>
    <row r="3827" customFormat="1" hidden="1"/>
    <row r="3828" customFormat="1" hidden="1"/>
    <row r="3829" customFormat="1" hidden="1"/>
    <row r="3830" customFormat="1" hidden="1"/>
    <row r="3831" customFormat="1" hidden="1"/>
    <row r="3832" customFormat="1" hidden="1"/>
    <row r="3833" customFormat="1" hidden="1"/>
    <row r="3834" customFormat="1" hidden="1"/>
    <row r="3835" customFormat="1" hidden="1"/>
    <row r="3836" customFormat="1" hidden="1"/>
    <row r="3837" customFormat="1" hidden="1"/>
    <row r="3838" customFormat="1" hidden="1"/>
    <row r="3839" customFormat="1" hidden="1"/>
    <row r="3840" customFormat="1" hidden="1"/>
    <row r="3841" customFormat="1" hidden="1"/>
    <row r="3842" customFormat="1" hidden="1"/>
    <row r="3843" customFormat="1" hidden="1"/>
    <row r="3844" customFormat="1" hidden="1"/>
    <row r="3845" customFormat="1" hidden="1"/>
    <row r="3846" customFormat="1" hidden="1"/>
    <row r="3847" customFormat="1" hidden="1"/>
    <row r="3848" customFormat="1" hidden="1"/>
    <row r="3849" customFormat="1" hidden="1"/>
    <row r="3850" customFormat="1" hidden="1"/>
    <row r="3851" customFormat="1" hidden="1"/>
    <row r="3852" customFormat="1" hidden="1"/>
    <row r="3853" customFormat="1" hidden="1"/>
    <row r="3854" customFormat="1" hidden="1"/>
    <row r="3855" customFormat="1" hidden="1"/>
    <row r="3856" customFormat="1" hidden="1"/>
    <row r="3857" customFormat="1" hidden="1"/>
    <row r="3858" customFormat="1" hidden="1"/>
    <row r="3859" customFormat="1" hidden="1"/>
    <row r="3860" customFormat="1" hidden="1"/>
    <row r="3861" customFormat="1" hidden="1"/>
    <row r="3862" customFormat="1" hidden="1"/>
    <row r="3863" customFormat="1" hidden="1"/>
    <row r="3864" customFormat="1" hidden="1"/>
    <row r="3865" customFormat="1" hidden="1"/>
    <row r="3866" customFormat="1" hidden="1"/>
    <row r="3867" customFormat="1" hidden="1"/>
    <row r="3868" customFormat="1" hidden="1"/>
    <row r="3869" customFormat="1" hidden="1"/>
    <row r="3870" customFormat="1" hidden="1"/>
    <row r="3871" customFormat="1" hidden="1"/>
    <row r="3872" customFormat="1" hidden="1"/>
    <row r="3873" customFormat="1" hidden="1"/>
    <row r="3874" customFormat="1" hidden="1"/>
    <row r="3875" customFormat="1" hidden="1"/>
    <row r="3876" customFormat="1" hidden="1"/>
    <row r="3877" customFormat="1" hidden="1"/>
    <row r="3878" customFormat="1" hidden="1"/>
    <row r="3879" customFormat="1" hidden="1"/>
    <row r="3880" customFormat="1" hidden="1"/>
    <row r="3881" customFormat="1" hidden="1"/>
    <row r="3882" customFormat="1" hidden="1"/>
    <row r="3883" customFormat="1" hidden="1"/>
    <row r="3884" customFormat="1" hidden="1"/>
    <row r="3885" customFormat="1" hidden="1"/>
    <row r="3886" customFormat="1" hidden="1"/>
    <row r="3887" customFormat="1" hidden="1"/>
    <row r="3888" customFormat="1" hidden="1"/>
    <row r="3889" customFormat="1" hidden="1"/>
    <row r="3890" customFormat="1" hidden="1"/>
    <row r="3891" customFormat="1" hidden="1"/>
    <row r="3892" customFormat="1" hidden="1"/>
    <row r="3893" customFormat="1" hidden="1"/>
    <row r="3894" customFormat="1" hidden="1"/>
    <row r="3895" customFormat="1" hidden="1"/>
    <row r="3896" customFormat="1" hidden="1"/>
    <row r="3897" customFormat="1" hidden="1"/>
    <row r="3898" customFormat="1" hidden="1"/>
    <row r="3899" customFormat="1" hidden="1"/>
    <row r="3900" customFormat="1" hidden="1"/>
    <row r="3901" customFormat="1" hidden="1"/>
    <row r="3902" customFormat="1" hidden="1"/>
    <row r="3903" customFormat="1" hidden="1"/>
    <row r="3904" customFormat="1" hidden="1"/>
    <row r="3905" customFormat="1" hidden="1"/>
    <row r="3906" customFormat="1" hidden="1"/>
    <row r="3907" customFormat="1" hidden="1"/>
    <row r="3908" customFormat="1" hidden="1"/>
    <row r="3909" customFormat="1" hidden="1"/>
    <row r="3910" customFormat="1" hidden="1"/>
    <row r="3911" customFormat="1" hidden="1"/>
    <row r="3912" customFormat="1" hidden="1"/>
    <row r="3913" customFormat="1" hidden="1"/>
    <row r="3914" customFormat="1" hidden="1"/>
    <row r="3915" customFormat="1" hidden="1"/>
    <row r="3916" customFormat="1" hidden="1"/>
    <row r="3917" customFormat="1" hidden="1"/>
    <row r="3918" customFormat="1" hidden="1"/>
    <row r="3919" customFormat="1" hidden="1"/>
    <row r="3920" customFormat="1" hidden="1"/>
    <row r="3921" customFormat="1" hidden="1"/>
    <row r="3922" customFormat="1" hidden="1"/>
    <row r="3923" customFormat="1" hidden="1"/>
    <row r="3924" customFormat="1" hidden="1"/>
    <row r="3925" customFormat="1" hidden="1"/>
    <row r="3926" customFormat="1" hidden="1"/>
    <row r="3927" customFormat="1" hidden="1"/>
    <row r="3928" customFormat="1" hidden="1"/>
    <row r="3929" customFormat="1" hidden="1"/>
    <row r="3930" customFormat="1" hidden="1"/>
    <row r="3931" customFormat="1" hidden="1"/>
    <row r="3932" customFormat="1" hidden="1"/>
    <row r="3933" customFormat="1" hidden="1"/>
    <row r="3934" customFormat="1" hidden="1"/>
    <row r="3935" customFormat="1" hidden="1"/>
    <row r="3936" customFormat="1" hidden="1"/>
    <row r="3937" customFormat="1" hidden="1"/>
    <row r="3938" customFormat="1" hidden="1"/>
    <row r="3939" customFormat="1" hidden="1"/>
    <row r="3940" customFormat="1" hidden="1"/>
    <row r="3941" customFormat="1" hidden="1"/>
    <row r="3942" customFormat="1" hidden="1"/>
    <row r="3943" customFormat="1" hidden="1"/>
    <row r="3944" customFormat="1" hidden="1"/>
    <row r="3945" customFormat="1" hidden="1"/>
    <row r="3946" customFormat="1" hidden="1"/>
    <row r="3947" customFormat="1" hidden="1"/>
    <row r="3948" customFormat="1" hidden="1"/>
    <row r="3949" customFormat="1" hidden="1"/>
    <row r="3950" customFormat="1" hidden="1"/>
    <row r="3951" customFormat="1" hidden="1"/>
    <row r="3952" customFormat="1" hidden="1"/>
    <row r="3953" customFormat="1" hidden="1"/>
    <row r="3954" customFormat="1" hidden="1"/>
    <row r="3955" customFormat="1" hidden="1"/>
    <row r="3956" customFormat="1" hidden="1"/>
    <row r="3957" customFormat="1" hidden="1"/>
    <row r="3958" customFormat="1" hidden="1"/>
    <row r="3959" customFormat="1" hidden="1"/>
    <row r="3960" customFormat="1" hidden="1"/>
    <row r="3961" customFormat="1" hidden="1"/>
    <row r="3962" customFormat="1" hidden="1"/>
    <row r="3963" customFormat="1" hidden="1"/>
    <row r="3964" customFormat="1" hidden="1"/>
    <row r="3965" customFormat="1" hidden="1"/>
    <row r="3966" customFormat="1" hidden="1"/>
    <row r="3967" customFormat="1" hidden="1"/>
    <row r="3968" customFormat="1" hidden="1"/>
    <row r="3969" customFormat="1" hidden="1"/>
    <row r="3970" customFormat="1" hidden="1"/>
    <row r="3971" customFormat="1" hidden="1"/>
    <row r="3972" customFormat="1" hidden="1"/>
    <row r="3973" customFormat="1" hidden="1"/>
    <row r="3974" customFormat="1" hidden="1"/>
    <row r="3975" customFormat="1" hidden="1"/>
    <row r="3976" customFormat="1" hidden="1"/>
    <row r="3977" customFormat="1" hidden="1"/>
    <row r="3978" customFormat="1" hidden="1"/>
    <row r="3979" customFormat="1" hidden="1"/>
    <row r="3980" customFormat="1" hidden="1"/>
    <row r="3981" customFormat="1" hidden="1"/>
    <row r="3982" customFormat="1" hidden="1"/>
    <row r="3983" customFormat="1" hidden="1"/>
    <row r="3984" customFormat="1" hidden="1"/>
    <row r="3985" customFormat="1" hidden="1"/>
    <row r="3986" customFormat="1" hidden="1"/>
    <row r="3987" customFormat="1" hidden="1"/>
    <row r="3988" customFormat="1" hidden="1"/>
    <row r="3989" customFormat="1" hidden="1"/>
    <row r="3990" customFormat="1" hidden="1"/>
    <row r="3991" customFormat="1" hidden="1"/>
    <row r="3992" customFormat="1" hidden="1"/>
    <row r="3993" customFormat="1" hidden="1"/>
    <row r="3994" customFormat="1" hidden="1"/>
    <row r="3995" customFormat="1" hidden="1"/>
    <row r="3996" customFormat="1" hidden="1"/>
    <row r="3997" customFormat="1" hidden="1"/>
    <row r="3998" customFormat="1" hidden="1"/>
    <row r="3999" customFormat="1" hidden="1"/>
    <row r="4000" customFormat="1" hidden="1"/>
    <row r="4001" customFormat="1" hidden="1"/>
    <row r="4002" customFormat="1" hidden="1"/>
    <row r="4003" customFormat="1" hidden="1"/>
    <row r="4004" customFormat="1" hidden="1"/>
    <row r="4005" customFormat="1" hidden="1"/>
    <row r="4006" customFormat="1" hidden="1"/>
    <row r="4007" customFormat="1" hidden="1"/>
    <row r="4008" customFormat="1" hidden="1"/>
    <row r="4009" customFormat="1" hidden="1"/>
    <row r="4010" customFormat="1" hidden="1"/>
    <row r="4011" customFormat="1" hidden="1"/>
    <row r="4012" customFormat="1" hidden="1"/>
    <row r="4013" customFormat="1" hidden="1"/>
    <row r="4014" customFormat="1" hidden="1"/>
    <row r="4015" customFormat="1" hidden="1"/>
    <row r="4016" customFormat="1" hidden="1"/>
    <row r="4017" customFormat="1" hidden="1"/>
    <row r="4018" customFormat="1" hidden="1"/>
    <row r="4019" customFormat="1" hidden="1"/>
    <row r="4020" customFormat="1" hidden="1"/>
    <row r="4021" customFormat="1" hidden="1"/>
    <row r="4022" customFormat="1" hidden="1"/>
    <row r="4023" customFormat="1" hidden="1"/>
    <row r="4024" customFormat="1" hidden="1"/>
    <row r="4025" customFormat="1" hidden="1"/>
    <row r="4026" customFormat="1" hidden="1"/>
    <row r="4027" customFormat="1" hidden="1"/>
    <row r="4028" customFormat="1" hidden="1"/>
    <row r="4029" customFormat="1" hidden="1"/>
    <row r="4030" customFormat="1" hidden="1"/>
    <row r="4031" customFormat="1" hidden="1"/>
    <row r="4032" customFormat="1" hidden="1"/>
    <row r="4033" customFormat="1" hidden="1"/>
    <row r="4034" customFormat="1" hidden="1"/>
    <row r="4035" customFormat="1" hidden="1"/>
    <row r="4036" customFormat="1" hidden="1"/>
    <row r="4037" customFormat="1" hidden="1"/>
    <row r="4038" customFormat="1" hidden="1"/>
    <row r="4039" customFormat="1" hidden="1"/>
    <row r="4040" customFormat="1" hidden="1"/>
    <row r="4041" customFormat="1" hidden="1"/>
    <row r="4042" customFormat="1" hidden="1"/>
    <row r="4043" customFormat="1" hidden="1"/>
    <row r="4044" customFormat="1" hidden="1"/>
    <row r="4045" customFormat="1" hidden="1"/>
    <row r="4046" customFormat="1" hidden="1"/>
    <row r="4047" customFormat="1" hidden="1"/>
    <row r="4048" customFormat="1" hidden="1"/>
    <row r="4049" customFormat="1" hidden="1"/>
    <row r="4050" customFormat="1" hidden="1"/>
    <row r="4051" customFormat="1" hidden="1"/>
    <row r="4052" customFormat="1" hidden="1"/>
    <row r="4053" customFormat="1" hidden="1"/>
    <row r="4054" customFormat="1" hidden="1"/>
    <row r="4055" customFormat="1" hidden="1"/>
    <row r="4056" customFormat="1" hidden="1"/>
    <row r="4057" customFormat="1" hidden="1"/>
    <row r="4058" customFormat="1" hidden="1"/>
    <row r="4059" customFormat="1" hidden="1"/>
    <row r="4060" customFormat="1" hidden="1"/>
    <row r="4061" customFormat="1" hidden="1"/>
    <row r="4062" customFormat="1" hidden="1"/>
    <row r="4063" customFormat="1" hidden="1"/>
    <row r="4064" customFormat="1" hidden="1"/>
    <row r="4065" customFormat="1" hidden="1"/>
    <row r="4066" customFormat="1" hidden="1"/>
    <row r="4067" customFormat="1" hidden="1"/>
    <row r="4068" customFormat="1" hidden="1"/>
    <row r="4069" customFormat="1" hidden="1"/>
    <row r="4070" customFormat="1" hidden="1"/>
    <row r="4071" customFormat="1" hidden="1"/>
    <row r="4072" customFormat="1" hidden="1"/>
    <row r="4073" customFormat="1" hidden="1"/>
    <row r="4074" customFormat="1" hidden="1"/>
    <row r="4075" customFormat="1" hidden="1"/>
    <row r="4076" customFormat="1" hidden="1"/>
    <row r="4077" customFormat="1" hidden="1"/>
    <row r="4078" customFormat="1" hidden="1"/>
    <row r="4079" customFormat="1" hidden="1"/>
    <row r="4080" customFormat="1" hidden="1"/>
    <row r="4081" customFormat="1" hidden="1"/>
    <row r="4082" customFormat="1" hidden="1"/>
    <row r="4083" customFormat="1" hidden="1"/>
    <row r="4084" customFormat="1" hidden="1"/>
    <row r="4085" customFormat="1" hidden="1"/>
    <row r="4086" customFormat="1" hidden="1"/>
    <row r="4087" customFormat="1" hidden="1"/>
    <row r="4088" customFormat="1" hidden="1"/>
    <row r="4089" customFormat="1" hidden="1"/>
    <row r="4090" customFormat="1" hidden="1"/>
    <row r="4091" customFormat="1" hidden="1"/>
    <row r="4092" customFormat="1" hidden="1"/>
    <row r="4093" customFormat="1" hidden="1"/>
    <row r="4094" customFormat="1" hidden="1"/>
    <row r="4095" customFormat="1" hidden="1"/>
    <row r="4096" customFormat="1" hidden="1"/>
    <row r="4097" customFormat="1" hidden="1"/>
    <row r="4098" customFormat="1" hidden="1"/>
    <row r="4099" customFormat="1" hidden="1"/>
    <row r="4100" customFormat="1" hidden="1"/>
    <row r="4101" customFormat="1" hidden="1"/>
    <row r="4102" customFormat="1" hidden="1"/>
    <row r="4103" customFormat="1" hidden="1"/>
    <row r="4104" customFormat="1" hidden="1"/>
    <row r="4105" customFormat="1" hidden="1"/>
    <row r="4106" customFormat="1" hidden="1"/>
    <row r="4107" customFormat="1" hidden="1"/>
    <row r="4108" customFormat="1" hidden="1"/>
    <row r="4109" customFormat="1" hidden="1"/>
    <row r="4110" customFormat="1" hidden="1"/>
    <row r="4111" customFormat="1" hidden="1"/>
    <row r="4112" customFormat="1" hidden="1"/>
    <row r="4113" customFormat="1" hidden="1"/>
    <row r="4114" customFormat="1" hidden="1"/>
    <row r="4115" customFormat="1" hidden="1"/>
    <row r="4116" customFormat="1" hidden="1"/>
    <row r="4117" customFormat="1" hidden="1"/>
    <row r="4118" customFormat="1" hidden="1"/>
    <row r="4119" customFormat="1" hidden="1"/>
    <row r="4120" customFormat="1" hidden="1"/>
    <row r="4121" customFormat="1" hidden="1"/>
    <row r="4122" customFormat="1" hidden="1"/>
    <row r="4123" customFormat="1" hidden="1"/>
    <row r="4124" customFormat="1" hidden="1"/>
    <row r="4125" customFormat="1" hidden="1"/>
    <row r="4126" customFormat="1" hidden="1"/>
    <row r="4127" customFormat="1" hidden="1"/>
    <row r="4128" customFormat="1" hidden="1"/>
    <row r="4129" customFormat="1" hidden="1"/>
    <row r="4130" customFormat="1" hidden="1"/>
    <row r="4131" customFormat="1" hidden="1"/>
    <row r="4132" customFormat="1" hidden="1"/>
    <row r="4133" customFormat="1" hidden="1"/>
    <row r="4134" customFormat="1" hidden="1"/>
    <row r="4135" customFormat="1" hidden="1"/>
    <row r="4136" customFormat="1" hidden="1"/>
    <row r="4137" customFormat="1" hidden="1"/>
    <row r="4138" customFormat="1" hidden="1"/>
    <row r="4139" customFormat="1" hidden="1"/>
    <row r="4140" customFormat="1" hidden="1"/>
    <row r="4141" customFormat="1" hidden="1"/>
    <row r="4142" customFormat="1" hidden="1"/>
    <row r="4143" customFormat="1" hidden="1"/>
    <row r="4144" customFormat="1" hidden="1"/>
    <row r="4145" customFormat="1" hidden="1"/>
    <row r="4146" customFormat="1" hidden="1"/>
    <row r="4147" customFormat="1" hidden="1"/>
    <row r="4148" customFormat="1" hidden="1"/>
    <row r="4149" customFormat="1" hidden="1"/>
    <row r="4150" customFormat="1" hidden="1"/>
    <row r="4151" customFormat="1" hidden="1"/>
    <row r="4152" customFormat="1" hidden="1"/>
    <row r="4153" customFormat="1" hidden="1"/>
    <row r="4154" customFormat="1" hidden="1"/>
    <row r="4155" customFormat="1" hidden="1"/>
    <row r="4156" customFormat="1" hidden="1"/>
    <row r="4157" customFormat="1" hidden="1"/>
    <row r="4158" customFormat="1" hidden="1"/>
    <row r="4159" customFormat="1" hidden="1"/>
    <row r="4160" customFormat="1" hidden="1"/>
    <row r="4161" customFormat="1" hidden="1"/>
    <row r="4162" customFormat="1" hidden="1"/>
    <row r="4163" customFormat="1" hidden="1"/>
    <row r="4164" customFormat="1" hidden="1"/>
    <row r="4165" customFormat="1" hidden="1"/>
    <row r="4166" customFormat="1" hidden="1"/>
    <row r="4167" customFormat="1" hidden="1"/>
    <row r="4168" customFormat="1" hidden="1"/>
    <row r="4169" customFormat="1" hidden="1"/>
    <row r="4170" customFormat="1" hidden="1"/>
    <row r="4171" customFormat="1" hidden="1"/>
    <row r="4172" customFormat="1" hidden="1"/>
    <row r="4173" customFormat="1" hidden="1"/>
    <row r="4174" customFormat="1" hidden="1"/>
    <row r="4175" customFormat="1" hidden="1"/>
    <row r="4176" customFormat="1" hidden="1"/>
    <row r="4177" customFormat="1" hidden="1"/>
    <row r="4178" customFormat="1" hidden="1"/>
    <row r="4179" customFormat="1" hidden="1"/>
    <row r="4180" customFormat="1" hidden="1"/>
    <row r="4181" customFormat="1" hidden="1"/>
    <row r="4182" customFormat="1" hidden="1"/>
    <row r="4183" customFormat="1" hidden="1"/>
    <row r="4184" customFormat="1" hidden="1"/>
    <row r="4185" customFormat="1" hidden="1"/>
    <row r="4186" customFormat="1" hidden="1"/>
    <row r="4187" customFormat="1" hidden="1"/>
    <row r="4188" customFormat="1" hidden="1"/>
    <row r="4189" customFormat="1" hidden="1"/>
    <row r="4190" customFormat="1" hidden="1"/>
    <row r="4191" customFormat="1" hidden="1"/>
    <row r="4192" customFormat="1" hidden="1"/>
    <row r="4193" customFormat="1" hidden="1"/>
    <row r="4194" customFormat="1" hidden="1"/>
    <row r="4195" customFormat="1" hidden="1"/>
    <row r="4196" customFormat="1" hidden="1"/>
    <row r="4197" customFormat="1" hidden="1"/>
    <row r="4198" customFormat="1" hidden="1"/>
    <row r="4199" customFormat="1" hidden="1"/>
    <row r="4200" customFormat="1" hidden="1"/>
    <row r="4201" customFormat="1" hidden="1"/>
    <row r="4202" customFormat="1" hidden="1"/>
    <row r="4203" customFormat="1" hidden="1"/>
    <row r="4204" customFormat="1" hidden="1"/>
    <row r="4205" customFormat="1" hidden="1"/>
    <row r="4206" customFormat="1" hidden="1"/>
    <row r="4207" customFormat="1" hidden="1"/>
    <row r="4208" customFormat="1" hidden="1"/>
    <row r="4209" customFormat="1" hidden="1"/>
    <row r="4210" customFormat="1" hidden="1"/>
    <row r="4211" customFormat="1" hidden="1"/>
    <row r="4212" customFormat="1" hidden="1"/>
    <row r="4213" customFormat="1" hidden="1"/>
    <row r="4214" customFormat="1" hidden="1"/>
    <row r="4215" customFormat="1" hidden="1"/>
    <row r="4216" customFormat="1" hidden="1"/>
    <row r="4217" customFormat="1" hidden="1"/>
    <row r="4218" customFormat="1" hidden="1"/>
    <row r="4219" customFormat="1" hidden="1"/>
    <row r="4220" customFormat="1" hidden="1"/>
    <row r="4221" customFormat="1" hidden="1"/>
    <row r="4222" customFormat="1" hidden="1"/>
    <row r="4223" customFormat="1" hidden="1"/>
    <row r="4224" customFormat="1" hidden="1"/>
    <row r="4225" customFormat="1" hidden="1"/>
    <row r="4226" customFormat="1" hidden="1"/>
    <row r="4227" customFormat="1" hidden="1"/>
    <row r="4228" customFormat="1" hidden="1"/>
    <row r="4229" customFormat="1" hidden="1"/>
    <row r="4230" customFormat="1" hidden="1"/>
    <row r="4231" customFormat="1" hidden="1"/>
    <row r="4232" customFormat="1" hidden="1"/>
    <row r="4233" customFormat="1" hidden="1"/>
    <row r="4234" customFormat="1" hidden="1"/>
    <row r="4235" customFormat="1" hidden="1"/>
    <row r="4236" customFormat="1" hidden="1"/>
    <row r="4237" customFormat="1" hidden="1"/>
    <row r="4238" customFormat="1" hidden="1"/>
    <row r="4239" customFormat="1" hidden="1"/>
    <row r="4240" customFormat="1" hidden="1"/>
    <row r="4241" customFormat="1" hidden="1"/>
    <row r="4242" customFormat="1" hidden="1"/>
    <row r="4243" customFormat="1" hidden="1"/>
    <row r="4244" customFormat="1" hidden="1"/>
    <row r="4245" customFormat="1" hidden="1"/>
    <row r="4246" customFormat="1" hidden="1"/>
    <row r="4247" customFormat="1" hidden="1"/>
    <row r="4248" customFormat="1" hidden="1"/>
    <row r="4249" customFormat="1" hidden="1"/>
    <row r="4250" customFormat="1" hidden="1"/>
    <row r="4251" customFormat="1" hidden="1"/>
    <row r="4252" customFormat="1" hidden="1"/>
    <row r="4253" customFormat="1" hidden="1"/>
    <row r="4254" customFormat="1" hidden="1"/>
    <row r="4255" customFormat="1" hidden="1"/>
    <row r="4256" customFormat="1" hidden="1"/>
    <row r="4257" customFormat="1" hidden="1"/>
    <row r="4258" customFormat="1" hidden="1"/>
    <row r="4259" customFormat="1" hidden="1"/>
    <row r="4260" customFormat="1" hidden="1"/>
    <row r="4261" customFormat="1" hidden="1"/>
    <row r="4262" customFormat="1" hidden="1"/>
    <row r="4263" customFormat="1" hidden="1"/>
    <row r="4264" customFormat="1" hidden="1"/>
    <row r="4265" customFormat="1" hidden="1"/>
    <row r="4266" customFormat="1" hidden="1"/>
    <row r="4267" customFormat="1" hidden="1"/>
    <row r="4268" customFormat="1" hidden="1"/>
    <row r="4269" customFormat="1" hidden="1"/>
    <row r="4270" customFormat="1" hidden="1"/>
    <row r="4271" customFormat="1" hidden="1"/>
    <row r="4272" customFormat="1" hidden="1"/>
    <row r="4273" customFormat="1" hidden="1"/>
    <row r="4274" customFormat="1" hidden="1"/>
    <row r="4275" customFormat="1" hidden="1"/>
    <row r="4276" customFormat="1" hidden="1"/>
    <row r="4277" customFormat="1" hidden="1"/>
    <row r="4278" customFormat="1" hidden="1"/>
    <row r="4279" customFormat="1" hidden="1"/>
    <row r="4280" customFormat="1" hidden="1"/>
    <row r="4281" customFormat="1" hidden="1"/>
    <row r="4282" customFormat="1" hidden="1"/>
    <row r="4283" customFormat="1" hidden="1"/>
    <row r="4284" customFormat="1" hidden="1"/>
    <row r="4285" customFormat="1" hidden="1"/>
    <row r="4286" customFormat="1" hidden="1"/>
    <row r="4287" customFormat="1" hidden="1"/>
    <row r="4288" customFormat="1" hidden="1"/>
    <row r="4289" customFormat="1" hidden="1"/>
    <row r="4290" customFormat="1" hidden="1"/>
    <row r="4291" customFormat="1" hidden="1"/>
    <row r="4292" customFormat="1" hidden="1"/>
    <row r="4293" customFormat="1" hidden="1"/>
    <row r="4294" customFormat="1" hidden="1"/>
    <row r="4295" customFormat="1" hidden="1"/>
    <row r="4296" customFormat="1" hidden="1"/>
    <row r="4297" customFormat="1" hidden="1"/>
    <row r="4298" customFormat="1" hidden="1"/>
    <row r="4299" customFormat="1" hidden="1"/>
    <row r="4300" customFormat="1" hidden="1"/>
    <row r="4301" customFormat="1" hidden="1"/>
    <row r="4302" customFormat="1" hidden="1"/>
    <row r="4303" customFormat="1" hidden="1"/>
    <row r="4304" customFormat="1" hidden="1"/>
    <row r="4305" customFormat="1" hidden="1"/>
    <row r="4306" customFormat="1" hidden="1"/>
    <row r="4307" customFormat="1" hidden="1"/>
    <row r="4308" customFormat="1" hidden="1"/>
    <row r="4309" customFormat="1" hidden="1"/>
    <row r="4310" customFormat="1" hidden="1"/>
    <row r="4311" customFormat="1" hidden="1"/>
    <row r="4312" customFormat="1" hidden="1"/>
    <row r="4313" customFormat="1" hidden="1"/>
    <row r="4314" customFormat="1" hidden="1"/>
    <row r="4315" customFormat="1" hidden="1"/>
    <row r="4316" customFormat="1" hidden="1"/>
    <row r="4317" customFormat="1" hidden="1"/>
    <row r="4318" customFormat="1" hidden="1"/>
    <row r="4319" customFormat="1" hidden="1"/>
    <row r="4320" customFormat="1" hidden="1"/>
    <row r="4321" customFormat="1" hidden="1"/>
    <row r="4322" customFormat="1" hidden="1"/>
    <row r="4323" customFormat="1" hidden="1"/>
    <row r="4324" customFormat="1" hidden="1"/>
    <row r="4325" customFormat="1" hidden="1"/>
    <row r="4326" customFormat="1" hidden="1"/>
    <row r="4327" customFormat="1" hidden="1"/>
    <row r="4328" customFormat="1" hidden="1"/>
    <row r="4329" customFormat="1" hidden="1"/>
    <row r="4330" customFormat="1" hidden="1"/>
    <row r="4331" customFormat="1" hidden="1"/>
    <row r="4332" customFormat="1" hidden="1"/>
    <row r="4333" customFormat="1" hidden="1"/>
    <row r="4334" customFormat="1" hidden="1"/>
    <row r="4335" customFormat="1" hidden="1"/>
    <row r="4336" customFormat="1" hidden="1"/>
    <row r="4337" customFormat="1" hidden="1"/>
    <row r="4338" customFormat="1" hidden="1"/>
    <row r="4339" customFormat="1" hidden="1"/>
    <row r="4340" customFormat="1" hidden="1"/>
    <row r="4341" customFormat="1" hidden="1"/>
    <row r="4342" customFormat="1" hidden="1"/>
    <row r="4343" customFormat="1" hidden="1"/>
    <row r="4344" customFormat="1" hidden="1"/>
    <row r="4345" customFormat="1" hidden="1"/>
    <row r="4346" customFormat="1" hidden="1"/>
    <row r="4347" customFormat="1" hidden="1"/>
    <row r="4348" customFormat="1" hidden="1"/>
    <row r="4349" customFormat="1" hidden="1"/>
    <row r="4350" customFormat="1" hidden="1"/>
    <row r="4351" customFormat="1" hidden="1"/>
    <row r="4352" customFormat="1" hidden="1"/>
    <row r="4353" customFormat="1" hidden="1"/>
    <row r="4354" customFormat="1" hidden="1"/>
    <row r="4355" customFormat="1" hidden="1"/>
    <row r="4356" customFormat="1" hidden="1"/>
    <row r="4357" customFormat="1" hidden="1"/>
    <row r="4358" customFormat="1" hidden="1"/>
    <row r="4359" customFormat="1" hidden="1"/>
    <row r="4360" customFormat="1" hidden="1"/>
    <row r="4361" customFormat="1" hidden="1"/>
    <row r="4362" customFormat="1" hidden="1"/>
    <row r="4363" customFormat="1" hidden="1"/>
    <row r="4364" customFormat="1" hidden="1"/>
    <row r="4365" customFormat="1" hidden="1"/>
    <row r="4366" customFormat="1" hidden="1"/>
    <row r="4367" customFormat="1" hidden="1"/>
    <row r="4368" customFormat="1" hidden="1"/>
    <row r="4369" customFormat="1" hidden="1"/>
    <row r="4370" customFormat="1" hidden="1"/>
    <row r="4371" customFormat="1" hidden="1"/>
    <row r="4372" customFormat="1" hidden="1"/>
    <row r="4373" customFormat="1" hidden="1"/>
    <row r="4374" customFormat="1" hidden="1"/>
    <row r="4375" customFormat="1" hidden="1"/>
    <row r="4376" customFormat="1" hidden="1"/>
    <row r="4377" customFormat="1" hidden="1"/>
    <row r="4378" customFormat="1" hidden="1"/>
    <row r="4379" customFormat="1" hidden="1"/>
    <row r="4380" customFormat="1" hidden="1"/>
    <row r="4381" customFormat="1" hidden="1"/>
    <row r="4382" customFormat="1" hidden="1"/>
    <row r="4383" customFormat="1" hidden="1"/>
    <row r="4384" customFormat="1" hidden="1"/>
    <row r="4385" customFormat="1" hidden="1"/>
    <row r="4386" customFormat="1" hidden="1"/>
    <row r="4387" customFormat="1" hidden="1"/>
    <row r="4388" customFormat="1" hidden="1"/>
    <row r="4389" customFormat="1" hidden="1"/>
    <row r="4390" customFormat="1" hidden="1"/>
    <row r="4391" customFormat="1" hidden="1"/>
    <row r="4392" customFormat="1" hidden="1"/>
    <row r="4393" customFormat="1" hidden="1"/>
    <row r="4394" customFormat="1" hidden="1"/>
    <row r="4395" customFormat="1" hidden="1"/>
    <row r="4396" customFormat="1" hidden="1"/>
    <row r="4397" customFormat="1" hidden="1"/>
    <row r="4398" customFormat="1" hidden="1"/>
    <row r="4399" customFormat="1" hidden="1"/>
    <row r="4400" customFormat="1" hidden="1"/>
    <row r="4401" customFormat="1" hidden="1"/>
    <row r="4402" customFormat="1" hidden="1"/>
    <row r="4403" customFormat="1" hidden="1"/>
    <row r="4404" customFormat="1" hidden="1"/>
    <row r="4405" customFormat="1" hidden="1"/>
    <row r="4406" customFormat="1" hidden="1"/>
    <row r="4407" customFormat="1" hidden="1"/>
    <row r="4408" customFormat="1" hidden="1"/>
    <row r="4409" customFormat="1" hidden="1"/>
    <row r="4410" customFormat="1" hidden="1"/>
    <row r="4411" customFormat="1" hidden="1"/>
    <row r="4412" customFormat="1" hidden="1"/>
    <row r="4413" customFormat="1" hidden="1"/>
    <row r="4414" customFormat="1" hidden="1"/>
    <row r="4415" customFormat="1" hidden="1"/>
    <row r="4416" customFormat="1" hidden="1"/>
    <row r="4417" customFormat="1" hidden="1"/>
    <row r="4418" customFormat="1" hidden="1"/>
    <row r="4419" customFormat="1" hidden="1"/>
    <row r="4420" customFormat="1" hidden="1"/>
    <row r="4421" customFormat="1" hidden="1"/>
    <row r="4422" customFormat="1" hidden="1"/>
    <row r="4423" customFormat="1" hidden="1"/>
    <row r="4424" customFormat="1" hidden="1"/>
    <row r="4425" customFormat="1" hidden="1"/>
    <row r="4426" customFormat="1" hidden="1"/>
    <row r="4427" customFormat="1" hidden="1"/>
    <row r="4428" customFormat="1" hidden="1"/>
    <row r="4429" customFormat="1" hidden="1"/>
    <row r="4430" customFormat="1" hidden="1"/>
    <row r="4431" customFormat="1" hidden="1"/>
    <row r="4432" customFormat="1" hidden="1"/>
    <row r="4433" customFormat="1" hidden="1"/>
    <row r="4434" customFormat="1" hidden="1"/>
    <row r="4435" customFormat="1" hidden="1"/>
    <row r="4436" customFormat="1" hidden="1"/>
    <row r="4437" customFormat="1" hidden="1"/>
    <row r="4438" customFormat="1" hidden="1"/>
    <row r="4439" customFormat="1" hidden="1"/>
    <row r="4440" customFormat="1" hidden="1"/>
    <row r="4441" customFormat="1" hidden="1"/>
    <row r="4442" customFormat="1" hidden="1"/>
    <row r="4443" customFormat="1" hidden="1"/>
    <row r="4444" customFormat="1" hidden="1"/>
    <row r="4445" customFormat="1" hidden="1"/>
    <row r="4446" customFormat="1" hidden="1"/>
    <row r="4447" customFormat="1" hidden="1"/>
    <row r="4448" customFormat="1" hidden="1"/>
    <row r="4449" customFormat="1" hidden="1"/>
    <row r="4450" customFormat="1" hidden="1"/>
    <row r="4451" customFormat="1" hidden="1"/>
    <row r="4452" customFormat="1" hidden="1"/>
    <row r="4453" customFormat="1" hidden="1"/>
    <row r="4454" customFormat="1" hidden="1"/>
    <row r="4455" customFormat="1" hidden="1"/>
    <row r="4456" customFormat="1" hidden="1"/>
    <row r="4457" customFormat="1" hidden="1"/>
    <row r="4458" customFormat="1" hidden="1"/>
    <row r="4459" customFormat="1" hidden="1"/>
    <row r="4460" customFormat="1" hidden="1"/>
    <row r="4461" customFormat="1" hidden="1"/>
    <row r="4462" customFormat="1" hidden="1"/>
    <row r="4463" customFormat="1" hidden="1"/>
    <row r="4464" customFormat="1" hidden="1"/>
    <row r="4465" customFormat="1" hidden="1"/>
    <row r="4466" customFormat="1" hidden="1"/>
    <row r="4467" customFormat="1" hidden="1"/>
    <row r="4468" customFormat="1" hidden="1"/>
    <row r="4469" customFormat="1" hidden="1"/>
    <row r="4470" customFormat="1" hidden="1"/>
    <row r="4471" customFormat="1" hidden="1"/>
    <row r="4472" customFormat="1" hidden="1"/>
    <row r="4473" customFormat="1" hidden="1"/>
    <row r="4474" customFormat="1" hidden="1"/>
    <row r="4475" customFormat="1" hidden="1"/>
    <row r="4476" customFormat="1" hidden="1"/>
    <row r="4477" customFormat="1" hidden="1"/>
    <row r="4478" customFormat="1" hidden="1"/>
    <row r="4479" customFormat="1" hidden="1"/>
    <row r="4480" customFormat="1" hidden="1"/>
    <row r="4481" customFormat="1" hidden="1"/>
    <row r="4482" customFormat="1" hidden="1"/>
    <row r="4483" customFormat="1" hidden="1"/>
    <row r="4484" customFormat="1" hidden="1"/>
    <row r="4485" customFormat="1" hidden="1"/>
    <row r="4486" customFormat="1" hidden="1"/>
    <row r="4487" customFormat="1" hidden="1"/>
    <row r="4488" customFormat="1" hidden="1"/>
    <row r="4489" customFormat="1" hidden="1"/>
    <row r="4490" customFormat="1" hidden="1"/>
    <row r="4491" customFormat="1" hidden="1"/>
    <row r="4492" customFormat="1" hidden="1"/>
    <row r="4493" customFormat="1" hidden="1"/>
    <row r="4494" customFormat="1" hidden="1"/>
    <row r="4495" customFormat="1" hidden="1"/>
    <row r="4496" customFormat="1" hidden="1"/>
    <row r="4497" customFormat="1" hidden="1"/>
    <row r="4498" customFormat="1" hidden="1"/>
    <row r="4499" customFormat="1" hidden="1"/>
    <row r="4500" customFormat="1" hidden="1"/>
    <row r="4501" customFormat="1" hidden="1"/>
    <row r="4502" customFormat="1" hidden="1"/>
    <row r="4503" customFormat="1" hidden="1"/>
    <row r="4504" customFormat="1" hidden="1"/>
    <row r="4505" customFormat="1" hidden="1"/>
    <row r="4506" customFormat="1" hidden="1"/>
    <row r="4507" customFormat="1" hidden="1"/>
    <row r="4508" customFormat="1" hidden="1"/>
    <row r="4509" customFormat="1" hidden="1"/>
    <row r="4510" customFormat="1" hidden="1"/>
    <row r="4511" customFormat="1" hidden="1"/>
    <row r="4512" customFormat="1" hidden="1"/>
    <row r="4513" customFormat="1" hidden="1"/>
    <row r="4514" customFormat="1" hidden="1"/>
    <row r="4515" customFormat="1" hidden="1"/>
    <row r="4516" customFormat="1" hidden="1"/>
    <row r="4517" customFormat="1" hidden="1"/>
    <row r="4518" customFormat="1" hidden="1"/>
    <row r="4519" customFormat="1" hidden="1"/>
    <row r="4520" customFormat="1" hidden="1"/>
    <row r="4521" customFormat="1" hidden="1"/>
    <row r="4522" customFormat="1" hidden="1"/>
    <row r="4523" customFormat="1" hidden="1"/>
    <row r="4524" customFormat="1" hidden="1"/>
    <row r="4525" customFormat="1" hidden="1"/>
    <row r="4526" customFormat="1" hidden="1"/>
    <row r="4527" customFormat="1" hidden="1"/>
    <row r="4528" customFormat="1" hidden="1"/>
    <row r="4529" customFormat="1" hidden="1"/>
    <row r="4530" customFormat="1" hidden="1"/>
    <row r="4531" customFormat="1" hidden="1"/>
    <row r="4532" customFormat="1" hidden="1"/>
    <row r="4533" customFormat="1" hidden="1"/>
    <row r="4534" customFormat="1" hidden="1"/>
    <row r="4535" customFormat="1" hidden="1"/>
    <row r="4536" customFormat="1" hidden="1"/>
    <row r="4537" customFormat="1" hidden="1"/>
    <row r="4538" customFormat="1" hidden="1"/>
    <row r="4539" customFormat="1" hidden="1"/>
    <row r="4540" customFormat="1" hidden="1"/>
    <row r="4541" customFormat="1" hidden="1"/>
    <row r="4542" customFormat="1" hidden="1"/>
    <row r="4543" customFormat="1" hidden="1"/>
    <row r="4544" customFormat="1" hidden="1"/>
    <row r="4545" customFormat="1" hidden="1"/>
    <row r="4546" customFormat="1" hidden="1"/>
    <row r="4547" customFormat="1" hidden="1"/>
    <row r="4548" customFormat="1" hidden="1"/>
    <row r="4549" customFormat="1" hidden="1"/>
    <row r="4550" customFormat="1" hidden="1"/>
    <row r="4551" customFormat="1" hidden="1"/>
    <row r="4552" customFormat="1" hidden="1"/>
    <row r="4553" customFormat="1" hidden="1"/>
    <row r="4554" customFormat="1" hidden="1"/>
    <row r="4555" customFormat="1" hidden="1"/>
    <row r="4556" customFormat="1" hidden="1"/>
    <row r="4557" customFormat="1" hidden="1"/>
    <row r="4558" customFormat="1" hidden="1"/>
    <row r="4559" customFormat="1" hidden="1"/>
    <row r="4560" customFormat="1" hidden="1"/>
    <row r="4561" customFormat="1" hidden="1"/>
    <row r="4562" customFormat="1" hidden="1"/>
    <row r="4563" customFormat="1" hidden="1"/>
    <row r="4564" customFormat="1" hidden="1"/>
    <row r="4565" customFormat="1" hidden="1"/>
    <row r="4566" customFormat="1" hidden="1"/>
    <row r="4567" customFormat="1" hidden="1"/>
    <row r="4568" customFormat="1" hidden="1"/>
    <row r="4569" customFormat="1" hidden="1"/>
    <row r="4570" customFormat="1" hidden="1"/>
    <row r="4571" customFormat="1" hidden="1"/>
    <row r="4572" customFormat="1" hidden="1"/>
    <row r="4573" customFormat="1" hidden="1"/>
    <row r="4574" customFormat="1" hidden="1"/>
    <row r="4575" customFormat="1" hidden="1"/>
    <row r="4576" customFormat="1" hidden="1"/>
    <row r="4577" customFormat="1" hidden="1"/>
    <row r="4578" customFormat="1" hidden="1"/>
    <row r="4579" customFormat="1" hidden="1"/>
    <row r="4580" customFormat="1" hidden="1"/>
    <row r="4581" customFormat="1" hidden="1"/>
    <row r="4582" customFormat="1" hidden="1"/>
    <row r="4583" customFormat="1" hidden="1"/>
    <row r="4584" customFormat="1" hidden="1"/>
    <row r="4585" customFormat="1" hidden="1"/>
    <row r="4586" customFormat="1" hidden="1"/>
    <row r="4587" customFormat="1" hidden="1"/>
    <row r="4588" customFormat="1" hidden="1"/>
    <row r="4589" customFormat="1" hidden="1"/>
    <row r="4590" customFormat="1" hidden="1"/>
    <row r="4591" customFormat="1" hidden="1"/>
    <row r="4592" customFormat="1" hidden="1"/>
    <row r="4593" customFormat="1" hidden="1"/>
    <row r="4594" customFormat="1" hidden="1"/>
    <row r="4595" customFormat="1" hidden="1"/>
    <row r="4596" customFormat="1" hidden="1"/>
    <row r="4597" customFormat="1" hidden="1"/>
    <row r="4598" customFormat="1" hidden="1"/>
    <row r="4599" customFormat="1" hidden="1"/>
    <row r="4600" customFormat="1" hidden="1"/>
    <row r="4601" customFormat="1" hidden="1"/>
    <row r="4602" customFormat="1" hidden="1"/>
    <row r="4603" customFormat="1" hidden="1"/>
    <row r="4604" customFormat="1" hidden="1"/>
    <row r="4605" customFormat="1" hidden="1"/>
    <row r="4606" customFormat="1" hidden="1"/>
    <row r="4607" customFormat="1" hidden="1"/>
    <row r="4608" customFormat="1" hidden="1"/>
    <row r="4609" customFormat="1" hidden="1"/>
    <row r="4610" customFormat="1" hidden="1"/>
    <row r="4611" customFormat="1" hidden="1"/>
    <row r="4612" customFormat="1" hidden="1"/>
    <row r="4613" customFormat="1" hidden="1"/>
    <row r="4614" customFormat="1" hidden="1"/>
    <row r="4615" customFormat="1" hidden="1"/>
    <row r="4616" customFormat="1" hidden="1"/>
    <row r="4617" customFormat="1" hidden="1"/>
    <row r="4618" customFormat="1" hidden="1"/>
    <row r="4619" customFormat="1" hidden="1"/>
    <row r="4620" customFormat="1" hidden="1"/>
    <row r="4621" customFormat="1" hidden="1"/>
    <row r="4622" customFormat="1" hidden="1"/>
    <row r="4623" customFormat="1" hidden="1"/>
    <row r="4624" customFormat="1" hidden="1"/>
    <row r="4625" customFormat="1" hidden="1"/>
    <row r="4626" customFormat="1" hidden="1"/>
    <row r="4627" customFormat="1" hidden="1"/>
    <row r="4628" customFormat="1" hidden="1"/>
    <row r="4629" customFormat="1" hidden="1"/>
    <row r="4630" customFormat="1" hidden="1"/>
    <row r="4631" customFormat="1" hidden="1"/>
    <row r="4632" customFormat="1" hidden="1"/>
    <row r="4633" customFormat="1" hidden="1"/>
    <row r="4634" customFormat="1" hidden="1"/>
    <row r="4635" customFormat="1" hidden="1"/>
    <row r="4636" customFormat="1" hidden="1"/>
    <row r="4637" customFormat="1" hidden="1"/>
    <row r="4638" customFormat="1" hidden="1"/>
    <row r="4639" customFormat="1" hidden="1"/>
    <row r="4640" customFormat="1" hidden="1"/>
    <row r="4641" customFormat="1" hidden="1"/>
    <row r="4642" customFormat="1" hidden="1"/>
    <row r="4643" customFormat="1" hidden="1"/>
    <row r="4644" customFormat="1" hidden="1"/>
    <row r="4645" customFormat="1" hidden="1"/>
    <row r="4646" customFormat="1" hidden="1"/>
    <row r="4647" customFormat="1" hidden="1"/>
    <row r="4648" customFormat="1" hidden="1"/>
    <row r="4649" customFormat="1" hidden="1"/>
    <row r="4650" customFormat="1" hidden="1"/>
    <row r="4651" customFormat="1" hidden="1"/>
    <row r="4652" customFormat="1" hidden="1"/>
    <row r="4653" customFormat="1" hidden="1"/>
    <row r="4654" customFormat="1" hidden="1"/>
    <row r="4655" customFormat="1" hidden="1"/>
    <row r="4656" customFormat="1" hidden="1"/>
    <row r="4657" customFormat="1" hidden="1"/>
    <row r="4658" customFormat="1" hidden="1"/>
    <row r="4659" customFormat="1" hidden="1"/>
    <row r="4660" customFormat="1" hidden="1"/>
    <row r="4661" customFormat="1" hidden="1"/>
    <row r="4662" customFormat="1" hidden="1"/>
    <row r="4663" customFormat="1" hidden="1"/>
    <row r="4664" customFormat="1" hidden="1"/>
    <row r="4665" customFormat="1" hidden="1"/>
    <row r="4666" customFormat="1" hidden="1"/>
    <row r="4667" customFormat="1" hidden="1"/>
    <row r="4668" customFormat="1" hidden="1"/>
    <row r="4669" customFormat="1" hidden="1"/>
    <row r="4670" customFormat="1" hidden="1"/>
    <row r="4671" customFormat="1" hidden="1"/>
    <row r="4672" customFormat="1" hidden="1"/>
    <row r="4673" customFormat="1" hidden="1"/>
    <row r="4674" customFormat="1" hidden="1"/>
    <row r="4675" customFormat="1" hidden="1"/>
    <row r="4676" customFormat="1" hidden="1"/>
    <row r="4677" customFormat="1" hidden="1"/>
    <row r="4678" customFormat="1" hidden="1"/>
    <row r="4679" customFormat="1" hidden="1"/>
    <row r="4680" customFormat="1" hidden="1"/>
    <row r="4681" customFormat="1" hidden="1"/>
    <row r="4682" customFormat="1" hidden="1"/>
    <row r="4683" customFormat="1" hidden="1"/>
    <row r="4684" customFormat="1" hidden="1"/>
    <row r="4685" customFormat="1" hidden="1"/>
    <row r="4686" customFormat="1" hidden="1"/>
    <row r="4687" customFormat="1" hidden="1"/>
    <row r="4688" customFormat="1" hidden="1"/>
    <row r="4689" customFormat="1" hidden="1"/>
    <row r="4690" customFormat="1" hidden="1"/>
    <row r="4691" customFormat="1" hidden="1"/>
    <row r="4692" customFormat="1" hidden="1"/>
    <row r="4693" customFormat="1" hidden="1"/>
    <row r="4694" customFormat="1" hidden="1"/>
    <row r="4695" customFormat="1" hidden="1"/>
    <row r="4696" customFormat="1" hidden="1"/>
    <row r="4697" customFormat="1" hidden="1"/>
    <row r="4698" customFormat="1" hidden="1"/>
    <row r="4699" customFormat="1" hidden="1"/>
    <row r="4700" customFormat="1" hidden="1"/>
    <row r="4701" customFormat="1" hidden="1"/>
    <row r="4702" customFormat="1" hidden="1"/>
    <row r="4703" customFormat="1" hidden="1"/>
    <row r="4704" customFormat="1" hidden="1"/>
    <row r="4705" customFormat="1" hidden="1"/>
    <row r="4706" customFormat="1" hidden="1"/>
    <row r="4707" customFormat="1" hidden="1"/>
    <row r="4708" customFormat="1" hidden="1"/>
    <row r="4709" customFormat="1" hidden="1"/>
    <row r="4710" customFormat="1" hidden="1"/>
    <row r="4711" customFormat="1" hidden="1"/>
    <row r="4712" customFormat="1" hidden="1"/>
    <row r="4713" customFormat="1" hidden="1"/>
    <row r="4714" customFormat="1" hidden="1"/>
    <row r="4715" customFormat="1" hidden="1"/>
    <row r="4716" customFormat="1" hidden="1"/>
    <row r="4717" customFormat="1" hidden="1"/>
    <row r="4718" customFormat="1" hidden="1"/>
    <row r="4719" customFormat="1" hidden="1"/>
    <row r="4720" customFormat="1" hidden="1"/>
    <row r="4721" customFormat="1" hidden="1"/>
    <row r="4722" customFormat="1" hidden="1"/>
    <row r="4723" customFormat="1" hidden="1"/>
    <row r="4724" customFormat="1" hidden="1"/>
    <row r="4725" customFormat="1" hidden="1"/>
    <row r="4726" customFormat="1" hidden="1"/>
    <row r="4727" customFormat="1" hidden="1"/>
    <row r="4728" customFormat="1" hidden="1"/>
    <row r="4729" customFormat="1" hidden="1"/>
    <row r="4730" customFormat="1" hidden="1"/>
    <row r="4731" customFormat="1" hidden="1"/>
    <row r="4732" customFormat="1" hidden="1"/>
    <row r="4733" customFormat="1" hidden="1"/>
    <row r="4734" customFormat="1" hidden="1"/>
    <row r="4735" customFormat="1" hidden="1"/>
    <row r="4736" customFormat="1" hidden="1"/>
    <row r="4737" customFormat="1" hidden="1"/>
    <row r="4738" customFormat="1" hidden="1"/>
    <row r="4739" customFormat="1" hidden="1"/>
    <row r="4740" customFormat="1" hidden="1"/>
    <row r="4741" customFormat="1" hidden="1"/>
    <row r="4742" customFormat="1" hidden="1"/>
    <row r="4743" customFormat="1" hidden="1"/>
    <row r="4744" customFormat="1" hidden="1"/>
    <row r="4745" customFormat="1" hidden="1"/>
    <row r="4746" customFormat="1" hidden="1"/>
    <row r="4747" customFormat="1" hidden="1"/>
    <row r="4748" customFormat="1" hidden="1"/>
    <row r="4749" customFormat="1" hidden="1"/>
    <row r="4750" customFormat="1" hidden="1"/>
    <row r="4751" customFormat="1" hidden="1"/>
    <row r="4752" customFormat="1" hidden="1"/>
    <row r="4753" customFormat="1" hidden="1"/>
    <row r="4754" customFormat="1" hidden="1"/>
    <row r="4755" customFormat="1" hidden="1"/>
    <row r="4756" customFormat="1" hidden="1"/>
    <row r="4757" customFormat="1" hidden="1"/>
    <row r="4758" customFormat="1" hidden="1"/>
    <row r="4759" customFormat="1" hidden="1"/>
    <row r="4760" customFormat="1" hidden="1"/>
    <row r="4761" customFormat="1" hidden="1"/>
    <row r="4762" customFormat="1" hidden="1"/>
    <row r="4763" customFormat="1" hidden="1"/>
    <row r="4764" customFormat="1" hidden="1"/>
    <row r="4765" customFormat="1" hidden="1"/>
    <row r="4766" customFormat="1" hidden="1"/>
    <row r="4767" customFormat="1" hidden="1"/>
    <row r="4768" customFormat="1" hidden="1"/>
    <row r="4769" customFormat="1" hidden="1"/>
    <row r="4770" customFormat="1" hidden="1"/>
    <row r="4771" customFormat="1" hidden="1"/>
    <row r="4772" customFormat="1" hidden="1"/>
    <row r="4773" customFormat="1" hidden="1"/>
    <row r="4774" customFormat="1" hidden="1"/>
    <row r="4775" customFormat="1" hidden="1"/>
    <row r="4776" customFormat="1" hidden="1"/>
    <row r="4777" customFormat="1" hidden="1"/>
    <row r="4778" customFormat="1" hidden="1"/>
    <row r="4779" customFormat="1" hidden="1"/>
    <row r="4780" customFormat="1" hidden="1"/>
    <row r="4781" customFormat="1" hidden="1"/>
    <row r="4782" customFormat="1" hidden="1"/>
    <row r="4783" customFormat="1" hidden="1"/>
    <row r="4784" customFormat="1" hidden="1"/>
    <row r="4785" customFormat="1" hidden="1"/>
    <row r="4786" customFormat="1" hidden="1"/>
    <row r="4787" customFormat="1" hidden="1"/>
    <row r="4788" customFormat="1" hidden="1"/>
    <row r="4789" customFormat="1" hidden="1"/>
    <row r="4790" customFormat="1" hidden="1"/>
    <row r="4791" customFormat="1" hidden="1"/>
    <row r="4792" customFormat="1" hidden="1"/>
    <row r="4793" customFormat="1" hidden="1"/>
    <row r="4794" customFormat="1" hidden="1"/>
    <row r="4795" customFormat="1" hidden="1"/>
    <row r="4796" customFormat="1" hidden="1"/>
    <row r="4797" customFormat="1" hidden="1"/>
    <row r="4798" customFormat="1" hidden="1"/>
    <row r="4799" customFormat="1" hidden="1"/>
    <row r="4800" customFormat="1" hidden="1"/>
    <row r="4801" customFormat="1" hidden="1"/>
    <row r="4802" customFormat="1" hidden="1"/>
    <row r="4803" customFormat="1" hidden="1"/>
    <row r="4804" customFormat="1" hidden="1"/>
    <row r="4805" customFormat="1" hidden="1"/>
    <row r="4806" customFormat="1" hidden="1"/>
    <row r="4807" customFormat="1" hidden="1"/>
    <row r="4808" customFormat="1" hidden="1"/>
    <row r="4809" customFormat="1" hidden="1"/>
    <row r="4810" customFormat="1" hidden="1"/>
    <row r="4811" customFormat="1" hidden="1"/>
    <row r="4812" customFormat="1" hidden="1"/>
    <row r="4813" customFormat="1" hidden="1"/>
    <row r="4814" customFormat="1" hidden="1"/>
    <row r="4815" customFormat="1" hidden="1"/>
    <row r="4816" customFormat="1" hidden="1"/>
    <row r="4817" customFormat="1" hidden="1"/>
    <row r="4818" customFormat="1" hidden="1"/>
    <row r="4819" customFormat="1" hidden="1"/>
    <row r="4820" customFormat="1" hidden="1"/>
    <row r="4821" customFormat="1" hidden="1"/>
    <row r="4822" customFormat="1" hidden="1"/>
    <row r="4823" customFormat="1" hidden="1"/>
    <row r="4824" customFormat="1" hidden="1"/>
    <row r="4825" customFormat="1" hidden="1"/>
    <row r="4826" customFormat="1" hidden="1"/>
    <row r="4827" customFormat="1" hidden="1"/>
    <row r="4828" customFormat="1" hidden="1"/>
    <row r="4829" customFormat="1" hidden="1"/>
    <row r="4830" customFormat="1" hidden="1"/>
    <row r="4831" customFormat="1" hidden="1"/>
    <row r="4832" customFormat="1" hidden="1"/>
    <row r="4833" customFormat="1" hidden="1"/>
    <row r="4834" customFormat="1" hidden="1"/>
    <row r="4835" customFormat="1" hidden="1"/>
    <row r="4836" customFormat="1" hidden="1"/>
    <row r="4837" customFormat="1" hidden="1"/>
    <row r="4838" customFormat="1" hidden="1"/>
    <row r="4839" customFormat="1" hidden="1"/>
    <row r="4840" customFormat="1" hidden="1"/>
    <row r="4841" customFormat="1" hidden="1"/>
    <row r="4842" customFormat="1" hidden="1"/>
    <row r="4843" customFormat="1" hidden="1"/>
    <row r="4844" customFormat="1" hidden="1"/>
    <row r="4845" customFormat="1" hidden="1"/>
    <row r="4846" customFormat="1" hidden="1"/>
    <row r="4847" customFormat="1" hidden="1"/>
    <row r="4848" customFormat="1" hidden="1"/>
    <row r="4849" customFormat="1" hidden="1"/>
    <row r="4850" customFormat="1" hidden="1"/>
    <row r="4851" customFormat="1" hidden="1"/>
    <row r="4852" customFormat="1" hidden="1"/>
    <row r="4853" customFormat="1" hidden="1"/>
    <row r="4854" customFormat="1" hidden="1"/>
    <row r="4855" customFormat="1" hidden="1"/>
    <row r="4856" customFormat="1" hidden="1"/>
    <row r="4857" customFormat="1" hidden="1"/>
    <row r="4858" customFormat="1" hidden="1"/>
    <row r="4859" customFormat="1" hidden="1"/>
    <row r="4860" customFormat="1" hidden="1"/>
    <row r="4861" customFormat="1" hidden="1"/>
    <row r="4862" customFormat="1" hidden="1"/>
    <row r="4863" customFormat="1" hidden="1"/>
    <row r="4864" customFormat="1" hidden="1"/>
    <row r="4865" customFormat="1" hidden="1"/>
    <row r="4866" customFormat="1" hidden="1"/>
    <row r="4867" customFormat="1" hidden="1"/>
    <row r="4868" customFormat="1" hidden="1"/>
    <row r="4869" customFormat="1" hidden="1"/>
    <row r="4870" customFormat="1" hidden="1"/>
    <row r="4871" customFormat="1" hidden="1"/>
    <row r="4872" customFormat="1" hidden="1"/>
    <row r="4873" customFormat="1" hidden="1"/>
    <row r="4874" customFormat="1" hidden="1"/>
    <row r="4875" customFormat="1" hidden="1"/>
    <row r="4876" customFormat="1" hidden="1"/>
    <row r="4877" customFormat="1" hidden="1"/>
    <row r="4878" customFormat="1" hidden="1"/>
    <row r="4879" customFormat="1" hidden="1"/>
    <row r="4880" customFormat="1" hidden="1"/>
    <row r="4881" customFormat="1" hidden="1"/>
    <row r="4882" customFormat="1" hidden="1"/>
    <row r="4883" customFormat="1" hidden="1"/>
    <row r="4884" customFormat="1" hidden="1"/>
    <row r="4885" customFormat="1" hidden="1"/>
    <row r="4886" customFormat="1" hidden="1"/>
    <row r="4887" customFormat="1" hidden="1"/>
    <row r="4888" customFormat="1" hidden="1"/>
    <row r="4889" customFormat="1" hidden="1"/>
    <row r="4890" customFormat="1" hidden="1"/>
    <row r="4891" customFormat="1" hidden="1"/>
    <row r="4892" customFormat="1" hidden="1"/>
    <row r="4893" customFormat="1" hidden="1"/>
    <row r="4894" customFormat="1" hidden="1"/>
    <row r="4895" customFormat="1" hidden="1"/>
    <row r="4896" customFormat="1" hidden="1"/>
    <row r="4897" customFormat="1" hidden="1"/>
    <row r="4898" customFormat="1" hidden="1"/>
    <row r="4899" customFormat="1" hidden="1"/>
    <row r="4900" customFormat="1" hidden="1"/>
    <row r="4901" customFormat="1" hidden="1"/>
    <row r="4902" customFormat="1" hidden="1"/>
    <row r="4903" customFormat="1" hidden="1"/>
    <row r="4904" customFormat="1" hidden="1"/>
    <row r="4905" customFormat="1" hidden="1"/>
    <row r="4906" customFormat="1" hidden="1"/>
    <row r="4907" customFormat="1" hidden="1"/>
    <row r="4908" customFormat="1" hidden="1"/>
    <row r="4909" customFormat="1" hidden="1"/>
    <row r="4910" customFormat="1" hidden="1"/>
    <row r="4911" customFormat="1" hidden="1"/>
    <row r="4912" customFormat="1" hidden="1"/>
    <row r="4913" customFormat="1" hidden="1"/>
    <row r="4914" customFormat="1" hidden="1"/>
    <row r="4915" customFormat="1" hidden="1"/>
    <row r="4916" customFormat="1" hidden="1"/>
    <row r="4917" customFormat="1" hidden="1"/>
    <row r="4918" customFormat="1" hidden="1"/>
    <row r="4919" customFormat="1" hidden="1"/>
    <row r="4920" customFormat="1" hidden="1"/>
    <row r="4921" customFormat="1" hidden="1"/>
    <row r="4922" customFormat="1" hidden="1"/>
    <row r="4923" customFormat="1" hidden="1"/>
    <row r="4924" customFormat="1" hidden="1"/>
    <row r="4925" customFormat="1" hidden="1"/>
    <row r="4926" customFormat="1" hidden="1"/>
    <row r="4927" customFormat="1" hidden="1"/>
    <row r="4928" customFormat="1" hidden="1"/>
    <row r="4929" customFormat="1" hidden="1"/>
    <row r="4930" customFormat="1" hidden="1"/>
    <row r="4931" customFormat="1" hidden="1"/>
    <row r="4932" customFormat="1" hidden="1"/>
    <row r="4933" customFormat="1" hidden="1"/>
    <row r="4934" customFormat="1" hidden="1"/>
    <row r="4935" customFormat="1" hidden="1"/>
    <row r="4936" customFormat="1" hidden="1"/>
    <row r="4937" customFormat="1" hidden="1"/>
    <row r="4938" customFormat="1" hidden="1"/>
    <row r="4939" customFormat="1" hidden="1"/>
    <row r="4940" customFormat="1" hidden="1"/>
    <row r="4941" customFormat="1" hidden="1"/>
    <row r="4942" customFormat="1" hidden="1"/>
    <row r="4943" customFormat="1" hidden="1"/>
    <row r="4944" customFormat="1" hidden="1"/>
    <row r="4945" customFormat="1" hidden="1"/>
    <row r="4946" customFormat="1" hidden="1"/>
    <row r="4947" customFormat="1" hidden="1"/>
    <row r="4948" customFormat="1" hidden="1"/>
    <row r="4949" customFormat="1" hidden="1"/>
    <row r="4950" customFormat="1" hidden="1"/>
    <row r="4951" customFormat="1" hidden="1"/>
    <row r="4952" customFormat="1" hidden="1"/>
    <row r="4953" customFormat="1" hidden="1"/>
    <row r="4954" customFormat="1" hidden="1"/>
    <row r="4955" customFormat="1" hidden="1"/>
    <row r="4956" customFormat="1" hidden="1"/>
    <row r="4957" customFormat="1" hidden="1"/>
    <row r="4958" customFormat="1" hidden="1"/>
    <row r="4959" customFormat="1" hidden="1"/>
    <row r="4960" customFormat="1" hidden="1"/>
    <row r="4961" customFormat="1" hidden="1"/>
    <row r="4962" customFormat="1" hidden="1"/>
    <row r="4963" customFormat="1" hidden="1"/>
    <row r="4964" customFormat="1" hidden="1"/>
    <row r="4965" customFormat="1" hidden="1"/>
    <row r="4966" customFormat="1" hidden="1"/>
    <row r="4967" customFormat="1" hidden="1"/>
    <row r="4968" customFormat="1" hidden="1"/>
    <row r="4969" customFormat="1" hidden="1"/>
    <row r="4970" customFormat="1" hidden="1"/>
    <row r="4971" customFormat="1" hidden="1"/>
    <row r="4972" customFormat="1" hidden="1"/>
    <row r="4973" customFormat="1" hidden="1"/>
    <row r="4974" customFormat="1" hidden="1"/>
    <row r="4975" customFormat="1" hidden="1"/>
    <row r="4976" customFormat="1" hidden="1"/>
    <row r="4977" customFormat="1" hidden="1"/>
    <row r="4978" customFormat="1" hidden="1"/>
    <row r="4979" customFormat="1" hidden="1"/>
    <row r="4980" customFormat="1" hidden="1"/>
    <row r="4981" customFormat="1" hidden="1"/>
    <row r="4982" customFormat="1" hidden="1"/>
    <row r="4983" customFormat="1" hidden="1"/>
    <row r="4984" customFormat="1" hidden="1"/>
    <row r="4985" customFormat="1" hidden="1"/>
    <row r="4986" customFormat="1" hidden="1"/>
    <row r="4987" customFormat="1" hidden="1"/>
    <row r="4988" customFormat="1" hidden="1"/>
    <row r="4989" customFormat="1" hidden="1"/>
    <row r="4990" customFormat="1" hidden="1"/>
    <row r="4991" customFormat="1" hidden="1"/>
    <row r="4992" customFormat="1" hidden="1"/>
    <row r="4993" spans="1:2" customFormat="1" hidden="1"/>
    <row r="4994" spans="1:2" customFormat="1" hidden="1"/>
    <row r="4995" spans="1:2" customFormat="1" hidden="1"/>
    <row r="4996" spans="1:2" customFormat="1" hidden="1"/>
    <row r="4997" spans="1:2" customFormat="1" hidden="1"/>
    <row r="4998" spans="1:2" customFormat="1" hidden="1"/>
    <row r="4999" spans="1:2" customFormat="1" hidden="1"/>
    <row r="5000" spans="1:2" customFormat="1" hidden="1"/>
    <row r="5001" spans="1:2" hidden="1">
      <c r="A5001" s="190" t="str">
        <f t="shared" ref="A5001:A5054" si="0">HYPERLINK("http://tw.stock.yahoo.com/q/ta?s=","")</f>
        <v/>
      </c>
      <c r="B5001" s="190" t="str">
        <f t="shared" ref="B5001:B5020" si="1">HYPERLINK("http://tw.stock.yahoo.com/d/s/earning_.html","")</f>
        <v/>
      </c>
    </row>
    <row r="5002" spans="1:2" hidden="1">
      <c r="A5002" s="190" t="str">
        <f t="shared" si="0"/>
        <v/>
      </c>
      <c r="B5002" s="190" t="str">
        <f t="shared" si="1"/>
        <v/>
      </c>
    </row>
    <row r="5003" spans="1:2" hidden="1">
      <c r="A5003" s="190" t="str">
        <f t="shared" si="0"/>
        <v/>
      </c>
      <c r="B5003" s="190" t="str">
        <f t="shared" si="1"/>
        <v/>
      </c>
    </row>
    <row r="5004" spans="1:2" hidden="1">
      <c r="A5004" s="190" t="str">
        <f t="shared" si="0"/>
        <v/>
      </c>
      <c r="B5004" s="190" t="str">
        <f t="shared" si="1"/>
        <v/>
      </c>
    </row>
    <row r="5005" spans="1:2" hidden="1">
      <c r="A5005" s="190" t="str">
        <f t="shared" si="0"/>
        <v/>
      </c>
      <c r="B5005" s="190" t="str">
        <f t="shared" si="1"/>
        <v/>
      </c>
    </row>
    <row r="5006" spans="1:2" hidden="1">
      <c r="A5006" s="190" t="str">
        <f t="shared" si="0"/>
        <v/>
      </c>
      <c r="B5006" s="190" t="str">
        <f t="shared" si="1"/>
        <v/>
      </c>
    </row>
    <row r="5007" spans="1:2" hidden="1">
      <c r="A5007" s="190" t="str">
        <f t="shared" si="0"/>
        <v/>
      </c>
      <c r="B5007" s="190" t="str">
        <f t="shared" si="1"/>
        <v/>
      </c>
    </row>
    <row r="5008" spans="1:2" hidden="1">
      <c r="A5008" s="190" t="str">
        <f t="shared" si="0"/>
        <v/>
      </c>
      <c r="B5008" s="190" t="str">
        <f t="shared" si="1"/>
        <v/>
      </c>
    </row>
    <row r="5009" spans="1:2" hidden="1">
      <c r="A5009" s="190" t="str">
        <f t="shared" si="0"/>
        <v/>
      </c>
      <c r="B5009" s="190" t="str">
        <f t="shared" si="1"/>
        <v/>
      </c>
    </row>
    <row r="5010" spans="1:2" hidden="1">
      <c r="A5010" s="190" t="str">
        <f t="shared" si="0"/>
        <v/>
      </c>
      <c r="B5010" s="190" t="str">
        <f t="shared" si="1"/>
        <v/>
      </c>
    </row>
    <row r="5011" spans="1:2" hidden="1">
      <c r="A5011" s="190" t="str">
        <f t="shared" si="0"/>
        <v/>
      </c>
      <c r="B5011" s="190" t="str">
        <f t="shared" si="1"/>
        <v/>
      </c>
    </row>
    <row r="5012" spans="1:2" hidden="1">
      <c r="A5012" s="190" t="str">
        <f t="shared" si="0"/>
        <v/>
      </c>
      <c r="B5012" s="190" t="str">
        <f t="shared" si="1"/>
        <v/>
      </c>
    </row>
    <row r="5013" spans="1:2" hidden="1">
      <c r="A5013" s="190" t="str">
        <f t="shared" si="0"/>
        <v/>
      </c>
      <c r="B5013" s="190" t="str">
        <f t="shared" si="1"/>
        <v/>
      </c>
    </row>
    <row r="5014" spans="1:2" hidden="1">
      <c r="A5014" s="190" t="str">
        <f t="shared" si="0"/>
        <v/>
      </c>
      <c r="B5014" s="190" t="str">
        <f t="shared" si="1"/>
        <v/>
      </c>
    </row>
    <row r="5015" spans="1:2" hidden="1">
      <c r="A5015" s="190" t="str">
        <f t="shared" si="0"/>
        <v/>
      </c>
      <c r="B5015" s="190" t="str">
        <f t="shared" si="1"/>
        <v/>
      </c>
    </row>
    <row r="5016" spans="1:2" hidden="1">
      <c r="A5016" s="190" t="str">
        <f t="shared" si="0"/>
        <v/>
      </c>
      <c r="B5016" s="190" t="str">
        <f t="shared" si="1"/>
        <v/>
      </c>
    </row>
    <row r="5017" spans="1:2" hidden="1">
      <c r="A5017" s="190" t="str">
        <f t="shared" si="0"/>
        <v/>
      </c>
      <c r="B5017" s="190" t="str">
        <f t="shared" si="1"/>
        <v/>
      </c>
    </row>
    <row r="5018" spans="1:2" hidden="1">
      <c r="A5018" s="190" t="str">
        <f t="shared" si="0"/>
        <v/>
      </c>
      <c r="B5018" s="190" t="str">
        <f t="shared" si="1"/>
        <v/>
      </c>
    </row>
    <row r="5019" spans="1:2" hidden="1">
      <c r="A5019" s="190" t="str">
        <f t="shared" si="0"/>
        <v/>
      </c>
      <c r="B5019" s="190" t="str">
        <f t="shared" si="1"/>
        <v/>
      </c>
    </row>
    <row r="5020" spans="1:2" hidden="1">
      <c r="A5020" s="190" t="str">
        <f t="shared" si="0"/>
        <v/>
      </c>
      <c r="B5020" s="190" t="str">
        <f t="shared" si="1"/>
        <v/>
      </c>
    </row>
    <row r="5021" spans="1:2" hidden="1">
      <c r="A5021" s="190" t="str">
        <f t="shared" si="0"/>
        <v/>
      </c>
      <c r="B5021" s="190" t="str">
        <f t="shared" ref="B5021:B5084" si="2">HYPERLINK("http://tw.stock.yahoo.com/d/s/earning_.html","")</f>
        <v/>
      </c>
    </row>
    <row r="5022" spans="1:2" hidden="1">
      <c r="A5022" s="190" t="str">
        <f t="shared" si="0"/>
        <v/>
      </c>
      <c r="B5022" s="190" t="str">
        <f t="shared" si="2"/>
        <v/>
      </c>
    </row>
    <row r="5023" spans="1:2" hidden="1">
      <c r="A5023" s="190" t="str">
        <f t="shared" si="0"/>
        <v/>
      </c>
      <c r="B5023" s="190" t="str">
        <f t="shared" si="2"/>
        <v/>
      </c>
    </row>
    <row r="5024" spans="1:2" hidden="1">
      <c r="A5024" s="190" t="str">
        <f t="shared" si="0"/>
        <v/>
      </c>
      <c r="B5024" s="190" t="str">
        <f t="shared" si="2"/>
        <v/>
      </c>
    </row>
    <row r="5025" spans="1:2" hidden="1">
      <c r="A5025" s="190" t="str">
        <f t="shared" si="0"/>
        <v/>
      </c>
      <c r="B5025" s="190" t="str">
        <f t="shared" si="2"/>
        <v/>
      </c>
    </row>
    <row r="5026" spans="1:2" hidden="1">
      <c r="A5026" s="190" t="str">
        <f t="shared" si="0"/>
        <v/>
      </c>
      <c r="B5026" s="190" t="str">
        <f t="shared" si="2"/>
        <v/>
      </c>
    </row>
    <row r="5027" spans="1:2" hidden="1">
      <c r="A5027" s="190" t="str">
        <f t="shared" si="0"/>
        <v/>
      </c>
      <c r="B5027" s="190" t="str">
        <f t="shared" si="2"/>
        <v/>
      </c>
    </row>
    <row r="5028" spans="1:2" hidden="1">
      <c r="A5028" s="190" t="str">
        <f t="shared" si="0"/>
        <v/>
      </c>
      <c r="B5028" s="190" t="str">
        <f t="shared" si="2"/>
        <v/>
      </c>
    </row>
    <row r="5029" spans="1:2" hidden="1">
      <c r="A5029" s="190" t="str">
        <f t="shared" si="0"/>
        <v/>
      </c>
      <c r="B5029" s="190" t="str">
        <f t="shared" si="2"/>
        <v/>
      </c>
    </row>
    <row r="5030" spans="1:2" hidden="1">
      <c r="A5030" s="190" t="str">
        <f t="shared" si="0"/>
        <v/>
      </c>
      <c r="B5030" s="190" t="str">
        <f t="shared" si="2"/>
        <v/>
      </c>
    </row>
    <row r="5031" spans="1:2" hidden="1">
      <c r="A5031" s="190" t="str">
        <f t="shared" si="0"/>
        <v/>
      </c>
      <c r="B5031" s="190" t="str">
        <f t="shared" si="2"/>
        <v/>
      </c>
    </row>
    <row r="5032" spans="1:2" hidden="1">
      <c r="A5032" s="190" t="str">
        <f t="shared" si="0"/>
        <v/>
      </c>
      <c r="B5032" s="190" t="str">
        <f t="shared" si="2"/>
        <v/>
      </c>
    </row>
    <row r="5033" spans="1:2" hidden="1">
      <c r="A5033" s="190" t="str">
        <f t="shared" si="0"/>
        <v/>
      </c>
      <c r="B5033" s="190" t="str">
        <f t="shared" si="2"/>
        <v/>
      </c>
    </row>
    <row r="5034" spans="1:2" hidden="1">
      <c r="A5034" s="190" t="str">
        <f t="shared" si="0"/>
        <v/>
      </c>
      <c r="B5034" s="190" t="str">
        <f t="shared" si="2"/>
        <v/>
      </c>
    </row>
    <row r="5035" spans="1:2" hidden="1">
      <c r="A5035" s="190" t="str">
        <f t="shared" si="0"/>
        <v/>
      </c>
      <c r="B5035" s="190" t="str">
        <f t="shared" si="2"/>
        <v/>
      </c>
    </row>
    <row r="5036" spans="1:2" hidden="1">
      <c r="A5036" s="190" t="str">
        <f t="shared" si="0"/>
        <v/>
      </c>
      <c r="B5036" s="190" t="str">
        <f t="shared" si="2"/>
        <v/>
      </c>
    </row>
    <row r="5037" spans="1:2" hidden="1">
      <c r="A5037" s="190" t="str">
        <f t="shared" si="0"/>
        <v/>
      </c>
      <c r="B5037" s="190" t="str">
        <f t="shared" si="2"/>
        <v/>
      </c>
    </row>
    <row r="5038" spans="1:2" hidden="1">
      <c r="A5038" s="190" t="str">
        <f t="shared" si="0"/>
        <v/>
      </c>
      <c r="B5038" s="190" t="str">
        <f t="shared" si="2"/>
        <v/>
      </c>
    </row>
    <row r="5039" spans="1:2" hidden="1">
      <c r="A5039" s="190" t="str">
        <f t="shared" si="0"/>
        <v/>
      </c>
      <c r="B5039" s="190" t="str">
        <f t="shared" si="2"/>
        <v/>
      </c>
    </row>
    <row r="5040" spans="1:2" hidden="1">
      <c r="A5040" s="190" t="str">
        <f t="shared" si="0"/>
        <v/>
      </c>
      <c r="B5040" s="190" t="str">
        <f t="shared" si="2"/>
        <v/>
      </c>
    </row>
    <row r="5041" spans="1:2" hidden="1">
      <c r="A5041" s="190" t="str">
        <f t="shared" si="0"/>
        <v/>
      </c>
      <c r="B5041" s="190" t="str">
        <f t="shared" si="2"/>
        <v/>
      </c>
    </row>
    <row r="5042" spans="1:2" hidden="1">
      <c r="A5042" s="190" t="str">
        <f t="shared" si="0"/>
        <v/>
      </c>
      <c r="B5042" s="190" t="str">
        <f t="shared" si="2"/>
        <v/>
      </c>
    </row>
    <row r="5043" spans="1:2" hidden="1">
      <c r="A5043" s="190" t="str">
        <f t="shared" si="0"/>
        <v/>
      </c>
      <c r="B5043" s="190" t="str">
        <f t="shared" si="2"/>
        <v/>
      </c>
    </row>
    <row r="5044" spans="1:2" hidden="1">
      <c r="A5044" s="190" t="str">
        <f t="shared" si="0"/>
        <v/>
      </c>
      <c r="B5044" s="190" t="str">
        <f t="shared" si="2"/>
        <v/>
      </c>
    </row>
    <row r="5045" spans="1:2" hidden="1">
      <c r="A5045" s="190" t="str">
        <f t="shared" si="0"/>
        <v/>
      </c>
      <c r="B5045" s="190" t="str">
        <f t="shared" si="2"/>
        <v/>
      </c>
    </row>
    <row r="5046" spans="1:2" hidden="1">
      <c r="A5046" s="190" t="str">
        <f t="shared" si="0"/>
        <v/>
      </c>
      <c r="B5046" s="190" t="str">
        <f t="shared" si="2"/>
        <v/>
      </c>
    </row>
    <row r="5047" spans="1:2" hidden="1">
      <c r="A5047" s="190" t="str">
        <f t="shared" si="0"/>
        <v/>
      </c>
      <c r="B5047" s="190" t="str">
        <f t="shared" si="2"/>
        <v/>
      </c>
    </row>
    <row r="5048" spans="1:2" hidden="1">
      <c r="A5048" s="190" t="str">
        <f t="shared" si="0"/>
        <v/>
      </c>
      <c r="B5048" s="190" t="str">
        <f t="shared" si="2"/>
        <v/>
      </c>
    </row>
    <row r="5049" spans="1:2" hidden="1">
      <c r="A5049" s="190" t="str">
        <f t="shared" si="0"/>
        <v/>
      </c>
      <c r="B5049" s="190" t="str">
        <f t="shared" si="2"/>
        <v/>
      </c>
    </row>
    <row r="5050" spans="1:2" hidden="1">
      <c r="A5050" s="190" t="str">
        <f t="shared" si="0"/>
        <v/>
      </c>
      <c r="B5050" s="190" t="str">
        <f t="shared" si="2"/>
        <v/>
      </c>
    </row>
    <row r="5051" spans="1:2" hidden="1">
      <c r="A5051" s="190" t="str">
        <f t="shared" si="0"/>
        <v/>
      </c>
      <c r="B5051" s="190" t="str">
        <f t="shared" si="2"/>
        <v/>
      </c>
    </row>
    <row r="5052" spans="1:2" hidden="1">
      <c r="A5052" s="190" t="str">
        <f t="shared" si="0"/>
        <v/>
      </c>
      <c r="B5052" s="190" t="str">
        <f t="shared" si="2"/>
        <v/>
      </c>
    </row>
    <row r="5053" spans="1:2" hidden="1">
      <c r="A5053" s="190" t="str">
        <f t="shared" si="0"/>
        <v/>
      </c>
      <c r="B5053" s="190" t="str">
        <f t="shared" si="2"/>
        <v/>
      </c>
    </row>
    <row r="5054" spans="1:2" hidden="1">
      <c r="A5054" s="190" t="str">
        <f t="shared" si="0"/>
        <v/>
      </c>
      <c r="B5054" s="190" t="str">
        <f t="shared" si="2"/>
        <v/>
      </c>
    </row>
    <row r="5055" spans="1:2" hidden="1">
      <c r="A5055" s="190" t="str">
        <f t="shared" ref="A5055:A5118" si="3">HYPERLINK("http://tw.stock.yahoo.com/q/ta?s=","")</f>
        <v/>
      </c>
      <c r="B5055" s="190" t="str">
        <f t="shared" si="2"/>
        <v/>
      </c>
    </row>
    <row r="5056" spans="1:2" hidden="1">
      <c r="A5056" s="190" t="str">
        <f t="shared" si="3"/>
        <v/>
      </c>
      <c r="B5056" s="190" t="str">
        <f t="shared" si="2"/>
        <v/>
      </c>
    </row>
    <row r="5057" spans="1:2" hidden="1">
      <c r="A5057" s="190" t="str">
        <f t="shared" si="3"/>
        <v/>
      </c>
      <c r="B5057" s="190" t="str">
        <f t="shared" si="2"/>
        <v/>
      </c>
    </row>
    <row r="5058" spans="1:2" hidden="1">
      <c r="A5058" s="190" t="str">
        <f t="shared" si="3"/>
        <v/>
      </c>
      <c r="B5058" s="190" t="str">
        <f t="shared" si="2"/>
        <v/>
      </c>
    </row>
    <row r="5059" spans="1:2" hidden="1">
      <c r="A5059" s="190" t="str">
        <f t="shared" si="3"/>
        <v/>
      </c>
      <c r="B5059" s="190" t="str">
        <f t="shared" si="2"/>
        <v/>
      </c>
    </row>
    <row r="5060" spans="1:2" hidden="1">
      <c r="A5060" s="190" t="str">
        <f t="shared" si="3"/>
        <v/>
      </c>
      <c r="B5060" s="190" t="str">
        <f t="shared" si="2"/>
        <v/>
      </c>
    </row>
    <row r="5061" spans="1:2" hidden="1">
      <c r="A5061" s="190" t="str">
        <f t="shared" si="3"/>
        <v/>
      </c>
      <c r="B5061" s="190" t="str">
        <f t="shared" si="2"/>
        <v/>
      </c>
    </row>
    <row r="5062" spans="1:2" hidden="1">
      <c r="A5062" s="190" t="str">
        <f t="shared" si="3"/>
        <v/>
      </c>
      <c r="B5062" s="190" t="str">
        <f t="shared" si="2"/>
        <v/>
      </c>
    </row>
    <row r="5063" spans="1:2" hidden="1">
      <c r="A5063" s="190" t="str">
        <f t="shared" si="3"/>
        <v/>
      </c>
      <c r="B5063" s="190" t="str">
        <f t="shared" si="2"/>
        <v/>
      </c>
    </row>
    <row r="5064" spans="1:2" hidden="1">
      <c r="A5064" s="190" t="str">
        <f t="shared" si="3"/>
        <v/>
      </c>
      <c r="B5064" s="190" t="str">
        <f t="shared" si="2"/>
        <v/>
      </c>
    </row>
    <row r="5065" spans="1:2" hidden="1">
      <c r="A5065" s="190" t="str">
        <f t="shared" si="3"/>
        <v/>
      </c>
      <c r="B5065" s="190" t="str">
        <f t="shared" si="2"/>
        <v/>
      </c>
    </row>
    <row r="5066" spans="1:2" hidden="1">
      <c r="A5066" s="190" t="str">
        <f t="shared" si="3"/>
        <v/>
      </c>
      <c r="B5066" s="190" t="str">
        <f t="shared" si="2"/>
        <v/>
      </c>
    </row>
    <row r="5067" spans="1:2" hidden="1">
      <c r="A5067" s="190" t="str">
        <f t="shared" si="3"/>
        <v/>
      </c>
      <c r="B5067" s="190" t="str">
        <f t="shared" si="2"/>
        <v/>
      </c>
    </row>
    <row r="5068" spans="1:2" hidden="1">
      <c r="A5068" s="190" t="str">
        <f t="shared" si="3"/>
        <v/>
      </c>
      <c r="B5068" s="190" t="str">
        <f t="shared" si="2"/>
        <v/>
      </c>
    </row>
    <row r="5069" spans="1:2" hidden="1">
      <c r="A5069" s="190" t="str">
        <f t="shared" si="3"/>
        <v/>
      </c>
      <c r="B5069" s="190" t="str">
        <f t="shared" si="2"/>
        <v/>
      </c>
    </row>
    <row r="5070" spans="1:2" hidden="1">
      <c r="A5070" s="190" t="str">
        <f t="shared" si="3"/>
        <v/>
      </c>
      <c r="B5070" s="190" t="str">
        <f t="shared" si="2"/>
        <v/>
      </c>
    </row>
    <row r="5071" spans="1:2" hidden="1">
      <c r="A5071" s="190" t="str">
        <f t="shared" si="3"/>
        <v/>
      </c>
      <c r="B5071" s="190" t="str">
        <f t="shared" si="2"/>
        <v/>
      </c>
    </row>
    <row r="5072" spans="1:2" hidden="1">
      <c r="A5072" s="190" t="str">
        <f t="shared" si="3"/>
        <v/>
      </c>
      <c r="B5072" s="190" t="str">
        <f t="shared" si="2"/>
        <v/>
      </c>
    </row>
    <row r="5073" spans="1:2" hidden="1">
      <c r="A5073" s="190" t="str">
        <f t="shared" si="3"/>
        <v/>
      </c>
      <c r="B5073" s="190" t="str">
        <f t="shared" si="2"/>
        <v/>
      </c>
    </row>
    <row r="5074" spans="1:2" hidden="1">
      <c r="A5074" s="190" t="str">
        <f t="shared" si="3"/>
        <v/>
      </c>
      <c r="B5074" s="190" t="str">
        <f t="shared" si="2"/>
        <v/>
      </c>
    </row>
    <row r="5075" spans="1:2" hidden="1">
      <c r="A5075" s="190" t="str">
        <f t="shared" si="3"/>
        <v/>
      </c>
      <c r="B5075" s="190" t="str">
        <f t="shared" si="2"/>
        <v/>
      </c>
    </row>
    <row r="5076" spans="1:2" hidden="1">
      <c r="A5076" s="190" t="str">
        <f t="shared" si="3"/>
        <v/>
      </c>
      <c r="B5076" s="190" t="str">
        <f t="shared" si="2"/>
        <v/>
      </c>
    </row>
    <row r="5077" spans="1:2" hidden="1">
      <c r="A5077" s="190" t="str">
        <f t="shared" si="3"/>
        <v/>
      </c>
      <c r="B5077" s="190" t="str">
        <f t="shared" si="2"/>
        <v/>
      </c>
    </row>
    <row r="5078" spans="1:2" hidden="1">
      <c r="A5078" s="190" t="str">
        <f t="shared" si="3"/>
        <v/>
      </c>
      <c r="B5078" s="190" t="str">
        <f t="shared" si="2"/>
        <v/>
      </c>
    </row>
    <row r="5079" spans="1:2" hidden="1">
      <c r="A5079" s="190" t="str">
        <f t="shared" si="3"/>
        <v/>
      </c>
      <c r="B5079" s="190" t="str">
        <f t="shared" si="2"/>
        <v/>
      </c>
    </row>
    <row r="5080" spans="1:2" hidden="1">
      <c r="A5080" s="190" t="str">
        <f t="shared" si="3"/>
        <v/>
      </c>
      <c r="B5080" s="190" t="str">
        <f t="shared" si="2"/>
        <v/>
      </c>
    </row>
    <row r="5081" spans="1:2" hidden="1">
      <c r="A5081" s="190" t="str">
        <f t="shared" si="3"/>
        <v/>
      </c>
      <c r="B5081" s="190" t="str">
        <f t="shared" si="2"/>
        <v/>
      </c>
    </row>
    <row r="5082" spans="1:2" hidden="1">
      <c r="A5082" s="190" t="str">
        <f t="shared" si="3"/>
        <v/>
      </c>
      <c r="B5082" s="190" t="str">
        <f t="shared" si="2"/>
        <v/>
      </c>
    </row>
    <row r="5083" spans="1:2" hidden="1">
      <c r="A5083" s="190" t="str">
        <f t="shared" si="3"/>
        <v/>
      </c>
      <c r="B5083" s="190" t="str">
        <f t="shared" si="2"/>
        <v/>
      </c>
    </row>
    <row r="5084" spans="1:2" hidden="1">
      <c r="A5084" s="190" t="str">
        <f t="shared" si="3"/>
        <v/>
      </c>
      <c r="B5084" s="190" t="str">
        <f t="shared" si="2"/>
        <v/>
      </c>
    </row>
    <row r="5085" spans="1:2" hidden="1">
      <c r="A5085" s="190" t="str">
        <f t="shared" si="3"/>
        <v/>
      </c>
      <c r="B5085" s="190" t="str">
        <f t="shared" ref="B5085:B5148" si="4">HYPERLINK("http://tw.stock.yahoo.com/d/s/earning_.html","")</f>
        <v/>
      </c>
    </row>
    <row r="5086" spans="1:2" hidden="1">
      <c r="A5086" s="190" t="str">
        <f t="shared" si="3"/>
        <v/>
      </c>
      <c r="B5086" s="190" t="str">
        <f t="shared" si="4"/>
        <v/>
      </c>
    </row>
    <row r="5087" spans="1:2" hidden="1">
      <c r="A5087" s="190" t="str">
        <f t="shared" si="3"/>
        <v/>
      </c>
      <c r="B5087" s="190" t="str">
        <f t="shared" si="4"/>
        <v/>
      </c>
    </row>
    <row r="5088" spans="1:2" hidden="1">
      <c r="A5088" s="190" t="str">
        <f t="shared" si="3"/>
        <v/>
      </c>
      <c r="B5088" s="190" t="str">
        <f t="shared" si="4"/>
        <v/>
      </c>
    </row>
    <row r="5089" spans="1:2" hidden="1">
      <c r="A5089" s="190" t="str">
        <f t="shared" si="3"/>
        <v/>
      </c>
      <c r="B5089" s="190" t="str">
        <f t="shared" si="4"/>
        <v/>
      </c>
    </row>
    <row r="5090" spans="1:2" hidden="1">
      <c r="A5090" s="190" t="str">
        <f t="shared" si="3"/>
        <v/>
      </c>
      <c r="B5090" s="190" t="str">
        <f t="shared" si="4"/>
        <v/>
      </c>
    </row>
    <row r="5091" spans="1:2" hidden="1">
      <c r="A5091" s="190" t="str">
        <f t="shared" si="3"/>
        <v/>
      </c>
      <c r="B5091" s="190" t="str">
        <f t="shared" si="4"/>
        <v/>
      </c>
    </row>
    <row r="5092" spans="1:2" hidden="1">
      <c r="A5092" s="190" t="str">
        <f t="shared" si="3"/>
        <v/>
      </c>
      <c r="B5092" s="190" t="str">
        <f t="shared" si="4"/>
        <v/>
      </c>
    </row>
    <row r="5093" spans="1:2" hidden="1">
      <c r="A5093" s="190" t="str">
        <f t="shared" si="3"/>
        <v/>
      </c>
      <c r="B5093" s="190" t="str">
        <f t="shared" si="4"/>
        <v/>
      </c>
    </row>
    <row r="5094" spans="1:2" hidden="1">
      <c r="A5094" s="190" t="str">
        <f t="shared" si="3"/>
        <v/>
      </c>
      <c r="B5094" s="190" t="str">
        <f t="shared" si="4"/>
        <v/>
      </c>
    </row>
    <row r="5095" spans="1:2" hidden="1">
      <c r="A5095" s="190" t="str">
        <f t="shared" si="3"/>
        <v/>
      </c>
      <c r="B5095" s="190" t="str">
        <f t="shared" si="4"/>
        <v/>
      </c>
    </row>
    <row r="5096" spans="1:2" hidden="1">
      <c r="A5096" s="190" t="str">
        <f t="shared" si="3"/>
        <v/>
      </c>
      <c r="B5096" s="190" t="str">
        <f t="shared" si="4"/>
        <v/>
      </c>
    </row>
    <row r="5097" spans="1:2" hidden="1">
      <c r="A5097" s="190" t="str">
        <f t="shared" si="3"/>
        <v/>
      </c>
      <c r="B5097" s="190" t="str">
        <f t="shared" si="4"/>
        <v/>
      </c>
    </row>
    <row r="5098" spans="1:2" hidden="1">
      <c r="A5098" s="190" t="str">
        <f t="shared" si="3"/>
        <v/>
      </c>
      <c r="B5098" s="190" t="str">
        <f t="shared" si="4"/>
        <v/>
      </c>
    </row>
    <row r="5099" spans="1:2" hidden="1">
      <c r="A5099" s="190" t="str">
        <f t="shared" si="3"/>
        <v/>
      </c>
      <c r="B5099" s="190" t="str">
        <f t="shared" si="4"/>
        <v/>
      </c>
    </row>
    <row r="5100" spans="1:2" hidden="1">
      <c r="A5100" s="190" t="str">
        <f t="shared" si="3"/>
        <v/>
      </c>
      <c r="B5100" s="190" t="str">
        <f t="shared" si="4"/>
        <v/>
      </c>
    </row>
    <row r="5101" spans="1:2" hidden="1">
      <c r="A5101" s="190" t="str">
        <f t="shared" si="3"/>
        <v/>
      </c>
      <c r="B5101" s="190" t="str">
        <f t="shared" si="4"/>
        <v/>
      </c>
    </row>
    <row r="5102" spans="1:2" hidden="1">
      <c r="A5102" s="190" t="str">
        <f t="shared" si="3"/>
        <v/>
      </c>
      <c r="B5102" s="190" t="str">
        <f t="shared" si="4"/>
        <v/>
      </c>
    </row>
    <row r="5103" spans="1:2" hidden="1">
      <c r="A5103" s="190" t="str">
        <f t="shared" si="3"/>
        <v/>
      </c>
      <c r="B5103" s="190" t="str">
        <f t="shared" si="4"/>
        <v/>
      </c>
    </row>
    <row r="5104" spans="1:2" hidden="1">
      <c r="A5104" s="190" t="str">
        <f t="shared" si="3"/>
        <v/>
      </c>
      <c r="B5104" s="190" t="str">
        <f t="shared" si="4"/>
        <v/>
      </c>
    </row>
    <row r="5105" spans="1:2" hidden="1">
      <c r="A5105" s="190" t="str">
        <f t="shared" si="3"/>
        <v/>
      </c>
      <c r="B5105" s="190" t="str">
        <f t="shared" si="4"/>
        <v/>
      </c>
    </row>
    <row r="5106" spans="1:2" hidden="1">
      <c r="A5106" s="190" t="str">
        <f t="shared" si="3"/>
        <v/>
      </c>
      <c r="B5106" s="190" t="str">
        <f t="shared" si="4"/>
        <v/>
      </c>
    </row>
    <row r="5107" spans="1:2" hidden="1">
      <c r="A5107" s="190" t="str">
        <f t="shared" si="3"/>
        <v/>
      </c>
      <c r="B5107" s="190" t="str">
        <f t="shared" si="4"/>
        <v/>
      </c>
    </row>
    <row r="5108" spans="1:2" hidden="1">
      <c r="A5108" s="190" t="str">
        <f t="shared" si="3"/>
        <v/>
      </c>
      <c r="B5108" s="190" t="str">
        <f t="shared" si="4"/>
        <v/>
      </c>
    </row>
    <row r="5109" spans="1:2" hidden="1">
      <c r="A5109" s="190" t="str">
        <f t="shared" si="3"/>
        <v/>
      </c>
      <c r="B5109" s="190" t="str">
        <f t="shared" si="4"/>
        <v/>
      </c>
    </row>
    <row r="5110" spans="1:2" hidden="1">
      <c r="A5110" s="190" t="str">
        <f t="shared" si="3"/>
        <v/>
      </c>
      <c r="B5110" s="190" t="str">
        <f t="shared" si="4"/>
        <v/>
      </c>
    </row>
    <row r="5111" spans="1:2" hidden="1">
      <c r="A5111" s="190" t="str">
        <f t="shared" si="3"/>
        <v/>
      </c>
      <c r="B5111" s="190" t="str">
        <f t="shared" si="4"/>
        <v/>
      </c>
    </row>
    <row r="5112" spans="1:2" hidden="1">
      <c r="A5112" s="190" t="str">
        <f t="shared" si="3"/>
        <v/>
      </c>
      <c r="B5112" s="190" t="str">
        <f t="shared" si="4"/>
        <v/>
      </c>
    </row>
    <row r="5113" spans="1:2" hidden="1">
      <c r="A5113" s="190" t="str">
        <f t="shared" si="3"/>
        <v/>
      </c>
      <c r="B5113" s="190" t="str">
        <f t="shared" si="4"/>
        <v/>
      </c>
    </row>
    <row r="5114" spans="1:2" hidden="1">
      <c r="A5114" s="190" t="str">
        <f t="shared" si="3"/>
        <v/>
      </c>
      <c r="B5114" s="190" t="str">
        <f t="shared" si="4"/>
        <v/>
      </c>
    </row>
    <row r="5115" spans="1:2" hidden="1">
      <c r="A5115" s="190" t="str">
        <f t="shared" si="3"/>
        <v/>
      </c>
      <c r="B5115" s="190" t="str">
        <f t="shared" si="4"/>
        <v/>
      </c>
    </row>
    <row r="5116" spans="1:2" hidden="1">
      <c r="A5116" s="190" t="str">
        <f t="shared" si="3"/>
        <v/>
      </c>
      <c r="B5116" s="190" t="str">
        <f t="shared" si="4"/>
        <v/>
      </c>
    </row>
    <row r="5117" spans="1:2" hidden="1">
      <c r="A5117" s="190" t="str">
        <f t="shared" si="3"/>
        <v/>
      </c>
      <c r="B5117" s="190" t="str">
        <f t="shared" si="4"/>
        <v/>
      </c>
    </row>
    <row r="5118" spans="1:2" hidden="1">
      <c r="A5118" s="190" t="str">
        <f t="shared" si="3"/>
        <v/>
      </c>
      <c r="B5118" s="190" t="str">
        <f t="shared" si="4"/>
        <v/>
      </c>
    </row>
    <row r="5119" spans="1:2" hidden="1">
      <c r="A5119" s="190" t="str">
        <f t="shared" ref="A5119:A5182" si="5">HYPERLINK("http://tw.stock.yahoo.com/q/ta?s=","")</f>
        <v/>
      </c>
      <c r="B5119" s="190" t="str">
        <f t="shared" si="4"/>
        <v/>
      </c>
    </row>
    <row r="5120" spans="1:2" hidden="1">
      <c r="A5120" s="190" t="str">
        <f t="shared" si="5"/>
        <v/>
      </c>
      <c r="B5120" s="190" t="str">
        <f t="shared" si="4"/>
        <v/>
      </c>
    </row>
    <row r="5121" spans="1:2" hidden="1">
      <c r="A5121" s="190" t="str">
        <f t="shared" si="5"/>
        <v/>
      </c>
      <c r="B5121" s="190" t="str">
        <f t="shared" si="4"/>
        <v/>
      </c>
    </row>
    <row r="5122" spans="1:2" hidden="1">
      <c r="A5122" s="190" t="str">
        <f t="shared" si="5"/>
        <v/>
      </c>
      <c r="B5122" s="190" t="str">
        <f t="shared" si="4"/>
        <v/>
      </c>
    </row>
    <row r="5123" spans="1:2" hidden="1">
      <c r="A5123" s="190" t="str">
        <f t="shared" si="5"/>
        <v/>
      </c>
      <c r="B5123" s="190" t="str">
        <f t="shared" si="4"/>
        <v/>
      </c>
    </row>
    <row r="5124" spans="1:2" hidden="1">
      <c r="A5124" s="190" t="str">
        <f t="shared" si="5"/>
        <v/>
      </c>
      <c r="B5124" s="190" t="str">
        <f t="shared" si="4"/>
        <v/>
      </c>
    </row>
    <row r="5125" spans="1:2" hidden="1">
      <c r="A5125" s="190" t="str">
        <f t="shared" si="5"/>
        <v/>
      </c>
      <c r="B5125" s="190" t="str">
        <f t="shared" si="4"/>
        <v/>
      </c>
    </row>
    <row r="5126" spans="1:2" hidden="1">
      <c r="A5126" s="190" t="str">
        <f t="shared" si="5"/>
        <v/>
      </c>
      <c r="B5126" s="190" t="str">
        <f t="shared" si="4"/>
        <v/>
      </c>
    </row>
    <row r="5127" spans="1:2" hidden="1">
      <c r="A5127" s="190" t="str">
        <f t="shared" si="5"/>
        <v/>
      </c>
      <c r="B5127" s="190" t="str">
        <f t="shared" si="4"/>
        <v/>
      </c>
    </row>
    <row r="5128" spans="1:2" hidden="1">
      <c r="A5128" s="190" t="str">
        <f t="shared" si="5"/>
        <v/>
      </c>
      <c r="B5128" s="190" t="str">
        <f t="shared" si="4"/>
        <v/>
      </c>
    </row>
    <row r="5129" spans="1:2" hidden="1">
      <c r="A5129" s="190" t="str">
        <f t="shared" si="5"/>
        <v/>
      </c>
      <c r="B5129" s="190" t="str">
        <f t="shared" si="4"/>
        <v/>
      </c>
    </row>
    <row r="5130" spans="1:2" hidden="1">
      <c r="A5130" s="190" t="str">
        <f t="shared" si="5"/>
        <v/>
      </c>
      <c r="B5130" s="190" t="str">
        <f t="shared" si="4"/>
        <v/>
      </c>
    </row>
    <row r="5131" spans="1:2" hidden="1">
      <c r="A5131" s="190" t="str">
        <f t="shared" si="5"/>
        <v/>
      </c>
      <c r="B5131" s="190" t="str">
        <f t="shared" si="4"/>
        <v/>
      </c>
    </row>
    <row r="5132" spans="1:2" hidden="1">
      <c r="A5132" s="190" t="str">
        <f t="shared" si="5"/>
        <v/>
      </c>
      <c r="B5132" s="190" t="str">
        <f t="shared" si="4"/>
        <v/>
      </c>
    </row>
    <row r="5133" spans="1:2" hidden="1">
      <c r="A5133" s="190" t="str">
        <f t="shared" si="5"/>
        <v/>
      </c>
      <c r="B5133" s="190" t="str">
        <f t="shared" si="4"/>
        <v/>
      </c>
    </row>
    <row r="5134" spans="1:2" hidden="1">
      <c r="A5134" s="190" t="str">
        <f t="shared" si="5"/>
        <v/>
      </c>
      <c r="B5134" s="190" t="str">
        <f t="shared" si="4"/>
        <v/>
      </c>
    </row>
    <row r="5135" spans="1:2" hidden="1">
      <c r="A5135" s="190" t="str">
        <f t="shared" si="5"/>
        <v/>
      </c>
      <c r="B5135" s="190" t="str">
        <f t="shared" si="4"/>
        <v/>
      </c>
    </row>
    <row r="5136" spans="1:2" hidden="1">
      <c r="A5136" s="190" t="str">
        <f t="shared" si="5"/>
        <v/>
      </c>
      <c r="B5136" s="190" t="str">
        <f t="shared" si="4"/>
        <v/>
      </c>
    </row>
    <row r="5137" spans="1:2" hidden="1">
      <c r="A5137" s="190" t="str">
        <f t="shared" si="5"/>
        <v/>
      </c>
      <c r="B5137" s="190" t="str">
        <f t="shared" si="4"/>
        <v/>
      </c>
    </row>
    <row r="5138" spans="1:2" hidden="1">
      <c r="A5138" s="190" t="str">
        <f t="shared" si="5"/>
        <v/>
      </c>
      <c r="B5138" s="190" t="str">
        <f t="shared" si="4"/>
        <v/>
      </c>
    </row>
    <row r="5139" spans="1:2" hidden="1">
      <c r="A5139" s="190" t="str">
        <f t="shared" si="5"/>
        <v/>
      </c>
      <c r="B5139" s="190" t="str">
        <f t="shared" si="4"/>
        <v/>
      </c>
    </row>
    <row r="5140" spans="1:2" hidden="1">
      <c r="A5140" s="190" t="str">
        <f t="shared" si="5"/>
        <v/>
      </c>
      <c r="B5140" s="190" t="str">
        <f t="shared" si="4"/>
        <v/>
      </c>
    </row>
    <row r="5141" spans="1:2" hidden="1">
      <c r="A5141" s="190" t="str">
        <f t="shared" si="5"/>
        <v/>
      </c>
      <c r="B5141" s="190" t="str">
        <f t="shared" si="4"/>
        <v/>
      </c>
    </row>
    <row r="5142" spans="1:2" hidden="1">
      <c r="A5142" s="190" t="str">
        <f t="shared" si="5"/>
        <v/>
      </c>
      <c r="B5142" s="190" t="str">
        <f t="shared" si="4"/>
        <v/>
      </c>
    </row>
    <row r="5143" spans="1:2" hidden="1">
      <c r="A5143" s="190" t="str">
        <f t="shared" si="5"/>
        <v/>
      </c>
      <c r="B5143" s="190" t="str">
        <f t="shared" si="4"/>
        <v/>
      </c>
    </row>
    <row r="5144" spans="1:2" hidden="1">
      <c r="A5144" s="190" t="str">
        <f t="shared" si="5"/>
        <v/>
      </c>
      <c r="B5144" s="190" t="str">
        <f t="shared" si="4"/>
        <v/>
      </c>
    </row>
    <row r="5145" spans="1:2" hidden="1">
      <c r="A5145" s="190" t="str">
        <f t="shared" si="5"/>
        <v/>
      </c>
      <c r="B5145" s="190" t="str">
        <f t="shared" si="4"/>
        <v/>
      </c>
    </row>
    <row r="5146" spans="1:2" hidden="1">
      <c r="A5146" s="190" t="str">
        <f t="shared" si="5"/>
        <v/>
      </c>
      <c r="B5146" s="190" t="str">
        <f t="shared" si="4"/>
        <v/>
      </c>
    </row>
    <row r="5147" spans="1:2" hidden="1">
      <c r="A5147" s="190" t="str">
        <f t="shared" si="5"/>
        <v/>
      </c>
      <c r="B5147" s="190" t="str">
        <f t="shared" si="4"/>
        <v/>
      </c>
    </row>
    <row r="5148" spans="1:2" hidden="1">
      <c r="A5148" s="190" t="str">
        <f t="shared" si="5"/>
        <v/>
      </c>
      <c r="B5148" s="190" t="str">
        <f t="shared" si="4"/>
        <v/>
      </c>
    </row>
    <row r="5149" spans="1:2" hidden="1">
      <c r="A5149" s="190" t="str">
        <f t="shared" si="5"/>
        <v/>
      </c>
      <c r="B5149" s="190" t="str">
        <f t="shared" ref="B5149:B5212" si="6">HYPERLINK("http://tw.stock.yahoo.com/d/s/earning_.html","")</f>
        <v/>
      </c>
    </row>
    <row r="5150" spans="1:2" hidden="1">
      <c r="A5150" s="190" t="str">
        <f t="shared" si="5"/>
        <v/>
      </c>
      <c r="B5150" s="190" t="str">
        <f t="shared" si="6"/>
        <v/>
      </c>
    </row>
    <row r="5151" spans="1:2" hidden="1">
      <c r="A5151" s="190" t="str">
        <f t="shared" si="5"/>
        <v/>
      </c>
      <c r="B5151" s="190" t="str">
        <f t="shared" si="6"/>
        <v/>
      </c>
    </row>
    <row r="5152" spans="1:2" hidden="1">
      <c r="A5152" s="190" t="str">
        <f t="shared" si="5"/>
        <v/>
      </c>
      <c r="B5152" s="190" t="str">
        <f t="shared" si="6"/>
        <v/>
      </c>
    </row>
    <row r="5153" spans="1:2" hidden="1">
      <c r="A5153" s="190" t="str">
        <f t="shared" si="5"/>
        <v/>
      </c>
      <c r="B5153" s="190" t="str">
        <f t="shared" si="6"/>
        <v/>
      </c>
    </row>
    <row r="5154" spans="1:2" hidden="1">
      <c r="A5154" s="190" t="str">
        <f t="shared" si="5"/>
        <v/>
      </c>
      <c r="B5154" s="190" t="str">
        <f t="shared" si="6"/>
        <v/>
      </c>
    </row>
    <row r="5155" spans="1:2" hidden="1">
      <c r="A5155" s="190" t="str">
        <f t="shared" si="5"/>
        <v/>
      </c>
      <c r="B5155" s="190" t="str">
        <f t="shared" si="6"/>
        <v/>
      </c>
    </row>
    <row r="5156" spans="1:2" hidden="1">
      <c r="A5156" s="190" t="str">
        <f t="shared" si="5"/>
        <v/>
      </c>
      <c r="B5156" s="190" t="str">
        <f t="shared" si="6"/>
        <v/>
      </c>
    </row>
    <row r="5157" spans="1:2" hidden="1">
      <c r="A5157" s="190" t="str">
        <f t="shared" si="5"/>
        <v/>
      </c>
      <c r="B5157" s="190" t="str">
        <f t="shared" si="6"/>
        <v/>
      </c>
    </row>
    <row r="5158" spans="1:2" hidden="1">
      <c r="A5158" s="190" t="str">
        <f t="shared" si="5"/>
        <v/>
      </c>
      <c r="B5158" s="190" t="str">
        <f t="shared" si="6"/>
        <v/>
      </c>
    </row>
    <row r="5159" spans="1:2" hidden="1">
      <c r="A5159" s="190" t="str">
        <f t="shared" si="5"/>
        <v/>
      </c>
      <c r="B5159" s="190" t="str">
        <f t="shared" si="6"/>
        <v/>
      </c>
    </row>
    <row r="5160" spans="1:2" hidden="1">
      <c r="A5160" s="190" t="str">
        <f t="shared" si="5"/>
        <v/>
      </c>
      <c r="B5160" s="190" t="str">
        <f t="shared" si="6"/>
        <v/>
      </c>
    </row>
    <row r="5161" spans="1:2" hidden="1">
      <c r="A5161" s="190" t="str">
        <f t="shared" si="5"/>
        <v/>
      </c>
      <c r="B5161" s="190" t="str">
        <f t="shared" si="6"/>
        <v/>
      </c>
    </row>
    <row r="5162" spans="1:2" hidden="1">
      <c r="A5162" s="190" t="str">
        <f t="shared" si="5"/>
        <v/>
      </c>
      <c r="B5162" s="190" t="str">
        <f t="shared" si="6"/>
        <v/>
      </c>
    </row>
    <row r="5163" spans="1:2" hidden="1">
      <c r="A5163" s="190" t="str">
        <f t="shared" si="5"/>
        <v/>
      </c>
      <c r="B5163" s="190" t="str">
        <f t="shared" si="6"/>
        <v/>
      </c>
    </row>
    <row r="5164" spans="1:2" hidden="1">
      <c r="A5164" s="190" t="str">
        <f t="shared" si="5"/>
        <v/>
      </c>
      <c r="B5164" s="190" t="str">
        <f t="shared" si="6"/>
        <v/>
      </c>
    </row>
    <row r="5165" spans="1:2" hidden="1">
      <c r="A5165" s="190" t="str">
        <f t="shared" si="5"/>
        <v/>
      </c>
      <c r="B5165" s="190" t="str">
        <f t="shared" si="6"/>
        <v/>
      </c>
    </row>
    <row r="5166" spans="1:2" hidden="1">
      <c r="A5166" s="190" t="str">
        <f t="shared" si="5"/>
        <v/>
      </c>
      <c r="B5166" s="190" t="str">
        <f t="shared" si="6"/>
        <v/>
      </c>
    </row>
    <row r="5167" spans="1:2" hidden="1">
      <c r="A5167" s="190" t="str">
        <f t="shared" si="5"/>
        <v/>
      </c>
      <c r="B5167" s="190" t="str">
        <f t="shared" si="6"/>
        <v/>
      </c>
    </row>
    <row r="5168" spans="1:2" hidden="1">
      <c r="A5168" s="190" t="str">
        <f t="shared" si="5"/>
        <v/>
      </c>
      <c r="B5168" s="190" t="str">
        <f t="shared" si="6"/>
        <v/>
      </c>
    </row>
    <row r="5169" spans="1:2" hidden="1">
      <c r="A5169" s="190" t="str">
        <f t="shared" si="5"/>
        <v/>
      </c>
      <c r="B5169" s="190" t="str">
        <f t="shared" si="6"/>
        <v/>
      </c>
    </row>
    <row r="5170" spans="1:2" hidden="1">
      <c r="A5170" s="190" t="str">
        <f t="shared" si="5"/>
        <v/>
      </c>
      <c r="B5170" s="190" t="str">
        <f t="shared" si="6"/>
        <v/>
      </c>
    </row>
    <row r="5171" spans="1:2" hidden="1">
      <c r="A5171" s="190" t="str">
        <f t="shared" si="5"/>
        <v/>
      </c>
      <c r="B5171" s="190" t="str">
        <f t="shared" si="6"/>
        <v/>
      </c>
    </row>
    <row r="5172" spans="1:2" hidden="1">
      <c r="A5172" s="190" t="str">
        <f t="shared" si="5"/>
        <v/>
      </c>
      <c r="B5172" s="190" t="str">
        <f t="shared" si="6"/>
        <v/>
      </c>
    </row>
    <row r="5173" spans="1:2" hidden="1">
      <c r="A5173" s="190" t="str">
        <f t="shared" si="5"/>
        <v/>
      </c>
      <c r="B5173" s="190" t="str">
        <f t="shared" si="6"/>
        <v/>
      </c>
    </row>
    <row r="5174" spans="1:2" hidden="1">
      <c r="A5174" s="190" t="str">
        <f t="shared" si="5"/>
        <v/>
      </c>
      <c r="B5174" s="190" t="str">
        <f t="shared" si="6"/>
        <v/>
      </c>
    </row>
    <row r="5175" spans="1:2" hidden="1">
      <c r="A5175" s="190" t="str">
        <f t="shared" si="5"/>
        <v/>
      </c>
      <c r="B5175" s="190" t="str">
        <f t="shared" si="6"/>
        <v/>
      </c>
    </row>
    <row r="5176" spans="1:2" hidden="1">
      <c r="A5176" s="190" t="str">
        <f t="shared" si="5"/>
        <v/>
      </c>
      <c r="B5176" s="190" t="str">
        <f t="shared" si="6"/>
        <v/>
      </c>
    </row>
    <row r="5177" spans="1:2" hidden="1">
      <c r="A5177" s="190" t="str">
        <f t="shared" si="5"/>
        <v/>
      </c>
      <c r="B5177" s="190" t="str">
        <f t="shared" si="6"/>
        <v/>
      </c>
    </row>
    <row r="5178" spans="1:2" hidden="1">
      <c r="A5178" s="190" t="str">
        <f t="shared" si="5"/>
        <v/>
      </c>
      <c r="B5178" s="190" t="str">
        <f t="shared" si="6"/>
        <v/>
      </c>
    </row>
    <row r="5179" spans="1:2" hidden="1">
      <c r="A5179" s="190" t="str">
        <f t="shared" si="5"/>
        <v/>
      </c>
      <c r="B5179" s="190" t="str">
        <f t="shared" si="6"/>
        <v/>
      </c>
    </row>
    <row r="5180" spans="1:2" hidden="1">
      <c r="A5180" s="190" t="str">
        <f t="shared" si="5"/>
        <v/>
      </c>
      <c r="B5180" s="190" t="str">
        <f t="shared" si="6"/>
        <v/>
      </c>
    </row>
    <row r="5181" spans="1:2" hidden="1">
      <c r="A5181" s="190" t="str">
        <f t="shared" si="5"/>
        <v/>
      </c>
      <c r="B5181" s="190" t="str">
        <f t="shared" si="6"/>
        <v/>
      </c>
    </row>
    <row r="5182" spans="1:2" hidden="1">
      <c r="A5182" s="190" t="str">
        <f t="shared" si="5"/>
        <v/>
      </c>
      <c r="B5182" s="190" t="str">
        <f t="shared" si="6"/>
        <v/>
      </c>
    </row>
    <row r="5183" spans="1:2" hidden="1">
      <c r="A5183" s="190" t="str">
        <f t="shared" ref="A5183:A5246" si="7">HYPERLINK("http://tw.stock.yahoo.com/q/ta?s=","")</f>
        <v/>
      </c>
      <c r="B5183" s="190" t="str">
        <f t="shared" si="6"/>
        <v/>
      </c>
    </row>
    <row r="5184" spans="1:2" hidden="1">
      <c r="A5184" s="190" t="str">
        <f t="shared" si="7"/>
        <v/>
      </c>
      <c r="B5184" s="190" t="str">
        <f t="shared" si="6"/>
        <v/>
      </c>
    </row>
    <row r="5185" spans="1:2" hidden="1">
      <c r="A5185" s="190" t="str">
        <f t="shared" si="7"/>
        <v/>
      </c>
      <c r="B5185" s="190" t="str">
        <f t="shared" si="6"/>
        <v/>
      </c>
    </row>
    <row r="5186" spans="1:2" hidden="1">
      <c r="A5186" s="190" t="str">
        <f t="shared" si="7"/>
        <v/>
      </c>
      <c r="B5186" s="190" t="str">
        <f t="shared" si="6"/>
        <v/>
      </c>
    </row>
    <row r="5187" spans="1:2" hidden="1">
      <c r="A5187" s="190" t="str">
        <f t="shared" si="7"/>
        <v/>
      </c>
      <c r="B5187" s="190" t="str">
        <f t="shared" si="6"/>
        <v/>
      </c>
    </row>
    <row r="5188" spans="1:2" hidden="1">
      <c r="A5188" s="190" t="str">
        <f t="shared" si="7"/>
        <v/>
      </c>
      <c r="B5188" s="190" t="str">
        <f t="shared" si="6"/>
        <v/>
      </c>
    </row>
    <row r="5189" spans="1:2" hidden="1">
      <c r="A5189" s="190" t="str">
        <f t="shared" si="7"/>
        <v/>
      </c>
      <c r="B5189" s="190" t="str">
        <f t="shared" si="6"/>
        <v/>
      </c>
    </row>
    <row r="5190" spans="1:2" hidden="1">
      <c r="A5190" s="190" t="str">
        <f t="shared" si="7"/>
        <v/>
      </c>
      <c r="B5190" s="190" t="str">
        <f t="shared" si="6"/>
        <v/>
      </c>
    </row>
    <row r="5191" spans="1:2" hidden="1">
      <c r="A5191" s="190" t="str">
        <f t="shared" si="7"/>
        <v/>
      </c>
      <c r="B5191" s="190" t="str">
        <f t="shared" si="6"/>
        <v/>
      </c>
    </row>
    <row r="5192" spans="1:2" hidden="1">
      <c r="A5192" s="190" t="str">
        <f t="shared" si="7"/>
        <v/>
      </c>
      <c r="B5192" s="190" t="str">
        <f t="shared" si="6"/>
        <v/>
      </c>
    </row>
    <row r="5193" spans="1:2" hidden="1">
      <c r="A5193" s="190" t="str">
        <f t="shared" si="7"/>
        <v/>
      </c>
      <c r="B5193" s="190" t="str">
        <f t="shared" si="6"/>
        <v/>
      </c>
    </row>
    <row r="5194" spans="1:2" hidden="1">
      <c r="A5194" s="190" t="str">
        <f t="shared" si="7"/>
        <v/>
      </c>
      <c r="B5194" s="190" t="str">
        <f t="shared" si="6"/>
        <v/>
      </c>
    </row>
    <row r="5195" spans="1:2" hidden="1">
      <c r="A5195" s="190" t="str">
        <f t="shared" si="7"/>
        <v/>
      </c>
      <c r="B5195" s="190" t="str">
        <f t="shared" si="6"/>
        <v/>
      </c>
    </row>
    <row r="5196" spans="1:2" hidden="1">
      <c r="A5196" s="190" t="str">
        <f t="shared" si="7"/>
        <v/>
      </c>
      <c r="B5196" s="190" t="str">
        <f t="shared" si="6"/>
        <v/>
      </c>
    </row>
    <row r="5197" spans="1:2" hidden="1">
      <c r="A5197" s="190" t="str">
        <f t="shared" si="7"/>
        <v/>
      </c>
      <c r="B5197" s="190" t="str">
        <f t="shared" si="6"/>
        <v/>
      </c>
    </row>
    <row r="5198" spans="1:2" hidden="1">
      <c r="A5198" s="190" t="str">
        <f t="shared" si="7"/>
        <v/>
      </c>
      <c r="B5198" s="190" t="str">
        <f t="shared" si="6"/>
        <v/>
      </c>
    </row>
    <row r="5199" spans="1:2" hidden="1">
      <c r="A5199" s="190" t="str">
        <f t="shared" si="7"/>
        <v/>
      </c>
      <c r="B5199" s="190" t="str">
        <f t="shared" si="6"/>
        <v/>
      </c>
    </row>
    <row r="5200" spans="1:2" hidden="1">
      <c r="A5200" s="190" t="str">
        <f t="shared" si="7"/>
        <v/>
      </c>
      <c r="B5200" s="190" t="str">
        <f t="shared" si="6"/>
        <v/>
      </c>
    </row>
    <row r="5201" spans="1:2" hidden="1">
      <c r="A5201" s="190" t="str">
        <f t="shared" si="7"/>
        <v/>
      </c>
      <c r="B5201" s="190" t="str">
        <f t="shared" si="6"/>
        <v/>
      </c>
    </row>
    <row r="5202" spans="1:2" hidden="1">
      <c r="A5202" s="190" t="str">
        <f t="shared" si="7"/>
        <v/>
      </c>
      <c r="B5202" s="190" t="str">
        <f t="shared" si="6"/>
        <v/>
      </c>
    </row>
    <row r="5203" spans="1:2" hidden="1">
      <c r="A5203" s="190" t="str">
        <f t="shared" si="7"/>
        <v/>
      </c>
      <c r="B5203" s="190" t="str">
        <f t="shared" si="6"/>
        <v/>
      </c>
    </row>
    <row r="5204" spans="1:2" hidden="1">
      <c r="A5204" s="190" t="str">
        <f t="shared" si="7"/>
        <v/>
      </c>
      <c r="B5204" s="190" t="str">
        <f t="shared" si="6"/>
        <v/>
      </c>
    </row>
    <row r="5205" spans="1:2" hidden="1">
      <c r="A5205" s="190" t="str">
        <f t="shared" si="7"/>
        <v/>
      </c>
      <c r="B5205" s="190" t="str">
        <f t="shared" si="6"/>
        <v/>
      </c>
    </row>
    <row r="5206" spans="1:2" hidden="1">
      <c r="A5206" s="190" t="str">
        <f t="shared" si="7"/>
        <v/>
      </c>
      <c r="B5206" s="190" t="str">
        <f t="shared" si="6"/>
        <v/>
      </c>
    </row>
    <row r="5207" spans="1:2" hidden="1">
      <c r="A5207" s="190" t="str">
        <f t="shared" si="7"/>
        <v/>
      </c>
      <c r="B5207" s="190" t="str">
        <f t="shared" si="6"/>
        <v/>
      </c>
    </row>
    <row r="5208" spans="1:2" hidden="1">
      <c r="A5208" s="190" t="str">
        <f t="shared" si="7"/>
        <v/>
      </c>
      <c r="B5208" s="190" t="str">
        <f t="shared" si="6"/>
        <v/>
      </c>
    </row>
    <row r="5209" spans="1:2" hidden="1">
      <c r="A5209" s="190" t="str">
        <f t="shared" si="7"/>
        <v/>
      </c>
      <c r="B5209" s="190" t="str">
        <f t="shared" si="6"/>
        <v/>
      </c>
    </row>
    <row r="5210" spans="1:2" hidden="1">
      <c r="A5210" s="190" t="str">
        <f t="shared" si="7"/>
        <v/>
      </c>
      <c r="B5210" s="190" t="str">
        <f t="shared" si="6"/>
        <v/>
      </c>
    </row>
    <row r="5211" spans="1:2" hidden="1">
      <c r="A5211" s="190" t="str">
        <f t="shared" si="7"/>
        <v/>
      </c>
      <c r="B5211" s="190" t="str">
        <f t="shared" si="6"/>
        <v/>
      </c>
    </row>
    <row r="5212" spans="1:2" hidden="1">
      <c r="A5212" s="190" t="str">
        <f t="shared" si="7"/>
        <v/>
      </c>
      <c r="B5212" s="190" t="str">
        <f t="shared" si="6"/>
        <v/>
      </c>
    </row>
    <row r="5213" spans="1:2" hidden="1">
      <c r="A5213" s="190" t="str">
        <f t="shared" si="7"/>
        <v/>
      </c>
      <c r="B5213" s="190" t="str">
        <f t="shared" ref="B5213:B5276" si="8">HYPERLINK("http://tw.stock.yahoo.com/d/s/earning_.html","")</f>
        <v/>
      </c>
    </row>
    <row r="5214" spans="1:2" hidden="1">
      <c r="A5214" s="190" t="str">
        <f t="shared" si="7"/>
        <v/>
      </c>
      <c r="B5214" s="190" t="str">
        <f t="shared" si="8"/>
        <v/>
      </c>
    </row>
    <row r="5215" spans="1:2" hidden="1">
      <c r="A5215" s="190" t="str">
        <f t="shared" si="7"/>
        <v/>
      </c>
      <c r="B5215" s="190" t="str">
        <f t="shared" si="8"/>
        <v/>
      </c>
    </row>
    <row r="5216" spans="1:2" hidden="1">
      <c r="A5216" s="190" t="str">
        <f t="shared" si="7"/>
        <v/>
      </c>
      <c r="B5216" s="190" t="str">
        <f t="shared" si="8"/>
        <v/>
      </c>
    </row>
    <row r="5217" spans="1:2" hidden="1">
      <c r="A5217" s="190" t="str">
        <f t="shared" si="7"/>
        <v/>
      </c>
      <c r="B5217" s="190" t="str">
        <f t="shared" si="8"/>
        <v/>
      </c>
    </row>
    <row r="5218" spans="1:2" hidden="1">
      <c r="A5218" s="190" t="str">
        <f t="shared" si="7"/>
        <v/>
      </c>
      <c r="B5218" s="190" t="str">
        <f t="shared" si="8"/>
        <v/>
      </c>
    </row>
    <row r="5219" spans="1:2" hidden="1">
      <c r="A5219" s="190" t="str">
        <f t="shared" si="7"/>
        <v/>
      </c>
      <c r="B5219" s="190" t="str">
        <f t="shared" si="8"/>
        <v/>
      </c>
    </row>
    <row r="5220" spans="1:2" hidden="1">
      <c r="A5220" s="190" t="str">
        <f t="shared" si="7"/>
        <v/>
      </c>
      <c r="B5220" s="190" t="str">
        <f t="shared" si="8"/>
        <v/>
      </c>
    </row>
    <row r="5221" spans="1:2" hidden="1">
      <c r="A5221" s="190" t="str">
        <f t="shared" si="7"/>
        <v/>
      </c>
      <c r="B5221" s="190" t="str">
        <f t="shared" si="8"/>
        <v/>
      </c>
    </row>
    <row r="5222" spans="1:2" hidden="1">
      <c r="A5222" s="190" t="str">
        <f t="shared" si="7"/>
        <v/>
      </c>
      <c r="B5222" s="190" t="str">
        <f t="shared" si="8"/>
        <v/>
      </c>
    </row>
    <row r="5223" spans="1:2" hidden="1">
      <c r="A5223" s="190" t="str">
        <f t="shared" si="7"/>
        <v/>
      </c>
      <c r="B5223" s="190" t="str">
        <f t="shared" si="8"/>
        <v/>
      </c>
    </row>
    <row r="5224" spans="1:2" hidden="1">
      <c r="A5224" s="190" t="str">
        <f t="shared" si="7"/>
        <v/>
      </c>
      <c r="B5224" s="190" t="str">
        <f t="shared" si="8"/>
        <v/>
      </c>
    </row>
    <row r="5225" spans="1:2" hidden="1">
      <c r="A5225" s="190" t="str">
        <f t="shared" si="7"/>
        <v/>
      </c>
      <c r="B5225" s="190" t="str">
        <f t="shared" si="8"/>
        <v/>
      </c>
    </row>
    <row r="5226" spans="1:2" hidden="1">
      <c r="A5226" s="190" t="str">
        <f t="shared" si="7"/>
        <v/>
      </c>
      <c r="B5226" s="190" t="str">
        <f t="shared" si="8"/>
        <v/>
      </c>
    </row>
    <row r="5227" spans="1:2" hidden="1">
      <c r="A5227" s="190" t="str">
        <f t="shared" si="7"/>
        <v/>
      </c>
      <c r="B5227" s="190" t="str">
        <f t="shared" si="8"/>
        <v/>
      </c>
    </row>
    <row r="5228" spans="1:2" hidden="1">
      <c r="A5228" s="190" t="str">
        <f t="shared" si="7"/>
        <v/>
      </c>
      <c r="B5228" s="190" t="str">
        <f t="shared" si="8"/>
        <v/>
      </c>
    </row>
    <row r="5229" spans="1:2" hidden="1">
      <c r="A5229" s="190" t="str">
        <f t="shared" si="7"/>
        <v/>
      </c>
      <c r="B5229" s="190" t="str">
        <f t="shared" si="8"/>
        <v/>
      </c>
    </row>
    <row r="5230" spans="1:2" hidden="1">
      <c r="A5230" s="190" t="str">
        <f t="shared" si="7"/>
        <v/>
      </c>
      <c r="B5230" s="190" t="str">
        <f t="shared" si="8"/>
        <v/>
      </c>
    </row>
    <row r="5231" spans="1:2" hidden="1">
      <c r="A5231" s="190" t="str">
        <f t="shared" si="7"/>
        <v/>
      </c>
      <c r="B5231" s="190" t="str">
        <f t="shared" si="8"/>
        <v/>
      </c>
    </row>
    <row r="5232" spans="1:2" hidden="1">
      <c r="A5232" s="190" t="str">
        <f t="shared" si="7"/>
        <v/>
      </c>
      <c r="B5232" s="190" t="str">
        <f t="shared" si="8"/>
        <v/>
      </c>
    </row>
    <row r="5233" spans="1:2" hidden="1">
      <c r="A5233" s="190" t="str">
        <f t="shared" si="7"/>
        <v/>
      </c>
      <c r="B5233" s="190" t="str">
        <f t="shared" si="8"/>
        <v/>
      </c>
    </row>
    <row r="5234" spans="1:2" hidden="1">
      <c r="A5234" s="190" t="str">
        <f t="shared" si="7"/>
        <v/>
      </c>
      <c r="B5234" s="190" t="str">
        <f t="shared" si="8"/>
        <v/>
      </c>
    </row>
    <row r="5235" spans="1:2" hidden="1">
      <c r="A5235" s="190" t="str">
        <f t="shared" si="7"/>
        <v/>
      </c>
      <c r="B5235" s="190" t="str">
        <f t="shared" si="8"/>
        <v/>
      </c>
    </row>
    <row r="5236" spans="1:2" hidden="1">
      <c r="A5236" s="190" t="str">
        <f t="shared" si="7"/>
        <v/>
      </c>
      <c r="B5236" s="190" t="str">
        <f t="shared" si="8"/>
        <v/>
      </c>
    </row>
    <row r="5237" spans="1:2" hidden="1">
      <c r="A5237" s="190" t="str">
        <f t="shared" si="7"/>
        <v/>
      </c>
      <c r="B5237" s="190" t="str">
        <f t="shared" si="8"/>
        <v/>
      </c>
    </row>
    <row r="5238" spans="1:2" hidden="1">
      <c r="A5238" s="190" t="str">
        <f t="shared" si="7"/>
        <v/>
      </c>
      <c r="B5238" s="190" t="str">
        <f t="shared" si="8"/>
        <v/>
      </c>
    </row>
    <row r="5239" spans="1:2" hidden="1">
      <c r="A5239" s="190" t="str">
        <f t="shared" si="7"/>
        <v/>
      </c>
      <c r="B5239" s="190" t="str">
        <f t="shared" si="8"/>
        <v/>
      </c>
    </row>
    <row r="5240" spans="1:2" hidden="1">
      <c r="A5240" s="190" t="str">
        <f t="shared" si="7"/>
        <v/>
      </c>
      <c r="B5240" s="190" t="str">
        <f t="shared" si="8"/>
        <v/>
      </c>
    </row>
    <row r="5241" spans="1:2" hidden="1">
      <c r="A5241" s="190" t="str">
        <f t="shared" si="7"/>
        <v/>
      </c>
      <c r="B5241" s="190" t="str">
        <f t="shared" si="8"/>
        <v/>
      </c>
    </row>
    <row r="5242" spans="1:2" hidden="1">
      <c r="A5242" s="190" t="str">
        <f t="shared" si="7"/>
        <v/>
      </c>
      <c r="B5242" s="190" t="str">
        <f t="shared" si="8"/>
        <v/>
      </c>
    </row>
    <row r="5243" spans="1:2" hidden="1">
      <c r="A5243" s="190" t="str">
        <f t="shared" si="7"/>
        <v/>
      </c>
      <c r="B5243" s="190" t="str">
        <f t="shared" si="8"/>
        <v/>
      </c>
    </row>
    <row r="5244" spans="1:2" hidden="1">
      <c r="A5244" s="190" t="str">
        <f t="shared" si="7"/>
        <v/>
      </c>
      <c r="B5244" s="190" t="str">
        <f t="shared" si="8"/>
        <v/>
      </c>
    </row>
    <row r="5245" spans="1:2" hidden="1">
      <c r="A5245" s="190" t="str">
        <f t="shared" si="7"/>
        <v/>
      </c>
      <c r="B5245" s="190" t="str">
        <f t="shared" si="8"/>
        <v/>
      </c>
    </row>
    <row r="5246" spans="1:2" hidden="1">
      <c r="A5246" s="190" t="str">
        <f t="shared" si="7"/>
        <v/>
      </c>
      <c r="B5246" s="190" t="str">
        <f t="shared" si="8"/>
        <v/>
      </c>
    </row>
    <row r="5247" spans="1:2" hidden="1">
      <c r="A5247" s="190" t="str">
        <f t="shared" ref="A5247:A5310" si="9">HYPERLINK("http://tw.stock.yahoo.com/q/ta?s=","")</f>
        <v/>
      </c>
      <c r="B5247" s="190" t="str">
        <f t="shared" si="8"/>
        <v/>
      </c>
    </row>
    <row r="5248" spans="1:2" hidden="1">
      <c r="A5248" s="190" t="str">
        <f t="shared" si="9"/>
        <v/>
      </c>
      <c r="B5248" s="190" t="str">
        <f t="shared" si="8"/>
        <v/>
      </c>
    </row>
    <row r="5249" spans="1:2" hidden="1">
      <c r="A5249" s="190" t="str">
        <f t="shared" si="9"/>
        <v/>
      </c>
      <c r="B5249" s="190" t="str">
        <f t="shared" si="8"/>
        <v/>
      </c>
    </row>
    <row r="5250" spans="1:2" hidden="1">
      <c r="A5250" s="190" t="str">
        <f t="shared" si="9"/>
        <v/>
      </c>
      <c r="B5250" s="190" t="str">
        <f t="shared" si="8"/>
        <v/>
      </c>
    </row>
    <row r="5251" spans="1:2" hidden="1">
      <c r="A5251" s="190" t="str">
        <f t="shared" si="9"/>
        <v/>
      </c>
      <c r="B5251" s="190" t="str">
        <f t="shared" si="8"/>
        <v/>
      </c>
    </row>
    <row r="5252" spans="1:2" hidden="1">
      <c r="A5252" s="190" t="str">
        <f t="shared" si="9"/>
        <v/>
      </c>
      <c r="B5252" s="190" t="str">
        <f t="shared" si="8"/>
        <v/>
      </c>
    </row>
    <row r="5253" spans="1:2" hidden="1">
      <c r="A5253" s="190" t="str">
        <f t="shared" si="9"/>
        <v/>
      </c>
      <c r="B5253" s="190" t="str">
        <f t="shared" si="8"/>
        <v/>
      </c>
    </row>
    <row r="5254" spans="1:2" hidden="1">
      <c r="A5254" s="190" t="str">
        <f t="shared" si="9"/>
        <v/>
      </c>
      <c r="B5254" s="190" t="str">
        <f t="shared" si="8"/>
        <v/>
      </c>
    </row>
    <row r="5255" spans="1:2" hidden="1">
      <c r="A5255" s="190" t="str">
        <f t="shared" si="9"/>
        <v/>
      </c>
      <c r="B5255" s="190" t="str">
        <f t="shared" si="8"/>
        <v/>
      </c>
    </row>
    <row r="5256" spans="1:2" hidden="1">
      <c r="A5256" s="190" t="str">
        <f t="shared" si="9"/>
        <v/>
      </c>
      <c r="B5256" s="190" t="str">
        <f t="shared" si="8"/>
        <v/>
      </c>
    </row>
    <row r="5257" spans="1:2" hidden="1">
      <c r="A5257" s="190" t="str">
        <f t="shared" si="9"/>
        <v/>
      </c>
      <c r="B5257" s="190" t="str">
        <f t="shared" si="8"/>
        <v/>
      </c>
    </row>
    <row r="5258" spans="1:2" hidden="1">
      <c r="A5258" s="190" t="str">
        <f t="shared" si="9"/>
        <v/>
      </c>
      <c r="B5258" s="190" t="str">
        <f t="shared" si="8"/>
        <v/>
      </c>
    </row>
    <row r="5259" spans="1:2" hidden="1">
      <c r="A5259" s="190" t="str">
        <f t="shared" si="9"/>
        <v/>
      </c>
      <c r="B5259" s="190" t="str">
        <f t="shared" si="8"/>
        <v/>
      </c>
    </row>
    <row r="5260" spans="1:2" hidden="1">
      <c r="A5260" s="190" t="str">
        <f t="shared" si="9"/>
        <v/>
      </c>
      <c r="B5260" s="190" t="str">
        <f t="shared" si="8"/>
        <v/>
      </c>
    </row>
    <row r="5261" spans="1:2" hidden="1">
      <c r="A5261" s="190" t="str">
        <f t="shared" si="9"/>
        <v/>
      </c>
      <c r="B5261" s="190" t="str">
        <f t="shared" si="8"/>
        <v/>
      </c>
    </row>
    <row r="5262" spans="1:2" hidden="1">
      <c r="A5262" s="190" t="str">
        <f t="shared" si="9"/>
        <v/>
      </c>
      <c r="B5262" s="190" t="str">
        <f t="shared" si="8"/>
        <v/>
      </c>
    </row>
    <row r="5263" spans="1:2" hidden="1">
      <c r="A5263" s="190" t="str">
        <f t="shared" si="9"/>
        <v/>
      </c>
      <c r="B5263" s="190" t="str">
        <f t="shared" si="8"/>
        <v/>
      </c>
    </row>
    <row r="5264" spans="1:2" hidden="1">
      <c r="A5264" s="190" t="str">
        <f t="shared" si="9"/>
        <v/>
      </c>
      <c r="B5264" s="190" t="str">
        <f t="shared" si="8"/>
        <v/>
      </c>
    </row>
    <row r="5265" spans="1:2" hidden="1">
      <c r="A5265" s="190" t="str">
        <f t="shared" si="9"/>
        <v/>
      </c>
      <c r="B5265" s="190" t="str">
        <f t="shared" si="8"/>
        <v/>
      </c>
    </row>
    <row r="5266" spans="1:2" hidden="1">
      <c r="A5266" s="190" t="str">
        <f t="shared" si="9"/>
        <v/>
      </c>
      <c r="B5266" s="190" t="str">
        <f t="shared" si="8"/>
        <v/>
      </c>
    </row>
    <row r="5267" spans="1:2" hidden="1">
      <c r="A5267" s="190" t="str">
        <f t="shared" si="9"/>
        <v/>
      </c>
      <c r="B5267" s="190" t="str">
        <f t="shared" si="8"/>
        <v/>
      </c>
    </row>
    <row r="5268" spans="1:2" hidden="1">
      <c r="A5268" s="190" t="str">
        <f t="shared" si="9"/>
        <v/>
      </c>
      <c r="B5268" s="190" t="str">
        <f t="shared" si="8"/>
        <v/>
      </c>
    </row>
    <row r="5269" spans="1:2" hidden="1">
      <c r="A5269" s="190" t="str">
        <f t="shared" si="9"/>
        <v/>
      </c>
      <c r="B5269" s="190" t="str">
        <f t="shared" si="8"/>
        <v/>
      </c>
    </row>
    <row r="5270" spans="1:2" hidden="1">
      <c r="A5270" s="190" t="str">
        <f t="shared" si="9"/>
        <v/>
      </c>
      <c r="B5270" s="190" t="str">
        <f t="shared" si="8"/>
        <v/>
      </c>
    </row>
    <row r="5271" spans="1:2" hidden="1">
      <c r="A5271" s="190" t="str">
        <f t="shared" si="9"/>
        <v/>
      </c>
      <c r="B5271" s="190" t="str">
        <f t="shared" si="8"/>
        <v/>
      </c>
    </row>
    <row r="5272" spans="1:2" hidden="1">
      <c r="A5272" s="190" t="str">
        <f t="shared" si="9"/>
        <v/>
      </c>
      <c r="B5272" s="190" t="str">
        <f t="shared" si="8"/>
        <v/>
      </c>
    </row>
    <row r="5273" spans="1:2" hidden="1">
      <c r="A5273" s="190" t="str">
        <f t="shared" si="9"/>
        <v/>
      </c>
      <c r="B5273" s="190" t="str">
        <f t="shared" si="8"/>
        <v/>
      </c>
    </row>
    <row r="5274" spans="1:2" hidden="1">
      <c r="A5274" s="190" t="str">
        <f t="shared" si="9"/>
        <v/>
      </c>
      <c r="B5274" s="190" t="str">
        <f t="shared" si="8"/>
        <v/>
      </c>
    </row>
    <row r="5275" spans="1:2" hidden="1">
      <c r="A5275" s="190" t="str">
        <f t="shared" si="9"/>
        <v/>
      </c>
      <c r="B5275" s="190" t="str">
        <f t="shared" si="8"/>
        <v/>
      </c>
    </row>
    <row r="5276" spans="1:2" hidden="1">
      <c r="A5276" s="190" t="str">
        <f t="shared" si="9"/>
        <v/>
      </c>
      <c r="B5276" s="190" t="str">
        <f t="shared" si="8"/>
        <v/>
      </c>
    </row>
    <row r="5277" spans="1:2" hidden="1">
      <c r="A5277" s="190" t="str">
        <f t="shared" si="9"/>
        <v/>
      </c>
      <c r="B5277" s="190" t="str">
        <f t="shared" ref="B5277:B5337" si="10">HYPERLINK("http://tw.stock.yahoo.com/d/s/earning_.html","")</f>
        <v/>
      </c>
    </row>
    <row r="5278" spans="1:2" hidden="1">
      <c r="A5278" s="190" t="str">
        <f t="shared" si="9"/>
        <v/>
      </c>
      <c r="B5278" s="190" t="str">
        <f t="shared" si="10"/>
        <v/>
      </c>
    </row>
    <row r="5279" spans="1:2" hidden="1">
      <c r="A5279" s="190" t="str">
        <f t="shared" si="9"/>
        <v/>
      </c>
      <c r="B5279" s="190" t="str">
        <f t="shared" si="10"/>
        <v/>
      </c>
    </row>
    <row r="5280" spans="1:2" hidden="1">
      <c r="A5280" s="190" t="str">
        <f t="shared" si="9"/>
        <v/>
      </c>
      <c r="B5280" s="190" t="str">
        <f t="shared" si="10"/>
        <v/>
      </c>
    </row>
    <row r="5281" spans="1:2" hidden="1">
      <c r="A5281" s="190" t="str">
        <f t="shared" si="9"/>
        <v/>
      </c>
      <c r="B5281" s="190" t="str">
        <f t="shared" si="10"/>
        <v/>
      </c>
    </row>
    <row r="5282" spans="1:2" hidden="1">
      <c r="A5282" s="190" t="str">
        <f t="shared" si="9"/>
        <v/>
      </c>
      <c r="B5282" s="190" t="str">
        <f t="shared" si="10"/>
        <v/>
      </c>
    </row>
    <row r="5283" spans="1:2" hidden="1">
      <c r="A5283" s="190" t="str">
        <f t="shared" si="9"/>
        <v/>
      </c>
      <c r="B5283" s="190" t="str">
        <f t="shared" si="10"/>
        <v/>
      </c>
    </row>
    <row r="5284" spans="1:2" hidden="1">
      <c r="A5284" s="190" t="str">
        <f t="shared" si="9"/>
        <v/>
      </c>
      <c r="B5284" s="190" t="str">
        <f t="shared" si="10"/>
        <v/>
      </c>
    </row>
    <row r="5285" spans="1:2" hidden="1">
      <c r="A5285" s="190" t="str">
        <f t="shared" si="9"/>
        <v/>
      </c>
      <c r="B5285" s="190" t="str">
        <f t="shared" si="10"/>
        <v/>
      </c>
    </row>
    <row r="5286" spans="1:2" hidden="1">
      <c r="A5286" s="190" t="str">
        <f t="shared" si="9"/>
        <v/>
      </c>
      <c r="B5286" s="190" t="str">
        <f t="shared" si="10"/>
        <v/>
      </c>
    </row>
    <row r="5287" spans="1:2" hidden="1">
      <c r="A5287" s="190" t="str">
        <f t="shared" si="9"/>
        <v/>
      </c>
      <c r="B5287" s="190" t="str">
        <f t="shared" si="10"/>
        <v/>
      </c>
    </row>
    <row r="5288" spans="1:2" hidden="1">
      <c r="A5288" s="190" t="str">
        <f t="shared" si="9"/>
        <v/>
      </c>
      <c r="B5288" s="190" t="str">
        <f t="shared" si="10"/>
        <v/>
      </c>
    </row>
    <row r="5289" spans="1:2" hidden="1">
      <c r="A5289" s="190" t="str">
        <f t="shared" si="9"/>
        <v/>
      </c>
      <c r="B5289" s="190" t="str">
        <f t="shared" si="10"/>
        <v/>
      </c>
    </row>
    <row r="5290" spans="1:2" hidden="1">
      <c r="A5290" s="190" t="str">
        <f t="shared" si="9"/>
        <v/>
      </c>
      <c r="B5290" s="190" t="str">
        <f t="shared" si="10"/>
        <v/>
      </c>
    </row>
    <row r="5291" spans="1:2" hidden="1">
      <c r="A5291" s="190" t="str">
        <f t="shared" si="9"/>
        <v/>
      </c>
      <c r="B5291" s="190" t="str">
        <f t="shared" si="10"/>
        <v/>
      </c>
    </row>
    <row r="5292" spans="1:2" hidden="1">
      <c r="A5292" s="190" t="str">
        <f t="shared" si="9"/>
        <v/>
      </c>
      <c r="B5292" s="190" t="str">
        <f t="shared" si="10"/>
        <v/>
      </c>
    </row>
    <row r="5293" spans="1:2" hidden="1">
      <c r="A5293" s="190" t="str">
        <f t="shared" si="9"/>
        <v/>
      </c>
      <c r="B5293" s="190" t="str">
        <f t="shared" si="10"/>
        <v/>
      </c>
    </row>
    <row r="5294" spans="1:2" hidden="1">
      <c r="A5294" s="190" t="str">
        <f t="shared" si="9"/>
        <v/>
      </c>
      <c r="B5294" s="190" t="str">
        <f t="shared" si="10"/>
        <v/>
      </c>
    </row>
    <row r="5295" spans="1:2" hidden="1">
      <c r="A5295" s="190" t="str">
        <f t="shared" si="9"/>
        <v/>
      </c>
      <c r="B5295" s="190" t="str">
        <f t="shared" si="10"/>
        <v/>
      </c>
    </row>
    <row r="5296" spans="1:2" hidden="1">
      <c r="A5296" s="190" t="str">
        <f t="shared" si="9"/>
        <v/>
      </c>
      <c r="B5296" s="190" t="str">
        <f t="shared" si="10"/>
        <v/>
      </c>
    </row>
    <row r="5297" spans="1:2" hidden="1">
      <c r="A5297" s="190" t="str">
        <f t="shared" si="9"/>
        <v/>
      </c>
      <c r="B5297" s="190" t="str">
        <f t="shared" si="10"/>
        <v/>
      </c>
    </row>
    <row r="5298" spans="1:2" hidden="1">
      <c r="A5298" s="190" t="str">
        <f t="shared" si="9"/>
        <v/>
      </c>
      <c r="B5298" s="190" t="str">
        <f t="shared" si="10"/>
        <v/>
      </c>
    </row>
    <row r="5299" spans="1:2" hidden="1">
      <c r="A5299" s="190" t="str">
        <f t="shared" si="9"/>
        <v/>
      </c>
      <c r="B5299" s="190" t="str">
        <f t="shared" si="10"/>
        <v/>
      </c>
    </row>
    <row r="5300" spans="1:2" hidden="1">
      <c r="A5300" s="190" t="str">
        <f t="shared" si="9"/>
        <v/>
      </c>
      <c r="B5300" s="190" t="str">
        <f t="shared" si="10"/>
        <v/>
      </c>
    </row>
    <row r="5301" spans="1:2" hidden="1">
      <c r="A5301" s="190" t="str">
        <f t="shared" si="9"/>
        <v/>
      </c>
      <c r="B5301" s="190" t="str">
        <f t="shared" si="10"/>
        <v/>
      </c>
    </row>
    <row r="5302" spans="1:2" hidden="1">
      <c r="A5302" s="190" t="str">
        <f t="shared" si="9"/>
        <v/>
      </c>
      <c r="B5302" s="190" t="str">
        <f t="shared" si="10"/>
        <v/>
      </c>
    </row>
    <row r="5303" spans="1:2" hidden="1">
      <c r="A5303" s="190" t="str">
        <f t="shared" si="9"/>
        <v/>
      </c>
      <c r="B5303" s="190" t="str">
        <f t="shared" si="10"/>
        <v/>
      </c>
    </row>
    <row r="5304" spans="1:2" hidden="1">
      <c r="A5304" s="190" t="str">
        <f t="shared" si="9"/>
        <v/>
      </c>
      <c r="B5304" s="190" t="str">
        <f t="shared" si="10"/>
        <v/>
      </c>
    </row>
    <row r="5305" spans="1:2" hidden="1">
      <c r="A5305" s="190" t="str">
        <f t="shared" si="9"/>
        <v/>
      </c>
      <c r="B5305" s="190" t="str">
        <f t="shared" si="10"/>
        <v/>
      </c>
    </row>
    <row r="5306" spans="1:2" hidden="1">
      <c r="A5306" s="190" t="str">
        <f t="shared" si="9"/>
        <v/>
      </c>
      <c r="B5306" s="190" t="str">
        <f t="shared" si="10"/>
        <v/>
      </c>
    </row>
    <row r="5307" spans="1:2" hidden="1">
      <c r="A5307" s="190" t="str">
        <f t="shared" si="9"/>
        <v/>
      </c>
      <c r="B5307" s="190" t="str">
        <f t="shared" si="10"/>
        <v/>
      </c>
    </row>
    <row r="5308" spans="1:2" hidden="1">
      <c r="A5308" s="190" t="str">
        <f t="shared" si="9"/>
        <v/>
      </c>
      <c r="B5308" s="190" t="str">
        <f t="shared" si="10"/>
        <v/>
      </c>
    </row>
    <row r="5309" spans="1:2" hidden="1">
      <c r="A5309" s="190" t="str">
        <f t="shared" si="9"/>
        <v/>
      </c>
      <c r="B5309" s="190" t="str">
        <f t="shared" si="10"/>
        <v/>
      </c>
    </row>
    <row r="5310" spans="1:2" hidden="1">
      <c r="A5310" s="190" t="str">
        <f t="shared" si="9"/>
        <v/>
      </c>
      <c r="B5310" s="190" t="str">
        <f t="shared" si="10"/>
        <v/>
      </c>
    </row>
    <row r="5311" spans="1:2" hidden="1">
      <c r="A5311" s="190" t="str">
        <f t="shared" ref="A5311:A5374" si="11">HYPERLINK("http://tw.stock.yahoo.com/q/ta?s=","")</f>
        <v/>
      </c>
      <c r="B5311" s="190" t="str">
        <f t="shared" si="10"/>
        <v/>
      </c>
    </row>
    <row r="5312" spans="1:2" hidden="1">
      <c r="A5312" s="190" t="str">
        <f t="shared" si="11"/>
        <v/>
      </c>
      <c r="B5312" s="190" t="str">
        <f t="shared" si="10"/>
        <v/>
      </c>
    </row>
    <row r="5313" spans="1:2" hidden="1">
      <c r="A5313" s="190" t="str">
        <f t="shared" si="11"/>
        <v/>
      </c>
      <c r="B5313" s="190" t="str">
        <f t="shared" si="10"/>
        <v/>
      </c>
    </row>
    <row r="5314" spans="1:2" hidden="1">
      <c r="A5314" s="190" t="str">
        <f t="shared" si="11"/>
        <v/>
      </c>
      <c r="B5314" s="190" t="str">
        <f t="shared" si="10"/>
        <v/>
      </c>
    </row>
    <row r="5315" spans="1:2" hidden="1">
      <c r="A5315" s="190" t="str">
        <f t="shared" si="11"/>
        <v/>
      </c>
      <c r="B5315" s="190" t="str">
        <f t="shared" si="10"/>
        <v/>
      </c>
    </row>
    <row r="5316" spans="1:2" hidden="1">
      <c r="A5316" s="190" t="str">
        <f t="shared" si="11"/>
        <v/>
      </c>
      <c r="B5316" s="190" t="str">
        <f t="shared" si="10"/>
        <v/>
      </c>
    </row>
    <row r="5317" spans="1:2" hidden="1">
      <c r="A5317" s="190" t="str">
        <f t="shared" si="11"/>
        <v/>
      </c>
      <c r="B5317" s="190" t="str">
        <f t="shared" si="10"/>
        <v/>
      </c>
    </row>
    <row r="5318" spans="1:2" hidden="1">
      <c r="A5318" s="190" t="str">
        <f t="shared" si="11"/>
        <v/>
      </c>
      <c r="B5318" s="190" t="str">
        <f t="shared" si="10"/>
        <v/>
      </c>
    </row>
    <row r="5319" spans="1:2" hidden="1">
      <c r="A5319" s="190" t="str">
        <f t="shared" si="11"/>
        <v/>
      </c>
      <c r="B5319" s="190" t="str">
        <f t="shared" si="10"/>
        <v/>
      </c>
    </row>
    <row r="5320" spans="1:2" hidden="1">
      <c r="A5320" s="190" t="str">
        <f t="shared" si="11"/>
        <v/>
      </c>
      <c r="B5320" s="190" t="str">
        <f t="shared" si="10"/>
        <v/>
      </c>
    </row>
    <row r="5321" spans="1:2" hidden="1">
      <c r="A5321" s="190" t="str">
        <f t="shared" si="11"/>
        <v/>
      </c>
      <c r="B5321" s="190" t="str">
        <f t="shared" si="10"/>
        <v/>
      </c>
    </row>
    <row r="5322" spans="1:2" hidden="1">
      <c r="A5322" s="190" t="str">
        <f t="shared" si="11"/>
        <v/>
      </c>
      <c r="B5322" s="190" t="str">
        <f t="shared" si="10"/>
        <v/>
      </c>
    </row>
    <row r="5323" spans="1:2" hidden="1">
      <c r="A5323" s="190" t="str">
        <f t="shared" si="11"/>
        <v/>
      </c>
      <c r="B5323" s="190" t="str">
        <f t="shared" si="10"/>
        <v/>
      </c>
    </row>
    <row r="5324" spans="1:2" hidden="1">
      <c r="A5324" s="190" t="str">
        <f t="shared" si="11"/>
        <v/>
      </c>
      <c r="B5324" s="190" t="str">
        <f t="shared" si="10"/>
        <v/>
      </c>
    </row>
    <row r="5325" spans="1:2" hidden="1">
      <c r="A5325" s="190" t="str">
        <f t="shared" si="11"/>
        <v/>
      </c>
      <c r="B5325" s="190" t="str">
        <f t="shared" si="10"/>
        <v/>
      </c>
    </row>
    <row r="5326" spans="1:2" hidden="1">
      <c r="A5326" s="190" t="str">
        <f t="shared" si="11"/>
        <v/>
      </c>
      <c r="B5326" s="190" t="str">
        <f t="shared" si="10"/>
        <v/>
      </c>
    </row>
    <row r="5327" spans="1:2" hidden="1">
      <c r="A5327" s="190" t="str">
        <f t="shared" si="11"/>
        <v/>
      </c>
      <c r="B5327" s="190" t="str">
        <f t="shared" si="10"/>
        <v/>
      </c>
    </row>
    <row r="5328" spans="1:2" hidden="1">
      <c r="A5328" s="190" t="str">
        <f t="shared" si="11"/>
        <v/>
      </c>
      <c r="B5328" s="190" t="str">
        <f t="shared" si="10"/>
        <v/>
      </c>
    </row>
    <row r="5329" spans="1:2" hidden="1">
      <c r="A5329" s="190" t="str">
        <f t="shared" si="11"/>
        <v/>
      </c>
      <c r="B5329" s="190" t="str">
        <f t="shared" si="10"/>
        <v/>
      </c>
    </row>
    <row r="5330" spans="1:2" hidden="1">
      <c r="A5330" s="190" t="str">
        <f t="shared" si="11"/>
        <v/>
      </c>
      <c r="B5330" s="190" t="str">
        <f t="shared" si="10"/>
        <v/>
      </c>
    </row>
    <row r="5331" spans="1:2" hidden="1">
      <c r="A5331" s="190" t="str">
        <f t="shared" si="11"/>
        <v/>
      </c>
      <c r="B5331" s="190" t="str">
        <f t="shared" si="10"/>
        <v/>
      </c>
    </row>
    <row r="5332" spans="1:2" hidden="1">
      <c r="A5332" s="190" t="str">
        <f t="shared" si="11"/>
        <v/>
      </c>
      <c r="B5332" s="190" t="str">
        <f t="shared" si="10"/>
        <v/>
      </c>
    </row>
    <row r="5333" spans="1:2" hidden="1">
      <c r="A5333" s="190" t="str">
        <f t="shared" si="11"/>
        <v/>
      </c>
      <c r="B5333" s="190" t="str">
        <f t="shared" si="10"/>
        <v/>
      </c>
    </row>
    <row r="5334" spans="1:2" hidden="1">
      <c r="A5334" s="190" t="str">
        <f t="shared" si="11"/>
        <v/>
      </c>
      <c r="B5334" s="190" t="str">
        <f t="shared" si="10"/>
        <v/>
      </c>
    </row>
    <row r="5335" spans="1:2" hidden="1">
      <c r="A5335" s="190" t="str">
        <f t="shared" si="11"/>
        <v/>
      </c>
      <c r="B5335" s="190" t="str">
        <f t="shared" si="10"/>
        <v/>
      </c>
    </row>
    <row r="5336" spans="1:2" hidden="1">
      <c r="A5336" s="190" t="str">
        <f t="shared" si="11"/>
        <v/>
      </c>
      <c r="B5336" s="190" t="str">
        <f t="shared" si="10"/>
        <v/>
      </c>
    </row>
    <row r="5337" spans="1:2" hidden="1">
      <c r="A5337" s="190" t="str">
        <f t="shared" si="11"/>
        <v/>
      </c>
      <c r="B5337" s="190" t="str">
        <f t="shared" si="10"/>
        <v/>
      </c>
    </row>
    <row r="5338" spans="1:2" hidden="1">
      <c r="A5338" s="190" t="str">
        <f t="shared" si="11"/>
        <v/>
      </c>
    </row>
    <row r="5339" spans="1:2" hidden="1">
      <c r="A5339" s="190" t="str">
        <f t="shared" si="11"/>
        <v/>
      </c>
      <c r="B5339" s="190" t="str">
        <f t="shared" ref="B5339:B5402" si="12">HYPERLINK("http://tw.stock.yahoo.com/d/s/earning_.html","")</f>
        <v/>
      </c>
    </row>
    <row r="5340" spans="1:2" hidden="1">
      <c r="A5340" s="190" t="str">
        <f t="shared" si="11"/>
        <v/>
      </c>
      <c r="B5340" s="190" t="str">
        <f t="shared" si="12"/>
        <v/>
      </c>
    </row>
    <row r="5341" spans="1:2" hidden="1">
      <c r="A5341" s="190" t="str">
        <f t="shared" si="11"/>
        <v/>
      </c>
      <c r="B5341" s="190" t="str">
        <f t="shared" si="12"/>
        <v/>
      </c>
    </row>
    <row r="5342" spans="1:2" hidden="1">
      <c r="A5342" s="190" t="str">
        <f t="shared" si="11"/>
        <v/>
      </c>
      <c r="B5342" s="190" t="str">
        <f t="shared" si="12"/>
        <v/>
      </c>
    </row>
    <row r="5343" spans="1:2" hidden="1">
      <c r="A5343" s="190" t="str">
        <f t="shared" si="11"/>
        <v/>
      </c>
      <c r="B5343" s="190" t="str">
        <f t="shared" si="12"/>
        <v/>
      </c>
    </row>
    <row r="5344" spans="1:2" hidden="1">
      <c r="A5344" s="190" t="str">
        <f t="shared" si="11"/>
        <v/>
      </c>
      <c r="B5344" s="190" t="str">
        <f t="shared" si="12"/>
        <v/>
      </c>
    </row>
    <row r="5345" spans="1:2" hidden="1">
      <c r="A5345" s="190" t="str">
        <f t="shared" si="11"/>
        <v/>
      </c>
      <c r="B5345" s="190" t="str">
        <f t="shared" si="12"/>
        <v/>
      </c>
    </row>
    <row r="5346" spans="1:2" hidden="1">
      <c r="A5346" s="190" t="str">
        <f t="shared" si="11"/>
        <v/>
      </c>
      <c r="B5346" s="190" t="str">
        <f t="shared" si="12"/>
        <v/>
      </c>
    </row>
    <row r="5347" spans="1:2" hidden="1">
      <c r="A5347" s="190" t="str">
        <f t="shared" si="11"/>
        <v/>
      </c>
      <c r="B5347" s="190" t="str">
        <f t="shared" si="12"/>
        <v/>
      </c>
    </row>
    <row r="5348" spans="1:2" hidden="1">
      <c r="A5348" s="190" t="str">
        <f t="shared" si="11"/>
        <v/>
      </c>
      <c r="B5348" s="190" t="str">
        <f t="shared" si="12"/>
        <v/>
      </c>
    </row>
    <row r="5349" spans="1:2" hidden="1">
      <c r="A5349" s="190" t="str">
        <f t="shared" si="11"/>
        <v/>
      </c>
      <c r="B5349" s="190" t="str">
        <f t="shared" si="12"/>
        <v/>
      </c>
    </row>
    <row r="5350" spans="1:2" hidden="1">
      <c r="A5350" s="190" t="str">
        <f t="shared" si="11"/>
        <v/>
      </c>
      <c r="B5350" s="190" t="str">
        <f t="shared" si="12"/>
        <v/>
      </c>
    </row>
    <row r="5351" spans="1:2" hidden="1">
      <c r="A5351" s="190" t="str">
        <f t="shared" si="11"/>
        <v/>
      </c>
      <c r="B5351" s="190" t="str">
        <f t="shared" si="12"/>
        <v/>
      </c>
    </row>
    <row r="5352" spans="1:2" hidden="1">
      <c r="A5352" s="190" t="str">
        <f t="shared" si="11"/>
        <v/>
      </c>
      <c r="B5352" s="190" t="str">
        <f t="shared" si="12"/>
        <v/>
      </c>
    </row>
    <row r="5353" spans="1:2" hidden="1">
      <c r="A5353" s="190" t="str">
        <f t="shared" si="11"/>
        <v/>
      </c>
      <c r="B5353" s="190" t="str">
        <f t="shared" si="12"/>
        <v/>
      </c>
    </row>
    <row r="5354" spans="1:2" hidden="1">
      <c r="A5354" s="190" t="str">
        <f t="shared" si="11"/>
        <v/>
      </c>
      <c r="B5354" s="190" t="str">
        <f t="shared" si="12"/>
        <v/>
      </c>
    </row>
    <row r="5355" spans="1:2" hidden="1">
      <c r="A5355" s="190" t="str">
        <f t="shared" si="11"/>
        <v/>
      </c>
      <c r="B5355" s="190" t="str">
        <f t="shared" si="12"/>
        <v/>
      </c>
    </row>
    <row r="5356" spans="1:2" hidden="1">
      <c r="A5356" s="190" t="str">
        <f t="shared" si="11"/>
        <v/>
      </c>
      <c r="B5356" s="190" t="str">
        <f t="shared" si="12"/>
        <v/>
      </c>
    </row>
    <row r="5357" spans="1:2" hidden="1">
      <c r="A5357" s="190" t="str">
        <f t="shared" si="11"/>
        <v/>
      </c>
      <c r="B5357" s="190" t="str">
        <f t="shared" si="12"/>
        <v/>
      </c>
    </row>
    <row r="5358" spans="1:2" hidden="1">
      <c r="A5358" s="190" t="str">
        <f t="shared" si="11"/>
        <v/>
      </c>
      <c r="B5358" s="190" t="str">
        <f t="shared" si="12"/>
        <v/>
      </c>
    </row>
    <row r="5359" spans="1:2" hidden="1">
      <c r="A5359" s="190" t="str">
        <f t="shared" si="11"/>
        <v/>
      </c>
      <c r="B5359" s="190" t="str">
        <f t="shared" si="12"/>
        <v/>
      </c>
    </row>
    <row r="5360" spans="1:2" hidden="1">
      <c r="A5360" s="190" t="str">
        <f t="shared" si="11"/>
        <v/>
      </c>
      <c r="B5360" s="190" t="str">
        <f t="shared" si="12"/>
        <v/>
      </c>
    </row>
    <row r="5361" spans="1:2" hidden="1">
      <c r="A5361" s="190" t="str">
        <f t="shared" si="11"/>
        <v/>
      </c>
      <c r="B5361" s="190" t="str">
        <f t="shared" si="12"/>
        <v/>
      </c>
    </row>
    <row r="5362" spans="1:2" hidden="1">
      <c r="A5362" s="190" t="str">
        <f t="shared" si="11"/>
        <v/>
      </c>
      <c r="B5362" s="190" t="str">
        <f t="shared" si="12"/>
        <v/>
      </c>
    </row>
    <row r="5363" spans="1:2" hidden="1">
      <c r="A5363" s="190" t="str">
        <f t="shared" si="11"/>
        <v/>
      </c>
      <c r="B5363" s="190" t="str">
        <f t="shared" si="12"/>
        <v/>
      </c>
    </row>
    <row r="5364" spans="1:2" hidden="1">
      <c r="A5364" s="190" t="str">
        <f t="shared" si="11"/>
        <v/>
      </c>
      <c r="B5364" s="190" t="str">
        <f t="shared" si="12"/>
        <v/>
      </c>
    </row>
    <row r="5365" spans="1:2" hidden="1">
      <c r="A5365" s="190" t="str">
        <f t="shared" si="11"/>
        <v/>
      </c>
      <c r="B5365" s="190" t="str">
        <f t="shared" si="12"/>
        <v/>
      </c>
    </row>
    <row r="5366" spans="1:2" hidden="1">
      <c r="A5366" s="190" t="str">
        <f t="shared" si="11"/>
        <v/>
      </c>
      <c r="B5366" s="190" t="str">
        <f t="shared" si="12"/>
        <v/>
      </c>
    </row>
    <row r="5367" spans="1:2" hidden="1">
      <c r="A5367" s="190" t="str">
        <f t="shared" si="11"/>
        <v/>
      </c>
      <c r="B5367" s="190" t="str">
        <f t="shared" si="12"/>
        <v/>
      </c>
    </row>
    <row r="5368" spans="1:2" hidden="1">
      <c r="A5368" s="190" t="str">
        <f t="shared" si="11"/>
        <v/>
      </c>
      <c r="B5368" s="190" t="str">
        <f t="shared" si="12"/>
        <v/>
      </c>
    </row>
    <row r="5369" spans="1:2" hidden="1">
      <c r="A5369" s="190" t="str">
        <f t="shared" si="11"/>
        <v/>
      </c>
      <c r="B5369" s="190" t="str">
        <f t="shared" si="12"/>
        <v/>
      </c>
    </row>
    <row r="5370" spans="1:2" hidden="1">
      <c r="A5370" s="190" t="str">
        <f t="shared" si="11"/>
        <v/>
      </c>
      <c r="B5370" s="190" t="str">
        <f t="shared" si="12"/>
        <v/>
      </c>
    </row>
    <row r="5371" spans="1:2" hidden="1">
      <c r="A5371" s="190" t="str">
        <f t="shared" si="11"/>
        <v/>
      </c>
      <c r="B5371" s="190" t="str">
        <f t="shared" si="12"/>
        <v/>
      </c>
    </row>
    <row r="5372" spans="1:2" hidden="1">
      <c r="A5372" s="190" t="str">
        <f t="shared" si="11"/>
        <v/>
      </c>
      <c r="B5372" s="190" t="str">
        <f t="shared" si="12"/>
        <v/>
      </c>
    </row>
    <row r="5373" spans="1:2" hidden="1">
      <c r="A5373" s="190" t="str">
        <f t="shared" si="11"/>
        <v/>
      </c>
      <c r="B5373" s="190" t="str">
        <f t="shared" si="12"/>
        <v/>
      </c>
    </row>
    <row r="5374" spans="1:2" hidden="1">
      <c r="A5374" s="190" t="str">
        <f t="shared" si="11"/>
        <v/>
      </c>
      <c r="B5374" s="190" t="str">
        <f t="shared" si="12"/>
        <v/>
      </c>
    </row>
    <row r="5375" spans="1:2" hidden="1">
      <c r="A5375" s="190" t="str">
        <f t="shared" ref="A5375:A5438" si="13">HYPERLINK("http://tw.stock.yahoo.com/q/ta?s=","")</f>
        <v/>
      </c>
      <c r="B5375" s="190" t="str">
        <f t="shared" si="12"/>
        <v/>
      </c>
    </row>
    <row r="5376" spans="1:2" hidden="1">
      <c r="A5376" s="190" t="str">
        <f t="shared" si="13"/>
        <v/>
      </c>
      <c r="B5376" s="190" t="str">
        <f t="shared" si="12"/>
        <v/>
      </c>
    </row>
    <row r="5377" spans="1:2" hidden="1">
      <c r="A5377" s="190" t="str">
        <f t="shared" si="13"/>
        <v/>
      </c>
      <c r="B5377" s="190" t="str">
        <f t="shared" si="12"/>
        <v/>
      </c>
    </row>
    <row r="5378" spans="1:2" hidden="1">
      <c r="A5378" s="190" t="str">
        <f t="shared" si="13"/>
        <v/>
      </c>
      <c r="B5378" s="190" t="str">
        <f t="shared" si="12"/>
        <v/>
      </c>
    </row>
    <row r="5379" spans="1:2" hidden="1">
      <c r="A5379" s="190" t="str">
        <f t="shared" si="13"/>
        <v/>
      </c>
      <c r="B5379" s="190" t="str">
        <f t="shared" si="12"/>
        <v/>
      </c>
    </row>
    <row r="5380" spans="1:2" hidden="1">
      <c r="A5380" s="190" t="str">
        <f t="shared" si="13"/>
        <v/>
      </c>
      <c r="B5380" s="190" t="str">
        <f t="shared" si="12"/>
        <v/>
      </c>
    </row>
    <row r="5381" spans="1:2" hidden="1">
      <c r="A5381" s="190" t="str">
        <f t="shared" si="13"/>
        <v/>
      </c>
      <c r="B5381" s="190" t="str">
        <f t="shared" si="12"/>
        <v/>
      </c>
    </row>
    <row r="5382" spans="1:2" hidden="1">
      <c r="A5382" s="190" t="str">
        <f t="shared" si="13"/>
        <v/>
      </c>
      <c r="B5382" s="190" t="str">
        <f t="shared" si="12"/>
        <v/>
      </c>
    </row>
    <row r="5383" spans="1:2" hidden="1">
      <c r="A5383" s="190" t="str">
        <f t="shared" si="13"/>
        <v/>
      </c>
      <c r="B5383" s="190" t="str">
        <f t="shared" si="12"/>
        <v/>
      </c>
    </row>
    <row r="5384" spans="1:2" hidden="1">
      <c r="A5384" s="190" t="str">
        <f t="shared" si="13"/>
        <v/>
      </c>
      <c r="B5384" s="190" t="str">
        <f t="shared" si="12"/>
        <v/>
      </c>
    </row>
    <row r="5385" spans="1:2" hidden="1">
      <c r="A5385" s="190" t="str">
        <f t="shared" si="13"/>
        <v/>
      </c>
      <c r="B5385" s="190" t="str">
        <f t="shared" si="12"/>
        <v/>
      </c>
    </row>
    <row r="5386" spans="1:2" hidden="1">
      <c r="A5386" s="190" t="str">
        <f t="shared" si="13"/>
        <v/>
      </c>
      <c r="B5386" s="190" t="str">
        <f t="shared" si="12"/>
        <v/>
      </c>
    </row>
    <row r="5387" spans="1:2" hidden="1">
      <c r="A5387" s="190" t="str">
        <f t="shared" si="13"/>
        <v/>
      </c>
      <c r="B5387" s="190" t="str">
        <f t="shared" si="12"/>
        <v/>
      </c>
    </row>
    <row r="5388" spans="1:2" hidden="1">
      <c r="A5388" s="190" t="str">
        <f t="shared" si="13"/>
        <v/>
      </c>
      <c r="B5388" s="190" t="str">
        <f t="shared" si="12"/>
        <v/>
      </c>
    </row>
    <row r="5389" spans="1:2" hidden="1">
      <c r="A5389" s="190" t="str">
        <f t="shared" si="13"/>
        <v/>
      </c>
      <c r="B5389" s="190" t="str">
        <f t="shared" si="12"/>
        <v/>
      </c>
    </row>
    <row r="5390" spans="1:2" hidden="1">
      <c r="A5390" s="190" t="str">
        <f t="shared" si="13"/>
        <v/>
      </c>
      <c r="B5390" s="190" t="str">
        <f t="shared" si="12"/>
        <v/>
      </c>
    </row>
    <row r="5391" spans="1:2" hidden="1">
      <c r="A5391" s="190" t="str">
        <f t="shared" si="13"/>
        <v/>
      </c>
      <c r="B5391" s="190" t="str">
        <f t="shared" si="12"/>
        <v/>
      </c>
    </row>
    <row r="5392" spans="1:2" hidden="1">
      <c r="A5392" s="190" t="str">
        <f t="shared" si="13"/>
        <v/>
      </c>
      <c r="B5392" s="190" t="str">
        <f t="shared" si="12"/>
        <v/>
      </c>
    </row>
    <row r="5393" spans="1:2" hidden="1">
      <c r="A5393" s="190" t="str">
        <f t="shared" si="13"/>
        <v/>
      </c>
      <c r="B5393" s="190" t="str">
        <f t="shared" si="12"/>
        <v/>
      </c>
    </row>
    <row r="5394" spans="1:2" hidden="1">
      <c r="A5394" s="190" t="str">
        <f t="shared" si="13"/>
        <v/>
      </c>
      <c r="B5394" s="190" t="str">
        <f t="shared" si="12"/>
        <v/>
      </c>
    </row>
    <row r="5395" spans="1:2" hidden="1">
      <c r="A5395" s="190" t="str">
        <f t="shared" si="13"/>
        <v/>
      </c>
      <c r="B5395" s="190" t="str">
        <f t="shared" si="12"/>
        <v/>
      </c>
    </row>
    <row r="5396" spans="1:2" hidden="1">
      <c r="A5396" s="190" t="str">
        <f t="shared" si="13"/>
        <v/>
      </c>
      <c r="B5396" s="190" t="str">
        <f t="shared" si="12"/>
        <v/>
      </c>
    </row>
    <row r="5397" spans="1:2" hidden="1">
      <c r="A5397" s="190" t="str">
        <f t="shared" si="13"/>
        <v/>
      </c>
      <c r="B5397" s="190" t="str">
        <f t="shared" si="12"/>
        <v/>
      </c>
    </row>
    <row r="5398" spans="1:2" hidden="1">
      <c r="A5398" s="190" t="str">
        <f t="shared" si="13"/>
        <v/>
      </c>
      <c r="B5398" s="190" t="str">
        <f t="shared" si="12"/>
        <v/>
      </c>
    </row>
    <row r="5399" spans="1:2" hidden="1">
      <c r="A5399" s="190" t="str">
        <f t="shared" si="13"/>
        <v/>
      </c>
      <c r="B5399" s="190" t="str">
        <f t="shared" si="12"/>
        <v/>
      </c>
    </row>
    <row r="5400" spans="1:2" hidden="1">
      <c r="A5400" s="190" t="str">
        <f t="shared" si="13"/>
        <v/>
      </c>
      <c r="B5400" s="190" t="str">
        <f t="shared" si="12"/>
        <v/>
      </c>
    </row>
    <row r="5401" spans="1:2" hidden="1">
      <c r="A5401" s="190" t="str">
        <f t="shared" si="13"/>
        <v/>
      </c>
      <c r="B5401" s="190" t="str">
        <f t="shared" si="12"/>
        <v/>
      </c>
    </row>
    <row r="5402" spans="1:2" hidden="1">
      <c r="A5402" s="190" t="str">
        <f t="shared" si="13"/>
        <v/>
      </c>
      <c r="B5402" s="190" t="str">
        <f t="shared" si="12"/>
        <v/>
      </c>
    </row>
    <row r="5403" spans="1:2" hidden="1">
      <c r="A5403" s="190" t="str">
        <f t="shared" si="13"/>
        <v/>
      </c>
      <c r="B5403" s="190" t="str">
        <f t="shared" ref="B5403:B5466" si="14">HYPERLINK("http://tw.stock.yahoo.com/d/s/earning_.html","")</f>
        <v/>
      </c>
    </row>
    <row r="5404" spans="1:2" hidden="1">
      <c r="A5404" s="190" t="str">
        <f t="shared" si="13"/>
        <v/>
      </c>
      <c r="B5404" s="190" t="str">
        <f t="shared" si="14"/>
        <v/>
      </c>
    </row>
    <row r="5405" spans="1:2" hidden="1">
      <c r="A5405" s="190" t="str">
        <f t="shared" si="13"/>
        <v/>
      </c>
      <c r="B5405" s="190" t="str">
        <f t="shared" si="14"/>
        <v/>
      </c>
    </row>
    <row r="5406" spans="1:2" hidden="1">
      <c r="A5406" s="190" t="str">
        <f t="shared" si="13"/>
        <v/>
      </c>
      <c r="B5406" s="190" t="str">
        <f t="shared" si="14"/>
        <v/>
      </c>
    </row>
    <row r="5407" spans="1:2" hidden="1">
      <c r="A5407" s="190" t="str">
        <f t="shared" si="13"/>
        <v/>
      </c>
      <c r="B5407" s="190" t="str">
        <f t="shared" si="14"/>
        <v/>
      </c>
    </row>
    <row r="5408" spans="1:2" hidden="1">
      <c r="A5408" s="190" t="str">
        <f t="shared" si="13"/>
        <v/>
      </c>
      <c r="B5408" s="190" t="str">
        <f t="shared" si="14"/>
        <v/>
      </c>
    </row>
    <row r="5409" spans="1:2" hidden="1">
      <c r="A5409" s="190" t="str">
        <f t="shared" si="13"/>
        <v/>
      </c>
      <c r="B5409" s="190" t="str">
        <f t="shared" si="14"/>
        <v/>
      </c>
    </row>
    <row r="5410" spans="1:2" hidden="1">
      <c r="A5410" s="190" t="str">
        <f t="shared" si="13"/>
        <v/>
      </c>
      <c r="B5410" s="190" t="str">
        <f t="shared" si="14"/>
        <v/>
      </c>
    </row>
    <row r="5411" spans="1:2" hidden="1">
      <c r="A5411" s="190" t="str">
        <f t="shared" si="13"/>
        <v/>
      </c>
      <c r="B5411" s="190" t="str">
        <f t="shared" si="14"/>
        <v/>
      </c>
    </row>
    <row r="5412" spans="1:2" hidden="1">
      <c r="A5412" s="190" t="str">
        <f t="shared" si="13"/>
        <v/>
      </c>
      <c r="B5412" s="190" t="str">
        <f t="shared" si="14"/>
        <v/>
      </c>
    </row>
    <row r="5413" spans="1:2" hidden="1">
      <c r="A5413" s="190" t="str">
        <f t="shared" si="13"/>
        <v/>
      </c>
      <c r="B5413" s="190" t="str">
        <f t="shared" si="14"/>
        <v/>
      </c>
    </row>
    <row r="5414" spans="1:2" hidden="1">
      <c r="A5414" s="190" t="str">
        <f t="shared" si="13"/>
        <v/>
      </c>
      <c r="B5414" s="190" t="str">
        <f t="shared" si="14"/>
        <v/>
      </c>
    </row>
    <row r="5415" spans="1:2" hidden="1">
      <c r="A5415" s="190" t="str">
        <f t="shared" si="13"/>
        <v/>
      </c>
      <c r="B5415" s="190" t="str">
        <f t="shared" si="14"/>
        <v/>
      </c>
    </row>
    <row r="5416" spans="1:2" hidden="1">
      <c r="A5416" s="190" t="str">
        <f t="shared" si="13"/>
        <v/>
      </c>
      <c r="B5416" s="190" t="str">
        <f t="shared" si="14"/>
        <v/>
      </c>
    </row>
    <row r="5417" spans="1:2" hidden="1">
      <c r="A5417" s="190" t="str">
        <f t="shared" si="13"/>
        <v/>
      </c>
      <c r="B5417" s="190" t="str">
        <f t="shared" si="14"/>
        <v/>
      </c>
    </row>
    <row r="5418" spans="1:2" hidden="1">
      <c r="A5418" s="190" t="str">
        <f t="shared" si="13"/>
        <v/>
      </c>
      <c r="B5418" s="190" t="str">
        <f t="shared" si="14"/>
        <v/>
      </c>
    </row>
    <row r="5419" spans="1:2" hidden="1">
      <c r="A5419" s="190" t="str">
        <f t="shared" si="13"/>
        <v/>
      </c>
      <c r="B5419" s="190" t="str">
        <f t="shared" si="14"/>
        <v/>
      </c>
    </row>
    <row r="5420" spans="1:2" hidden="1">
      <c r="A5420" s="190" t="str">
        <f t="shared" si="13"/>
        <v/>
      </c>
      <c r="B5420" s="190" t="str">
        <f t="shared" si="14"/>
        <v/>
      </c>
    </row>
    <row r="5421" spans="1:2" hidden="1">
      <c r="A5421" s="190" t="str">
        <f t="shared" si="13"/>
        <v/>
      </c>
      <c r="B5421" s="190" t="str">
        <f t="shared" si="14"/>
        <v/>
      </c>
    </row>
    <row r="5422" spans="1:2" hidden="1">
      <c r="A5422" s="190" t="str">
        <f t="shared" si="13"/>
        <v/>
      </c>
      <c r="B5422" s="190" t="str">
        <f t="shared" si="14"/>
        <v/>
      </c>
    </row>
    <row r="5423" spans="1:2" hidden="1">
      <c r="A5423" s="190" t="str">
        <f t="shared" si="13"/>
        <v/>
      </c>
      <c r="B5423" s="190" t="str">
        <f t="shared" si="14"/>
        <v/>
      </c>
    </row>
    <row r="5424" spans="1:2" hidden="1">
      <c r="A5424" s="190" t="str">
        <f t="shared" si="13"/>
        <v/>
      </c>
      <c r="B5424" s="190" t="str">
        <f t="shared" si="14"/>
        <v/>
      </c>
    </row>
    <row r="5425" spans="1:2" hidden="1">
      <c r="A5425" s="190" t="str">
        <f t="shared" si="13"/>
        <v/>
      </c>
      <c r="B5425" s="190" t="str">
        <f t="shared" si="14"/>
        <v/>
      </c>
    </row>
    <row r="5426" spans="1:2" hidden="1">
      <c r="A5426" s="190" t="str">
        <f t="shared" si="13"/>
        <v/>
      </c>
      <c r="B5426" s="190" t="str">
        <f t="shared" si="14"/>
        <v/>
      </c>
    </row>
    <row r="5427" spans="1:2" hidden="1">
      <c r="A5427" s="190" t="str">
        <f t="shared" si="13"/>
        <v/>
      </c>
      <c r="B5427" s="190" t="str">
        <f t="shared" si="14"/>
        <v/>
      </c>
    </row>
    <row r="5428" spans="1:2" hidden="1">
      <c r="A5428" s="190" t="str">
        <f t="shared" si="13"/>
        <v/>
      </c>
      <c r="B5428" s="190" t="str">
        <f t="shared" si="14"/>
        <v/>
      </c>
    </row>
    <row r="5429" spans="1:2" hidden="1">
      <c r="A5429" s="190" t="str">
        <f t="shared" si="13"/>
        <v/>
      </c>
      <c r="B5429" s="190" t="str">
        <f t="shared" si="14"/>
        <v/>
      </c>
    </row>
    <row r="5430" spans="1:2" hidden="1">
      <c r="A5430" s="190" t="str">
        <f t="shared" si="13"/>
        <v/>
      </c>
      <c r="B5430" s="190" t="str">
        <f t="shared" si="14"/>
        <v/>
      </c>
    </row>
    <row r="5431" spans="1:2" hidden="1">
      <c r="A5431" s="190" t="str">
        <f t="shared" si="13"/>
        <v/>
      </c>
      <c r="B5431" s="190" t="str">
        <f t="shared" si="14"/>
        <v/>
      </c>
    </row>
    <row r="5432" spans="1:2" hidden="1">
      <c r="A5432" s="190" t="str">
        <f t="shared" si="13"/>
        <v/>
      </c>
      <c r="B5432" s="190" t="str">
        <f t="shared" si="14"/>
        <v/>
      </c>
    </row>
    <row r="5433" spans="1:2" hidden="1">
      <c r="A5433" s="190" t="str">
        <f t="shared" si="13"/>
        <v/>
      </c>
      <c r="B5433" s="190" t="str">
        <f t="shared" si="14"/>
        <v/>
      </c>
    </row>
    <row r="5434" spans="1:2" hidden="1">
      <c r="A5434" s="190" t="str">
        <f t="shared" si="13"/>
        <v/>
      </c>
      <c r="B5434" s="190" t="str">
        <f t="shared" si="14"/>
        <v/>
      </c>
    </row>
    <row r="5435" spans="1:2" hidden="1">
      <c r="A5435" s="190" t="str">
        <f t="shared" si="13"/>
        <v/>
      </c>
      <c r="B5435" s="190" t="str">
        <f t="shared" si="14"/>
        <v/>
      </c>
    </row>
    <row r="5436" spans="1:2" hidden="1">
      <c r="A5436" s="190" t="str">
        <f t="shared" si="13"/>
        <v/>
      </c>
      <c r="B5436" s="190" t="str">
        <f t="shared" si="14"/>
        <v/>
      </c>
    </row>
    <row r="5437" spans="1:2" hidden="1">
      <c r="A5437" s="190" t="str">
        <f t="shared" si="13"/>
        <v/>
      </c>
      <c r="B5437" s="190" t="str">
        <f t="shared" si="14"/>
        <v/>
      </c>
    </row>
    <row r="5438" spans="1:2" hidden="1">
      <c r="A5438" s="190" t="str">
        <f t="shared" si="13"/>
        <v/>
      </c>
      <c r="B5438" s="190" t="str">
        <f t="shared" si="14"/>
        <v/>
      </c>
    </row>
    <row r="5439" spans="1:2" hidden="1">
      <c r="A5439" s="190" t="str">
        <f t="shared" ref="A5439:A5502" si="15">HYPERLINK("http://tw.stock.yahoo.com/q/ta?s=","")</f>
        <v/>
      </c>
      <c r="B5439" s="190" t="str">
        <f t="shared" si="14"/>
        <v/>
      </c>
    </row>
    <row r="5440" spans="1:2" hidden="1">
      <c r="A5440" s="190" t="str">
        <f t="shared" si="15"/>
        <v/>
      </c>
      <c r="B5440" s="190" t="str">
        <f t="shared" si="14"/>
        <v/>
      </c>
    </row>
    <row r="5441" spans="1:2" hidden="1">
      <c r="A5441" s="190" t="str">
        <f t="shared" si="15"/>
        <v/>
      </c>
      <c r="B5441" s="190" t="str">
        <f t="shared" si="14"/>
        <v/>
      </c>
    </row>
    <row r="5442" spans="1:2" hidden="1">
      <c r="A5442" s="190" t="str">
        <f t="shared" si="15"/>
        <v/>
      </c>
      <c r="B5442" s="190" t="str">
        <f t="shared" si="14"/>
        <v/>
      </c>
    </row>
    <row r="5443" spans="1:2" hidden="1">
      <c r="A5443" s="190" t="str">
        <f t="shared" si="15"/>
        <v/>
      </c>
      <c r="B5443" s="190" t="str">
        <f t="shared" si="14"/>
        <v/>
      </c>
    </row>
    <row r="5444" spans="1:2" hidden="1">
      <c r="A5444" s="190" t="str">
        <f t="shared" si="15"/>
        <v/>
      </c>
      <c r="B5444" s="190" t="str">
        <f t="shared" si="14"/>
        <v/>
      </c>
    </row>
    <row r="5445" spans="1:2" hidden="1">
      <c r="A5445" s="190" t="str">
        <f t="shared" si="15"/>
        <v/>
      </c>
      <c r="B5445" s="190" t="str">
        <f t="shared" si="14"/>
        <v/>
      </c>
    </row>
    <row r="5446" spans="1:2" hidden="1">
      <c r="A5446" s="190" t="str">
        <f t="shared" si="15"/>
        <v/>
      </c>
      <c r="B5446" s="190" t="str">
        <f t="shared" si="14"/>
        <v/>
      </c>
    </row>
    <row r="5447" spans="1:2" hidden="1">
      <c r="A5447" s="190" t="str">
        <f t="shared" si="15"/>
        <v/>
      </c>
      <c r="B5447" s="190" t="str">
        <f t="shared" si="14"/>
        <v/>
      </c>
    </row>
    <row r="5448" spans="1:2" hidden="1">
      <c r="A5448" s="190" t="str">
        <f t="shared" si="15"/>
        <v/>
      </c>
      <c r="B5448" s="190" t="str">
        <f t="shared" si="14"/>
        <v/>
      </c>
    </row>
    <row r="5449" spans="1:2" hidden="1">
      <c r="A5449" s="190" t="str">
        <f t="shared" si="15"/>
        <v/>
      </c>
      <c r="B5449" s="190" t="str">
        <f t="shared" si="14"/>
        <v/>
      </c>
    </row>
    <row r="5450" spans="1:2" hidden="1">
      <c r="A5450" s="190" t="str">
        <f t="shared" si="15"/>
        <v/>
      </c>
      <c r="B5450" s="190" t="str">
        <f t="shared" si="14"/>
        <v/>
      </c>
    </row>
    <row r="5451" spans="1:2" hidden="1">
      <c r="A5451" s="190" t="str">
        <f t="shared" si="15"/>
        <v/>
      </c>
      <c r="B5451" s="190" t="str">
        <f t="shared" si="14"/>
        <v/>
      </c>
    </row>
    <row r="5452" spans="1:2" hidden="1">
      <c r="A5452" s="190" t="str">
        <f t="shared" si="15"/>
        <v/>
      </c>
      <c r="B5452" s="190" t="str">
        <f t="shared" si="14"/>
        <v/>
      </c>
    </row>
    <row r="5453" spans="1:2" hidden="1">
      <c r="A5453" s="190" t="str">
        <f t="shared" si="15"/>
        <v/>
      </c>
      <c r="B5453" s="190" t="str">
        <f t="shared" si="14"/>
        <v/>
      </c>
    </row>
    <row r="5454" spans="1:2" hidden="1">
      <c r="A5454" s="190" t="str">
        <f t="shared" si="15"/>
        <v/>
      </c>
      <c r="B5454" s="190" t="str">
        <f t="shared" si="14"/>
        <v/>
      </c>
    </row>
    <row r="5455" spans="1:2" hidden="1">
      <c r="A5455" s="190" t="str">
        <f t="shared" si="15"/>
        <v/>
      </c>
      <c r="B5455" s="190" t="str">
        <f t="shared" si="14"/>
        <v/>
      </c>
    </row>
    <row r="5456" spans="1:2" hidden="1">
      <c r="A5456" s="190" t="str">
        <f t="shared" si="15"/>
        <v/>
      </c>
      <c r="B5456" s="190" t="str">
        <f t="shared" si="14"/>
        <v/>
      </c>
    </row>
    <row r="5457" spans="1:2" hidden="1">
      <c r="A5457" s="190" t="str">
        <f t="shared" si="15"/>
        <v/>
      </c>
      <c r="B5457" s="190" t="str">
        <f t="shared" si="14"/>
        <v/>
      </c>
    </row>
    <row r="5458" spans="1:2" hidden="1">
      <c r="A5458" s="190" t="str">
        <f t="shared" si="15"/>
        <v/>
      </c>
      <c r="B5458" s="190" t="str">
        <f t="shared" si="14"/>
        <v/>
      </c>
    </row>
    <row r="5459" spans="1:2" hidden="1">
      <c r="A5459" s="190" t="str">
        <f t="shared" si="15"/>
        <v/>
      </c>
      <c r="B5459" s="190" t="str">
        <f t="shared" si="14"/>
        <v/>
      </c>
    </row>
    <row r="5460" spans="1:2" hidden="1">
      <c r="A5460" s="190" t="str">
        <f t="shared" si="15"/>
        <v/>
      </c>
      <c r="B5460" s="190" t="str">
        <f t="shared" si="14"/>
        <v/>
      </c>
    </row>
    <row r="5461" spans="1:2" hidden="1">
      <c r="A5461" s="190" t="str">
        <f t="shared" si="15"/>
        <v/>
      </c>
      <c r="B5461" s="190" t="str">
        <f t="shared" si="14"/>
        <v/>
      </c>
    </row>
    <row r="5462" spans="1:2" hidden="1">
      <c r="A5462" s="190" t="str">
        <f t="shared" si="15"/>
        <v/>
      </c>
      <c r="B5462" s="190" t="str">
        <f t="shared" si="14"/>
        <v/>
      </c>
    </row>
    <row r="5463" spans="1:2" hidden="1">
      <c r="A5463" s="190" t="str">
        <f t="shared" si="15"/>
        <v/>
      </c>
      <c r="B5463" s="190" t="str">
        <f t="shared" si="14"/>
        <v/>
      </c>
    </row>
    <row r="5464" spans="1:2" hidden="1">
      <c r="A5464" s="190" t="str">
        <f t="shared" si="15"/>
        <v/>
      </c>
      <c r="B5464" s="190" t="str">
        <f t="shared" si="14"/>
        <v/>
      </c>
    </row>
    <row r="5465" spans="1:2" hidden="1">
      <c r="A5465" s="190" t="str">
        <f t="shared" si="15"/>
        <v/>
      </c>
      <c r="B5465" s="190" t="str">
        <f t="shared" si="14"/>
        <v/>
      </c>
    </row>
    <row r="5466" spans="1:2" hidden="1">
      <c r="A5466" s="190" t="str">
        <f t="shared" si="15"/>
        <v/>
      </c>
      <c r="B5466" s="190" t="str">
        <f t="shared" si="14"/>
        <v/>
      </c>
    </row>
    <row r="5467" spans="1:2" hidden="1">
      <c r="A5467" s="190" t="str">
        <f t="shared" si="15"/>
        <v/>
      </c>
      <c r="B5467" s="190" t="str">
        <f t="shared" ref="B5467:B5530" si="16">HYPERLINK("http://tw.stock.yahoo.com/d/s/earning_.html","")</f>
        <v/>
      </c>
    </row>
    <row r="5468" spans="1:2" hidden="1">
      <c r="A5468" s="190" t="str">
        <f t="shared" si="15"/>
        <v/>
      </c>
      <c r="B5468" s="190" t="str">
        <f t="shared" si="16"/>
        <v/>
      </c>
    </row>
    <row r="5469" spans="1:2" hidden="1">
      <c r="A5469" s="190" t="str">
        <f t="shared" si="15"/>
        <v/>
      </c>
      <c r="B5469" s="190" t="str">
        <f t="shared" si="16"/>
        <v/>
      </c>
    </row>
    <row r="5470" spans="1:2" hidden="1">
      <c r="A5470" s="190" t="str">
        <f t="shared" si="15"/>
        <v/>
      </c>
      <c r="B5470" s="190" t="str">
        <f t="shared" si="16"/>
        <v/>
      </c>
    </row>
    <row r="5471" spans="1:2" hidden="1">
      <c r="A5471" s="190" t="str">
        <f t="shared" si="15"/>
        <v/>
      </c>
      <c r="B5471" s="190" t="str">
        <f t="shared" si="16"/>
        <v/>
      </c>
    </row>
    <row r="5472" spans="1:2" hidden="1">
      <c r="A5472" s="190" t="str">
        <f t="shared" si="15"/>
        <v/>
      </c>
      <c r="B5472" s="190" t="str">
        <f t="shared" si="16"/>
        <v/>
      </c>
    </row>
    <row r="5473" spans="1:2" hidden="1">
      <c r="A5473" s="190" t="str">
        <f t="shared" si="15"/>
        <v/>
      </c>
      <c r="B5473" s="190" t="str">
        <f t="shared" si="16"/>
        <v/>
      </c>
    </row>
    <row r="5474" spans="1:2" hidden="1">
      <c r="A5474" s="190" t="str">
        <f t="shared" si="15"/>
        <v/>
      </c>
      <c r="B5474" s="190" t="str">
        <f t="shared" si="16"/>
        <v/>
      </c>
    </row>
    <row r="5475" spans="1:2" hidden="1">
      <c r="A5475" s="190" t="str">
        <f t="shared" si="15"/>
        <v/>
      </c>
      <c r="B5475" s="190" t="str">
        <f t="shared" si="16"/>
        <v/>
      </c>
    </row>
    <row r="5476" spans="1:2" hidden="1">
      <c r="A5476" s="190" t="str">
        <f t="shared" si="15"/>
        <v/>
      </c>
      <c r="B5476" s="190" t="str">
        <f t="shared" si="16"/>
        <v/>
      </c>
    </row>
    <row r="5477" spans="1:2" hidden="1">
      <c r="A5477" s="190" t="str">
        <f t="shared" si="15"/>
        <v/>
      </c>
      <c r="B5477" s="190" t="str">
        <f t="shared" si="16"/>
        <v/>
      </c>
    </row>
    <row r="5478" spans="1:2" hidden="1">
      <c r="A5478" s="190" t="str">
        <f t="shared" si="15"/>
        <v/>
      </c>
      <c r="B5478" s="190" t="str">
        <f t="shared" si="16"/>
        <v/>
      </c>
    </row>
    <row r="5479" spans="1:2" hidden="1">
      <c r="A5479" s="190" t="str">
        <f t="shared" si="15"/>
        <v/>
      </c>
      <c r="B5479" s="190" t="str">
        <f t="shared" si="16"/>
        <v/>
      </c>
    </row>
    <row r="5480" spans="1:2" hidden="1">
      <c r="A5480" s="190" t="str">
        <f t="shared" si="15"/>
        <v/>
      </c>
      <c r="B5480" s="190" t="str">
        <f t="shared" si="16"/>
        <v/>
      </c>
    </row>
    <row r="5481" spans="1:2" hidden="1">
      <c r="A5481" s="190" t="str">
        <f t="shared" si="15"/>
        <v/>
      </c>
      <c r="B5481" s="190" t="str">
        <f t="shared" si="16"/>
        <v/>
      </c>
    </row>
    <row r="5482" spans="1:2" hidden="1">
      <c r="A5482" s="190" t="str">
        <f t="shared" si="15"/>
        <v/>
      </c>
      <c r="B5482" s="190" t="str">
        <f t="shared" si="16"/>
        <v/>
      </c>
    </row>
    <row r="5483" spans="1:2" hidden="1">
      <c r="A5483" s="190" t="str">
        <f t="shared" si="15"/>
        <v/>
      </c>
      <c r="B5483" s="190" t="str">
        <f t="shared" si="16"/>
        <v/>
      </c>
    </row>
    <row r="5484" spans="1:2" hidden="1">
      <c r="A5484" s="190" t="str">
        <f t="shared" si="15"/>
        <v/>
      </c>
      <c r="B5484" s="190" t="str">
        <f t="shared" si="16"/>
        <v/>
      </c>
    </row>
    <row r="5485" spans="1:2" hidden="1">
      <c r="A5485" s="190" t="str">
        <f t="shared" si="15"/>
        <v/>
      </c>
      <c r="B5485" s="190" t="str">
        <f t="shared" si="16"/>
        <v/>
      </c>
    </row>
    <row r="5486" spans="1:2" hidden="1">
      <c r="A5486" s="190" t="str">
        <f t="shared" si="15"/>
        <v/>
      </c>
      <c r="B5486" s="190" t="str">
        <f t="shared" si="16"/>
        <v/>
      </c>
    </row>
    <row r="5487" spans="1:2" hidden="1">
      <c r="A5487" s="190" t="str">
        <f t="shared" si="15"/>
        <v/>
      </c>
      <c r="B5487" s="190" t="str">
        <f t="shared" si="16"/>
        <v/>
      </c>
    </row>
    <row r="5488" spans="1:2" hidden="1">
      <c r="A5488" s="190" t="str">
        <f t="shared" si="15"/>
        <v/>
      </c>
      <c r="B5488" s="190" t="str">
        <f t="shared" si="16"/>
        <v/>
      </c>
    </row>
    <row r="5489" spans="1:2" hidden="1">
      <c r="A5489" s="190" t="str">
        <f t="shared" si="15"/>
        <v/>
      </c>
      <c r="B5489" s="190" t="str">
        <f t="shared" si="16"/>
        <v/>
      </c>
    </row>
    <row r="5490" spans="1:2" hidden="1">
      <c r="A5490" s="190" t="str">
        <f t="shared" si="15"/>
        <v/>
      </c>
      <c r="B5490" s="190" t="str">
        <f t="shared" si="16"/>
        <v/>
      </c>
    </row>
    <row r="5491" spans="1:2" hidden="1">
      <c r="A5491" s="190" t="str">
        <f t="shared" si="15"/>
        <v/>
      </c>
      <c r="B5491" s="190" t="str">
        <f t="shared" si="16"/>
        <v/>
      </c>
    </row>
    <row r="5492" spans="1:2" hidden="1">
      <c r="A5492" s="190" t="str">
        <f t="shared" si="15"/>
        <v/>
      </c>
      <c r="B5492" s="190" t="str">
        <f t="shared" si="16"/>
        <v/>
      </c>
    </row>
    <row r="5493" spans="1:2" hidden="1">
      <c r="A5493" s="190" t="str">
        <f t="shared" si="15"/>
        <v/>
      </c>
      <c r="B5493" s="190" t="str">
        <f t="shared" si="16"/>
        <v/>
      </c>
    </row>
    <row r="5494" spans="1:2" hidden="1">
      <c r="A5494" s="190" t="str">
        <f t="shared" si="15"/>
        <v/>
      </c>
      <c r="B5494" s="190" t="str">
        <f t="shared" si="16"/>
        <v/>
      </c>
    </row>
    <row r="5495" spans="1:2" hidden="1">
      <c r="A5495" s="190" t="str">
        <f t="shared" si="15"/>
        <v/>
      </c>
      <c r="B5495" s="190" t="str">
        <f t="shared" si="16"/>
        <v/>
      </c>
    </row>
    <row r="5496" spans="1:2" hidden="1">
      <c r="A5496" s="190" t="str">
        <f t="shared" si="15"/>
        <v/>
      </c>
      <c r="B5496" s="190" t="str">
        <f t="shared" si="16"/>
        <v/>
      </c>
    </row>
    <row r="5497" spans="1:2" hidden="1">
      <c r="A5497" s="190" t="str">
        <f t="shared" si="15"/>
        <v/>
      </c>
      <c r="B5497" s="190" t="str">
        <f t="shared" si="16"/>
        <v/>
      </c>
    </row>
    <row r="5498" spans="1:2" hidden="1">
      <c r="A5498" s="190" t="str">
        <f t="shared" si="15"/>
        <v/>
      </c>
      <c r="B5498" s="190" t="str">
        <f t="shared" si="16"/>
        <v/>
      </c>
    </row>
    <row r="5499" spans="1:2" hidden="1">
      <c r="A5499" s="190" t="str">
        <f t="shared" si="15"/>
        <v/>
      </c>
      <c r="B5499" s="190" t="str">
        <f t="shared" si="16"/>
        <v/>
      </c>
    </row>
    <row r="5500" spans="1:2" hidden="1">
      <c r="A5500" s="190" t="str">
        <f t="shared" si="15"/>
        <v/>
      </c>
      <c r="B5500" s="190" t="str">
        <f t="shared" si="16"/>
        <v/>
      </c>
    </row>
    <row r="5501" spans="1:2" hidden="1">
      <c r="A5501" s="190" t="str">
        <f t="shared" si="15"/>
        <v/>
      </c>
      <c r="B5501" s="190" t="str">
        <f t="shared" si="16"/>
        <v/>
      </c>
    </row>
    <row r="5502" spans="1:2" hidden="1">
      <c r="A5502" s="190" t="str">
        <f t="shared" si="15"/>
        <v/>
      </c>
      <c r="B5502" s="190" t="str">
        <f t="shared" si="16"/>
        <v/>
      </c>
    </row>
    <row r="5503" spans="1:2" hidden="1">
      <c r="A5503" s="190" t="str">
        <f t="shared" ref="A5503:A5566" si="17">HYPERLINK("http://tw.stock.yahoo.com/q/ta?s=","")</f>
        <v/>
      </c>
      <c r="B5503" s="190" t="str">
        <f t="shared" si="16"/>
        <v/>
      </c>
    </row>
    <row r="5504" spans="1:2" hidden="1">
      <c r="A5504" s="190" t="str">
        <f t="shared" si="17"/>
        <v/>
      </c>
      <c r="B5504" s="190" t="str">
        <f t="shared" si="16"/>
        <v/>
      </c>
    </row>
    <row r="5505" spans="1:2" hidden="1">
      <c r="A5505" s="190" t="str">
        <f t="shared" si="17"/>
        <v/>
      </c>
      <c r="B5505" s="190" t="str">
        <f t="shared" si="16"/>
        <v/>
      </c>
    </row>
    <row r="5506" spans="1:2" hidden="1">
      <c r="A5506" s="190" t="str">
        <f t="shared" si="17"/>
        <v/>
      </c>
      <c r="B5506" s="190" t="str">
        <f t="shared" si="16"/>
        <v/>
      </c>
    </row>
    <row r="5507" spans="1:2" hidden="1">
      <c r="A5507" s="190" t="str">
        <f t="shared" si="17"/>
        <v/>
      </c>
      <c r="B5507" s="190" t="str">
        <f t="shared" si="16"/>
        <v/>
      </c>
    </row>
    <row r="5508" spans="1:2" hidden="1">
      <c r="A5508" s="190" t="str">
        <f t="shared" si="17"/>
        <v/>
      </c>
      <c r="B5508" s="190" t="str">
        <f t="shared" si="16"/>
        <v/>
      </c>
    </row>
    <row r="5509" spans="1:2" hidden="1">
      <c r="A5509" s="190" t="str">
        <f t="shared" si="17"/>
        <v/>
      </c>
      <c r="B5509" s="190" t="str">
        <f t="shared" si="16"/>
        <v/>
      </c>
    </row>
    <row r="5510" spans="1:2" hidden="1">
      <c r="A5510" s="190" t="str">
        <f t="shared" si="17"/>
        <v/>
      </c>
      <c r="B5510" s="190" t="str">
        <f t="shared" si="16"/>
        <v/>
      </c>
    </row>
    <row r="5511" spans="1:2" hidden="1">
      <c r="A5511" s="190" t="str">
        <f t="shared" si="17"/>
        <v/>
      </c>
      <c r="B5511" s="190" t="str">
        <f t="shared" si="16"/>
        <v/>
      </c>
    </row>
    <row r="5512" spans="1:2" hidden="1">
      <c r="A5512" s="190" t="str">
        <f t="shared" si="17"/>
        <v/>
      </c>
      <c r="B5512" s="190" t="str">
        <f t="shared" si="16"/>
        <v/>
      </c>
    </row>
    <row r="5513" spans="1:2" hidden="1">
      <c r="A5513" s="190" t="str">
        <f t="shared" si="17"/>
        <v/>
      </c>
      <c r="B5513" s="190" t="str">
        <f t="shared" si="16"/>
        <v/>
      </c>
    </row>
    <row r="5514" spans="1:2" hidden="1">
      <c r="A5514" s="190" t="str">
        <f t="shared" si="17"/>
        <v/>
      </c>
      <c r="B5514" s="190" t="str">
        <f t="shared" si="16"/>
        <v/>
      </c>
    </row>
    <row r="5515" spans="1:2" hidden="1">
      <c r="A5515" s="190" t="str">
        <f t="shared" si="17"/>
        <v/>
      </c>
      <c r="B5515" s="190" t="str">
        <f t="shared" si="16"/>
        <v/>
      </c>
    </row>
    <row r="5516" spans="1:2" hidden="1">
      <c r="A5516" s="190" t="str">
        <f t="shared" si="17"/>
        <v/>
      </c>
      <c r="B5516" s="190" t="str">
        <f t="shared" si="16"/>
        <v/>
      </c>
    </row>
    <row r="5517" spans="1:2" hidden="1">
      <c r="A5517" s="190" t="str">
        <f t="shared" si="17"/>
        <v/>
      </c>
      <c r="B5517" s="190" t="str">
        <f t="shared" si="16"/>
        <v/>
      </c>
    </row>
    <row r="5518" spans="1:2" hidden="1">
      <c r="A5518" s="190" t="str">
        <f t="shared" si="17"/>
        <v/>
      </c>
      <c r="B5518" s="190" t="str">
        <f t="shared" si="16"/>
        <v/>
      </c>
    </row>
    <row r="5519" spans="1:2" hidden="1">
      <c r="A5519" s="190" t="str">
        <f t="shared" si="17"/>
        <v/>
      </c>
      <c r="B5519" s="190" t="str">
        <f t="shared" si="16"/>
        <v/>
      </c>
    </row>
    <row r="5520" spans="1:2" hidden="1">
      <c r="A5520" s="190" t="str">
        <f t="shared" si="17"/>
        <v/>
      </c>
      <c r="B5520" s="190" t="str">
        <f t="shared" si="16"/>
        <v/>
      </c>
    </row>
    <row r="5521" spans="1:2" hidden="1">
      <c r="A5521" s="190" t="str">
        <f t="shared" si="17"/>
        <v/>
      </c>
      <c r="B5521" s="190" t="str">
        <f t="shared" si="16"/>
        <v/>
      </c>
    </row>
    <row r="5522" spans="1:2" hidden="1">
      <c r="A5522" s="190" t="str">
        <f t="shared" si="17"/>
        <v/>
      </c>
      <c r="B5522" s="190" t="str">
        <f t="shared" si="16"/>
        <v/>
      </c>
    </row>
    <row r="5523" spans="1:2" hidden="1">
      <c r="A5523" s="190" t="str">
        <f t="shared" si="17"/>
        <v/>
      </c>
      <c r="B5523" s="190" t="str">
        <f t="shared" si="16"/>
        <v/>
      </c>
    </row>
    <row r="5524" spans="1:2" hidden="1">
      <c r="A5524" s="190" t="str">
        <f t="shared" si="17"/>
        <v/>
      </c>
      <c r="B5524" s="190" t="str">
        <f t="shared" si="16"/>
        <v/>
      </c>
    </row>
    <row r="5525" spans="1:2" hidden="1">
      <c r="A5525" s="190" t="str">
        <f t="shared" si="17"/>
        <v/>
      </c>
      <c r="B5525" s="190" t="str">
        <f t="shared" si="16"/>
        <v/>
      </c>
    </row>
    <row r="5526" spans="1:2" hidden="1">
      <c r="A5526" s="190" t="str">
        <f t="shared" si="17"/>
        <v/>
      </c>
      <c r="B5526" s="190" t="str">
        <f t="shared" si="16"/>
        <v/>
      </c>
    </row>
    <row r="5527" spans="1:2" hidden="1">
      <c r="A5527" s="190" t="str">
        <f t="shared" si="17"/>
        <v/>
      </c>
      <c r="B5527" s="190" t="str">
        <f t="shared" si="16"/>
        <v/>
      </c>
    </row>
    <row r="5528" spans="1:2" hidden="1">
      <c r="A5528" s="190" t="str">
        <f t="shared" si="17"/>
        <v/>
      </c>
      <c r="B5528" s="190" t="str">
        <f t="shared" si="16"/>
        <v/>
      </c>
    </row>
    <row r="5529" spans="1:2" hidden="1">
      <c r="A5529" s="190" t="str">
        <f t="shared" si="17"/>
        <v/>
      </c>
      <c r="B5529" s="190" t="str">
        <f t="shared" si="16"/>
        <v/>
      </c>
    </row>
    <row r="5530" spans="1:2" hidden="1">
      <c r="A5530" s="190" t="str">
        <f t="shared" si="17"/>
        <v/>
      </c>
      <c r="B5530" s="190" t="str">
        <f t="shared" si="16"/>
        <v/>
      </c>
    </row>
    <row r="5531" spans="1:2" hidden="1">
      <c r="A5531" s="190" t="str">
        <f t="shared" si="17"/>
        <v/>
      </c>
      <c r="B5531" s="190" t="str">
        <f t="shared" ref="B5531:B5594" si="18">HYPERLINK("http://tw.stock.yahoo.com/d/s/earning_.html","")</f>
        <v/>
      </c>
    </row>
    <row r="5532" spans="1:2" hidden="1">
      <c r="A5532" s="190" t="str">
        <f t="shared" si="17"/>
        <v/>
      </c>
      <c r="B5532" s="190" t="str">
        <f t="shared" si="18"/>
        <v/>
      </c>
    </row>
    <row r="5533" spans="1:2" hidden="1">
      <c r="A5533" s="190" t="str">
        <f t="shared" si="17"/>
        <v/>
      </c>
      <c r="B5533" s="190" t="str">
        <f t="shared" si="18"/>
        <v/>
      </c>
    </row>
    <row r="5534" spans="1:2" hidden="1">
      <c r="A5534" s="190" t="str">
        <f t="shared" si="17"/>
        <v/>
      </c>
      <c r="B5534" s="190" t="str">
        <f t="shared" si="18"/>
        <v/>
      </c>
    </row>
    <row r="5535" spans="1:2" hidden="1">
      <c r="A5535" s="190" t="str">
        <f t="shared" si="17"/>
        <v/>
      </c>
      <c r="B5535" s="190" t="str">
        <f t="shared" si="18"/>
        <v/>
      </c>
    </row>
    <row r="5536" spans="1:2" hidden="1">
      <c r="A5536" s="190" t="str">
        <f t="shared" si="17"/>
        <v/>
      </c>
      <c r="B5536" s="190" t="str">
        <f t="shared" si="18"/>
        <v/>
      </c>
    </row>
    <row r="5537" spans="1:2" hidden="1">
      <c r="A5537" s="190" t="str">
        <f t="shared" si="17"/>
        <v/>
      </c>
      <c r="B5537" s="190" t="str">
        <f t="shared" si="18"/>
        <v/>
      </c>
    </row>
    <row r="5538" spans="1:2" hidden="1">
      <c r="A5538" s="190" t="str">
        <f t="shared" si="17"/>
        <v/>
      </c>
      <c r="B5538" s="190" t="str">
        <f t="shared" si="18"/>
        <v/>
      </c>
    </row>
    <row r="5539" spans="1:2" hidden="1">
      <c r="A5539" s="190" t="str">
        <f t="shared" si="17"/>
        <v/>
      </c>
      <c r="B5539" s="190" t="str">
        <f t="shared" si="18"/>
        <v/>
      </c>
    </row>
    <row r="5540" spans="1:2" hidden="1">
      <c r="A5540" s="190" t="str">
        <f t="shared" si="17"/>
        <v/>
      </c>
      <c r="B5540" s="190" t="str">
        <f t="shared" si="18"/>
        <v/>
      </c>
    </row>
    <row r="5541" spans="1:2" hidden="1">
      <c r="A5541" s="190" t="str">
        <f t="shared" si="17"/>
        <v/>
      </c>
      <c r="B5541" s="190" t="str">
        <f t="shared" si="18"/>
        <v/>
      </c>
    </row>
    <row r="5542" spans="1:2" hidden="1">
      <c r="A5542" s="190" t="str">
        <f t="shared" si="17"/>
        <v/>
      </c>
      <c r="B5542" s="190" t="str">
        <f t="shared" si="18"/>
        <v/>
      </c>
    </row>
    <row r="5543" spans="1:2" hidden="1">
      <c r="A5543" s="190" t="str">
        <f t="shared" si="17"/>
        <v/>
      </c>
      <c r="B5543" s="190" t="str">
        <f t="shared" si="18"/>
        <v/>
      </c>
    </row>
    <row r="5544" spans="1:2" hidden="1">
      <c r="A5544" s="190" t="str">
        <f t="shared" si="17"/>
        <v/>
      </c>
      <c r="B5544" s="190" t="str">
        <f t="shared" si="18"/>
        <v/>
      </c>
    </row>
    <row r="5545" spans="1:2" hidden="1">
      <c r="A5545" s="190" t="str">
        <f t="shared" si="17"/>
        <v/>
      </c>
      <c r="B5545" s="190" t="str">
        <f t="shared" si="18"/>
        <v/>
      </c>
    </row>
    <row r="5546" spans="1:2" hidden="1">
      <c r="A5546" s="190" t="str">
        <f t="shared" si="17"/>
        <v/>
      </c>
      <c r="B5546" s="190" t="str">
        <f t="shared" si="18"/>
        <v/>
      </c>
    </row>
    <row r="5547" spans="1:2" hidden="1">
      <c r="A5547" s="190" t="str">
        <f t="shared" si="17"/>
        <v/>
      </c>
      <c r="B5547" s="190" t="str">
        <f t="shared" si="18"/>
        <v/>
      </c>
    </row>
    <row r="5548" spans="1:2" hidden="1">
      <c r="A5548" s="190" t="str">
        <f t="shared" si="17"/>
        <v/>
      </c>
      <c r="B5548" s="190" t="str">
        <f t="shared" si="18"/>
        <v/>
      </c>
    </row>
    <row r="5549" spans="1:2" hidden="1">
      <c r="A5549" s="190" t="str">
        <f t="shared" si="17"/>
        <v/>
      </c>
      <c r="B5549" s="190" t="str">
        <f t="shared" si="18"/>
        <v/>
      </c>
    </row>
    <row r="5550" spans="1:2" hidden="1">
      <c r="A5550" s="190" t="str">
        <f t="shared" si="17"/>
        <v/>
      </c>
      <c r="B5550" s="190" t="str">
        <f t="shared" si="18"/>
        <v/>
      </c>
    </row>
    <row r="5551" spans="1:2" hidden="1">
      <c r="A5551" s="190" t="str">
        <f t="shared" si="17"/>
        <v/>
      </c>
      <c r="B5551" s="190" t="str">
        <f t="shared" si="18"/>
        <v/>
      </c>
    </row>
    <row r="5552" spans="1:2" hidden="1">
      <c r="A5552" s="190" t="str">
        <f t="shared" si="17"/>
        <v/>
      </c>
      <c r="B5552" s="190" t="str">
        <f t="shared" si="18"/>
        <v/>
      </c>
    </row>
    <row r="5553" spans="1:2" hidden="1">
      <c r="A5553" s="190" t="str">
        <f t="shared" si="17"/>
        <v/>
      </c>
      <c r="B5553" s="190" t="str">
        <f t="shared" si="18"/>
        <v/>
      </c>
    </row>
    <row r="5554" spans="1:2" hidden="1">
      <c r="A5554" s="190" t="str">
        <f t="shared" si="17"/>
        <v/>
      </c>
      <c r="B5554" s="190" t="str">
        <f t="shared" si="18"/>
        <v/>
      </c>
    </row>
    <row r="5555" spans="1:2" hidden="1">
      <c r="A5555" s="190" t="str">
        <f t="shared" si="17"/>
        <v/>
      </c>
      <c r="B5555" s="190" t="str">
        <f t="shared" si="18"/>
        <v/>
      </c>
    </row>
    <row r="5556" spans="1:2" hidden="1">
      <c r="A5556" s="190" t="str">
        <f t="shared" si="17"/>
        <v/>
      </c>
      <c r="B5556" s="190" t="str">
        <f t="shared" si="18"/>
        <v/>
      </c>
    </row>
    <row r="5557" spans="1:2" hidden="1">
      <c r="A5557" s="190" t="str">
        <f t="shared" si="17"/>
        <v/>
      </c>
      <c r="B5557" s="190" t="str">
        <f t="shared" si="18"/>
        <v/>
      </c>
    </row>
    <row r="5558" spans="1:2" hidden="1">
      <c r="A5558" s="190" t="str">
        <f t="shared" si="17"/>
        <v/>
      </c>
      <c r="B5558" s="190" t="str">
        <f t="shared" si="18"/>
        <v/>
      </c>
    </row>
    <row r="5559" spans="1:2" hidden="1">
      <c r="A5559" s="190" t="str">
        <f t="shared" si="17"/>
        <v/>
      </c>
      <c r="B5559" s="190" t="str">
        <f t="shared" si="18"/>
        <v/>
      </c>
    </row>
    <row r="5560" spans="1:2" hidden="1">
      <c r="A5560" s="190" t="str">
        <f t="shared" si="17"/>
        <v/>
      </c>
      <c r="B5560" s="190" t="str">
        <f t="shared" si="18"/>
        <v/>
      </c>
    </row>
    <row r="5561" spans="1:2" hidden="1">
      <c r="A5561" s="190" t="str">
        <f t="shared" si="17"/>
        <v/>
      </c>
      <c r="B5561" s="190" t="str">
        <f t="shared" si="18"/>
        <v/>
      </c>
    </row>
    <row r="5562" spans="1:2" hidden="1">
      <c r="A5562" s="190" t="str">
        <f t="shared" si="17"/>
        <v/>
      </c>
      <c r="B5562" s="190" t="str">
        <f t="shared" si="18"/>
        <v/>
      </c>
    </row>
    <row r="5563" spans="1:2" hidden="1">
      <c r="A5563" s="190" t="str">
        <f t="shared" si="17"/>
        <v/>
      </c>
      <c r="B5563" s="190" t="str">
        <f t="shared" si="18"/>
        <v/>
      </c>
    </row>
    <row r="5564" spans="1:2" hidden="1">
      <c r="A5564" s="190" t="str">
        <f t="shared" si="17"/>
        <v/>
      </c>
      <c r="B5564" s="190" t="str">
        <f t="shared" si="18"/>
        <v/>
      </c>
    </row>
    <row r="5565" spans="1:2" hidden="1">
      <c r="A5565" s="190" t="str">
        <f t="shared" si="17"/>
        <v/>
      </c>
      <c r="B5565" s="190" t="str">
        <f t="shared" si="18"/>
        <v/>
      </c>
    </row>
    <row r="5566" spans="1:2" hidden="1">
      <c r="A5566" s="190" t="str">
        <f t="shared" si="17"/>
        <v/>
      </c>
      <c r="B5566" s="190" t="str">
        <f t="shared" si="18"/>
        <v/>
      </c>
    </row>
    <row r="5567" spans="1:2" hidden="1">
      <c r="A5567" s="190" t="str">
        <f t="shared" ref="A5567:A5630" si="19">HYPERLINK("http://tw.stock.yahoo.com/q/ta?s=","")</f>
        <v/>
      </c>
      <c r="B5567" s="190" t="str">
        <f t="shared" si="18"/>
        <v/>
      </c>
    </row>
    <row r="5568" spans="1:2" hidden="1">
      <c r="A5568" s="190" t="str">
        <f t="shared" si="19"/>
        <v/>
      </c>
      <c r="B5568" s="190" t="str">
        <f t="shared" si="18"/>
        <v/>
      </c>
    </row>
    <row r="5569" spans="1:2" hidden="1">
      <c r="A5569" s="190" t="str">
        <f t="shared" si="19"/>
        <v/>
      </c>
      <c r="B5569" s="190" t="str">
        <f t="shared" si="18"/>
        <v/>
      </c>
    </row>
    <row r="5570" spans="1:2" hidden="1">
      <c r="A5570" s="190" t="str">
        <f t="shared" si="19"/>
        <v/>
      </c>
      <c r="B5570" s="190" t="str">
        <f t="shared" si="18"/>
        <v/>
      </c>
    </row>
    <row r="5571" spans="1:2" hidden="1">
      <c r="A5571" s="190" t="str">
        <f t="shared" si="19"/>
        <v/>
      </c>
      <c r="B5571" s="190" t="str">
        <f t="shared" si="18"/>
        <v/>
      </c>
    </row>
    <row r="5572" spans="1:2" hidden="1">
      <c r="A5572" s="190" t="str">
        <f t="shared" si="19"/>
        <v/>
      </c>
      <c r="B5572" s="190" t="str">
        <f t="shared" si="18"/>
        <v/>
      </c>
    </row>
    <row r="5573" spans="1:2" hidden="1">
      <c r="A5573" s="190" t="str">
        <f t="shared" si="19"/>
        <v/>
      </c>
      <c r="B5573" s="190" t="str">
        <f t="shared" si="18"/>
        <v/>
      </c>
    </row>
    <row r="5574" spans="1:2" hidden="1">
      <c r="A5574" s="190" t="str">
        <f t="shared" si="19"/>
        <v/>
      </c>
      <c r="B5574" s="190" t="str">
        <f t="shared" si="18"/>
        <v/>
      </c>
    </row>
    <row r="5575" spans="1:2" hidden="1">
      <c r="A5575" s="190" t="str">
        <f t="shared" si="19"/>
        <v/>
      </c>
      <c r="B5575" s="190" t="str">
        <f t="shared" si="18"/>
        <v/>
      </c>
    </row>
    <row r="5576" spans="1:2" hidden="1">
      <c r="A5576" s="190" t="str">
        <f t="shared" si="19"/>
        <v/>
      </c>
      <c r="B5576" s="190" t="str">
        <f t="shared" si="18"/>
        <v/>
      </c>
    </row>
    <row r="5577" spans="1:2" hidden="1">
      <c r="A5577" s="190" t="str">
        <f t="shared" si="19"/>
        <v/>
      </c>
      <c r="B5577" s="190" t="str">
        <f t="shared" si="18"/>
        <v/>
      </c>
    </row>
    <row r="5578" spans="1:2" hidden="1">
      <c r="A5578" s="190" t="str">
        <f t="shared" si="19"/>
        <v/>
      </c>
      <c r="B5578" s="190" t="str">
        <f t="shared" si="18"/>
        <v/>
      </c>
    </row>
    <row r="5579" spans="1:2" hidden="1">
      <c r="A5579" s="190" t="str">
        <f t="shared" si="19"/>
        <v/>
      </c>
      <c r="B5579" s="190" t="str">
        <f t="shared" si="18"/>
        <v/>
      </c>
    </row>
    <row r="5580" spans="1:2" hidden="1">
      <c r="A5580" s="190" t="str">
        <f t="shared" si="19"/>
        <v/>
      </c>
      <c r="B5580" s="190" t="str">
        <f t="shared" si="18"/>
        <v/>
      </c>
    </row>
    <row r="5581" spans="1:2" hidden="1">
      <c r="A5581" s="190" t="str">
        <f t="shared" si="19"/>
        <v/>
      </c>
      <c r="B5581" s="190" t="str">
        <f t="shared" si="18"/>
        <v/>
      </c>
    </row>
    <row r="5582" spans="1:2" hidden="1">
      <c r="A5582" s="190" t="str">
        <f t="shared" si="19"/>
        <v/>
      </c>
      <c r="B5582" s="190" t="str">
        <f t="shared" si="18"/>
        <v/>
      </c>
    </row>
    <row r="5583" spans="1:2" hidden="1">
      <c r="A5583" s="190" t="str">
        <f t="shared" si="19"/>
        <v/>
      </c>
      <c r="B5583" s="190" t="str">
        <f t="shared" si="18"/>
        <v/>
      </c>
    </row>
    <row r="5584" spans="1:2" hidden="1">
      <c r="A5584" s="190" t="str">
        <f t="shared" si="19"/>
        <v/>
      </c>
      <c r="B5584" s="190" t="str">
        <f t="shared" si="18"/>
        <v/>
      </c>
    </row>
    <row r="5585" spans="1:2" hidden="1">
      <c r="A5585" s="190" t="str">
        <f t="shared" si="19"/>
        <v/>
      </c>
      <c r="B5585" s="190" t="str">
        <f t="shared" si="18"/>
        <v/>
      </c>
    </row>
    <row r="5586" spans="1:2" hidden="1">
      <c r="A5586" s="190" t="str">
        <f t="shared" si="19"/>
        <v/>
      </c>
      <c r="B5586" s="190" t="str">
        <f t="shared" si="18"/>
        <v/>
      </c>
    </row>
    <row r="5587" spans="1:2" hidden="1">
      <c r="A5587" s="190" t="str">
        <f t="shared" si="19"/>
        <v/>
      </c>
      <c r="B5587" s="190" t="str">
        <f t="shared" si="18"/>
        <v/>
      </c>
    </row>
    <row r="5588" spans="1:2" hidden="1">
      <c r="A5588" s="190" t="str">
        <f t="shared" si="19"/>
        <v/>
      </c>
      <c r="B5588" s="190" t="str">
        <f t="shared" si="18"/>
        <v/>
      </c>
    </row>
    <row r="5589" spans="1:2" hidden="1">
      <c r="A5589" s="190" t="str">
        <f t="shared" si="19"/>
        <v/>
      </c>
      <c r="B5589" s="190" t="str">
        <f t="shared" si="18"/>
        <v/>
      </c>
    </row>
    <row r="5590" spans="1:2" hidden="1">
      <c r="A5590" s="190" t="str">
        <f t="shared" si="19"/>
        <v/>
      </c>
      <c r="B5590" s="190" t="str">
        <f t="shared" si="18"/>
        <v/>
      </c>
    </row>
    <row r="5591" spans="1:2" hidden="1">
      <c r="A5591" s="190" t="str">
        <f t="shared" si="19"/>
        <v/>
      </c>
      <c r="B5591" s="190" t="str">
        <f t="shared" si="18"/>
        <v/>
      </c>
    </row>
    <row r="5592" spans="1:2" hidden="1">
      <c r="A5592" s="190" t="str">
        <f t="shared" si="19"/>
        <v/>
      </c>
      <c r="B5592" s="190" t="str">
        <f t="shared" si="18"/>
        <v/>
      </c>
    </row>
    <row r="5593" spans="1:2" hidden="1">
      <c r="A5593" s="190" t="str">
        <f t="shared" si="19"/>
        <v/>
      </c>
      <c r="B5593" s="190" t="str">
        <f t="shared" si="18"/>
        <v/>
      </c>
    </row>
    <row r="5594" spans="1:2" hidden="1">
      <c r="A5594" s="190" t="str">
        <f t="shared" si="19"/>
        <v/>
      </c>
      <c r="B5594" s="190" t="str">
        <f t="shared" si="18"/>
        <v/>
      </c>
    </row>
    <row r="5595" spans="1:2" hidden="1">
      <c r="A5595" s="190" t="str">
        <f t="shared" si="19"/>
        <v/>
      </c>
      <c r="B5595" s="190" t="str">
        <f t="shared" ref="B5595:B5658" si="20">HYPERLINK("http://tw.stock.yahoo.com/d/s/earning_.html","")</f>
        <v/>
      </c>
    </row>
    <row r="5596" spans="1:2" hidden="1">
      <c r="A5596" s="190" t="str">
        <f t="shared" si="19"/>
        <v/>
      </c>
      <c r="B5596" s="190" t="str">
        <f t="shared" si="20"/>
        <v/>
      </c>
    </row>
    <row r="5597" spans="1:2" hidden="1">
      <c r="A5597" s="190" t="str">
        <f t="shared" si="19"/>
        <v/>
      </c>
      <c r="B5597" s="190" t="str">
        <f t="shared" si="20"/>
        <v/>
      </c>
    </row>
    <row r="5598" spans="1:2" hidden="1">
      <c r="A5598" s="190" t="str">
        <f t="shared" si="19"/>
        <v/>
      </c>
      <c r="B5598" s="190" t="str">
        <f t="shared" si="20"/>
        <v/>
      </c>
    </row>
    <row r="5599" spans="1:2" hidden="1">
      <c r="A5599" s="190" t="str">
        <f t="shared" si="19"/>
        <v/>
      </c>
      <c r="B5599" s="190" t="str">
        <f t="shared" si="20"/>
        <v/>
      </c>
    </row>
    <row r="5600" spans="1:2" hidden="1">
      <c r="A5600" s="190" t="str">
        <f t="shared" si="19"/>
        <v/>
      </c>
      <c r="B5600" s="190" t="str">
        <f t="shared" si="20"/>
        <v/>
      </c>
    </row>
    <row r="5601" spans="1:2" hidden="1">
      <c r="A5601" s="190" t="str">
        <f t="shared" si="19"/>
        <v/>
      </c>
      <c r="B5601" s="190" t="str">
        <f t="shared" si="20"/>
        <v/>
      </c>
    </row>
    <row r="5602" spans="1:2" hidden="1">
      <c r="A5602" s="190" t="str">
        <f t="shared" si="19"/>
        <v/>
      </c>
      <c r="B5602" s="190" t="str">
        <f t="shared" si="20"/>
        <v/>
      </c>
    </row>
    <row r="5603" spans="1:2" hidden="1">
      <c r="A5603" s="190" t="str">
        <f t="shared" si="19"/>
        <v/>
      </c>
      <c r="B5603" s="190" t="str">
        <f t="shared" si="20"/>
        <v/>
      </c>
    </row>
    <row r="5604" spans="1:2" hidden="1">
      <c r="A5604" s="190" t="str">
        <f t="shared" si="19"/>
        <v/>
      </c>
      <c r="B5604" s="190" t="str">
        <f t="shared" si="20"/>
        <v/>
      </c>
    </row>
    <row r="5605" spans="1:2" hidden="1">
      <c r="A5605" s="190" t="str">
        <f t="shared" si="19"/>
        <v/>
      </c>
      <c r="B5605" s="190" t="str">
        <f t="shared" si="20"/>
        <v/>
      </c>
    </row>
    <row r="5606" spans="1:2" hidden="1">
      <c r="A5606" s="190" t="str">
        <f t="shared" si="19"/>
        <v/>
      </c>
      <c r="B5606" s="190" t="str">
        <f t="shared" si="20"/>
        <v/>
      </c>
    </row>
    <row r="5607" spans="1:2" hidden="1">
      <c r="A5607" s="190" t="str">
        <f t="shared" si="19"/>
        <v/>
      </c>
      <c r="B5607" s="190" t="str">
        <f t="shared" si="20"/>
        <v/>
      </c>
    </row>
    <row r="5608" spans="1:2" hidden="1">
      <c r="A5608" s="190" t="str">
        <f t="shared" si="19"/>
        <v/>
      </c>
      <c r="B5608" s="190" t="str">
        <f t="shared" si="20"/>
        <v/>
      </c>
    </row>
    <row r="5609" spans="1:2" hidden="1">
      <c r="A5609" s="190" t="str">
        <f t="shared" si="19"/>
        <v/>
      </c>
      <c r="B5609" s="190" t="str">
        <f t="shared" si="20"/>
        <v/>
      </c>
    </row>
    <row r="5610" spans="1:2" hidden="1">
      <c r="A5610" s="190" t="str">
        <f t="shared" si="19"/>
        <v/>
      </c>
      <c r="B5610" s="190" t="str">
        <f t="shared" si="20"/>
        <v/>
      </c>
    </row>
    <row r="5611" spans="1:2" hidden="1">
      <c r="A5611" s="190" t="str">
        <f t="shared" si="19"/>
        <v/>
      </c>
      <c r="B5611" s="190" t="str">
        <f t="shared" si="20"/>
        <v/>
      </c>
    </row>
    <row r="5612" spans="1:2" hidden="1">
      <c r="A5612" s="190" t="str">
        <f t="shared" si="19"/>
        <v/>
      </c>
      <c r="B5612" s="190" t="str">
        <f t="shared" si="20"/>
        <v/>
      </c>
    </row>
    <row r="5613" spans="1:2" hidden="1">
      <c r="A5613" s="190" t="str">
        <f t="shared" si="19"/>
        <v/>
      </c>
      <c r="B5613" s="190" t="str">
        <f t="shared" si="20"/>
        <v/>
      </c>
    </row>
    <row r="5614" spans="1:2" hidden="1">
      <c r="A5614" s="190" t="str">
        <f t="shared" si="19"/>
        <v/>
      </c>
      <c r="B5614" s="190" t="str">
        <f t="shared" si="20"/>
        <v/>
      </c>
    </row>
    <row r="5615" spans="1:2" hidden="1">
      <c r="A5615" s="190" t="str">
        <f t="shared" si="19"/>
        <v/>
      </c>
      <c r="B5615" s="190" t="str">
        <f t="shared" si="20"/>
        <v/>
      </c>
    </row>
    <row r="5616" spans="1:2" hidden="1">
      <c r="A5616" s="190" t="str">
        <f t="shared" si="19"/>
        <v/>
      </c>
      <c r="B5616" s="190" t="str">
        <f t="shared" si="20"/>
        <v/>
      </c>
    </row>
    <row r="5617" spans="1:2" hidden="1">
      <c r="A5617" s="190" t="str">
        <f t="shared" si="19"/>
        <v/>
      </c>
      <c r="B5617" s="190" t="str">
        <f t="shared" si="20"/>
        <v/>
      </c>
    </row>
    <row r="5618" spans="1:2" hidden="1">
      <c r="A5618" s="190" t="str">
        <f t="shared" si="19"/>
        <v/>
      </c>
      <c r="B5618" s="190" t="str">
        <f t="shared" si="20"/>
        <v/>
      </c>
    </row>
    <row r="5619" spans="1:2" hidden="1">
      <c r="A5619" s="190" t="str">
        <f t="shared" si="19"/>
        <v/>
      </c>
      <c r="B5619" s="190" t="str">
        <f t="shared" si="20"/>
        <v/>
      </c>
    </row>
    <row r="5620" spans="1:2" hidden="1">
      <c r="A5620" s="190" t="str">
        <f t="shared" si="19"/>
        <v/>
      </c>
      <c r="B5620" s="190" t="str">
        <f t="shared" si="20"/>
        <v/>
      </c>
    </row>
    <row r="5621" spans="1:2" hidden="1">
      <c r="A5621" s="190" t="str">
        <f t="shared" si="19"/>
        <v/>
      </c>
      <c r="B5621" s="190" t="str">
        <f t="shared" si="20"/>
        <v/>
      </c>
    </row>
    <row r="5622" spans="1:2" hidden="1">
      <c r="A5622" s="190" t="str">
        <f t="shared" si="19"/>
        <v/>
      </c>
      <c r="B5622" s="190" t="str">
        <f t="shared" si="20"/>
        <v/>
      </c>
    </row>
    <row r="5623" spans="1:2" hidden="1">
      <c r="A5623" s="190" t="str">
        <f t="shared" si="19"/>
        <v/>
      </c>
      <c r="B5623" s="190" t="str">
        <f t="shared" si="20"/>
        <v/>
      </c>
    </row>
    <row r="5624" spans="1:2" hidden="1">
      <c r="A5624" s="190" t="str">
        <f t="shared" si="19"/>
        <v/>
      </c>
      <c r="B5624" s="190" t="str">
        <f t="shared" si="20"/>
        <v/>
      </c>
    </row>
    <row r="5625" spans="1:2" hidden="1">
      <c r="A5625" s="190" t="str">
        <f t="shared" si="19"/>
        <v/>
      </c>
      <c r="B5625" s="190" t="str">
        <f t="shared" si="20"/>
        <v/>
      </c>
    </row>
    <row r="5626" spans="1:2" hidden="1">
      <c r="A5626" s="190" t="str">
        <f t="shared" si="19"/>
        <v/>
      </c>
      <c r="B5626" s="190" t="str">
        <f t="shared" si="20"/>
        <v/>
      </c>
    </row>
    <row r="5627" spans="1:2" hidden="1">
      <c r="A5627" s="190" t="str">
        <f t="shared" si="19"/>
        <v/>
      </c>
      <c r="B5627" s="190" t="str">
        <f t="shared" si="20"/>
        <v/>
      </c>
    </row>
    <row r="5628" spans="1:2" hidden="1">
      <c r="A5628" s="190" t="str">
        <f t="shared" si="19"/>
        <v/>
      </c>
      <c r="B5628" s="190" t="str">
        <f t="shared" si="20"/>
        <v/>
      </c>
    </row>
    <row r="5629" spans="1:2" hidden="1">
      <c r="A5629" s="190" t="str">
        <f t="shared" si="19"/>
        <v/>
      </c>
      <c r="B5629" s="190" t="str">
        <f t="shared" si="20"/>
        <v/>
      </c>
    </row>
    <row r="5630" spans="1:2" hidden="1">
      <c r="A5630" s="190" t="str">
        <f t="shared" si="19"/>
        <v/>
      </c>
      <c r="B5630" s="190" t="str">
        <f t="shared" si="20"/>
        <v/>
      </c>
    </row>
    <row r="5631" spans="1:2" hidden="1">
      <c r="A5631" s="190" t="str">
        <f t="shared" ref="A5631:A5694" si="21">HYPERLINK("http://tw.stock.yahoo.com/q/ta?s=","")</f>
        <v/>
      </c>
      <c r="B5631" s="190" t="str">
        <f t="shared" si="20"/>
        <v/>
      </c>
    </row>
    <row r="5632" spans="1:2" hidden="1">
      <c r="A5632" s="190" t="str">
        <f t="shared" si="21"/>
        <v/>
      </c>
      <c r="B5632" s="190" t="str">
        <f t="shared" si="20"/>
        <v/>
      </c>
    </row>
    <row r="5633" spans="1:2" hidden="1">
      <c r="A5633" s="190" t="str">
        <f t="shared" si="21"/>
        <v/>
      </c>
      <c r="B5633" s="190" t="str">
        <f t="shared" si="20"/>
        <v/>
      </c>
    </row>
    <row r="5634" spans="1:2" hidden="1">
      <c r="A5634" s="190" t="str">
        <f t="shared" si="21"/>
        <v/>
      </c>
      <c r="B5634" s="190" t="str">
        <f t="shared" si="20"/>
        <v/>
      </c>
    </row>
    <row r="5635" spans="1:2" hidden="1">
      <c r="A5635" s="190" t="str">
        <f t="shared" si="21"/>
        <v/>
      </c>
      <c r="B5635" s="190" t="str">
        <f t="shared" si="20"/>
        <v/>
      </c>
    </row>
    <row r="5636" spans="1:2" hidden="1">
      <c r="A5636" s="190" t="str">
        <f t="shared" si="21"/>
        <v/>
      </c>
      <c r="B5636" s="190" t="str">
        <f t="shared" si="20"/>
        <v/>
      </c>
    </row>
    <row r="5637" spans="1:2" hidden="1">
      <c r="A5637" s="190" t="str">
        <f t="shared" si="21"/>
        <v/>
      </c>
      <c r="B5637" s="190" t="str">
        <f t="shared" si="20"/>
        <v/>
      </c>
    </row>
    <row r="5638" spans="1:2" hidden="1">
      <c r="A5638" s="190" t="str">
        <f t="shared" si="21"/>
        <v/>
      </c>
      <c r="B5638" s="190" t="str">
        <f t="shared" si="20"/>
        <v/>
      </c>
    </row>
    <row r="5639" spans="1:2" hidden="1">
      <c r="A5639" s="190" t="str">
        <f t="shared" si="21"/>
        <v/>
      </c>
      <c r="B5639" s="190" t="str">
        <f t="shared" si="20"/>
        <v/>
      </c>
    </row>
    <row r="5640" spans="1:2" hidden="1">
      <c r="A5640" s="190" t="str">
        <f t="shared" si="21"/>
        <v/>
      </c>
      <c r="B5640" s="190" t="str">
        <f t="shared" si="20"/>
        <v/>
      </c>
    </row>
    <row r="5641" spans="1:2" hidden="1">
      <c r="A5641" s="190" t="str">
        <f t="shared" si="21"/>
        <v/>
      </c>
      <c r="B5641" s="190" t="str">
        <f t="shared" si="20"/>
        <v/>
      </c>
    </row>
    <row r="5642" spans="1:2" hidden="1">
      <c r="A5642" s="190" t="str">
        <f t="shared" si="21"/>
        <v/>
      </c>
      <c r="B5642" s="190" t="str">
        <f t="shared" si="20"/>
        <v/>
      </c>
    </row>
    <row r="5643" spans="1:2" hidden="1">
      <c r="A5643" s="190" t="str">
        <f t="shared" si="21"/>
        <v/>
      </c>
      <c r="B5643" s="190" t="str">
        <f t="shared" si="20"/>
        <v/>
      </c>
    </row>
    <row r="5644" spans="1:2" hidden="1">
      <c r="A5644" s="190" t="str">
        <f t="shared" si="21"/>
        <v/>
      </c>
      <c r="B5644" s="190" t="str">
        <f t="shared" si="20"/>
        <v/>
      </c>
    </row>
    <row r="5645" spans="1:2" hidden="1">
      <c r="A5645" s="190" t="str">
        <f t="shared" si="21"/>
        <v/>
      </c>
      <c r="B5645" s="190" t="str">
        <f t="shared" si="20"/>
        <v/>
      </c>
    </row>
    <row r="5646" spans="1:2" hidden="1">
      <c r="A5646" s="190" t="str">
        <f t="shared" si="21"/>
        <v/>
      </c>
      <c r="B5646" s="190" t="str">
        <f t="shared" si="20"/>
        <v/>
      </c>
    </row>
    <row r="5647" spans="1:2" hidden="1">
      <c r="A5647" s="190" t="str">
        <f t="shared" si="21"/>
        <v/>
      </c>
      <c r="B5647" s="190" t="str">
        <f t="shared" si="20"/>
        <v/>
      </c>
    </row>
    <row r="5648" spans="1:2" hidden="1">
      <c r="A5648" s="190" t="str">
        <f t="shared" si="21"/>
        <v/>
      </c>
      <c r="B5648" s="190" t="str">
        <f t="shared" si="20"/>
        <v/>
      </c>
    </row>
    <row r="5649" spans="1:2" hidden="1">
      <c r="A5649" s="190" t="str">
        <f t="shared" si="21"/>
        <v/>
      </c>
      <c r="B5649" s="190" t="str">
        <f t="shared" si="20"/>
        <v/>
      </c>
    </row>
    <row r="5650" spans="1:2" hidden="1">
      <c r="A5650" s="190" t="str">
        <f t="shared" si="21"/>
        <v/>
      </c>
      <c r="B5650" s="190" t="str">
        <f t="shared" si="20"/>
        <v/>
      </c>
    </row>
    <row r="5651" spans="1:2" hidden="1">
      <c r="A5651" s="190" t="str">
        <f t="shared" si="21"/>
        <v/>
      </c>
      <c r="B5651" s="190" t="str">
        <f t="shared" si="20"/>
        <v/>
      </c>
    </row>
    <row r="5652" spans="1:2" hidden="1">
      <c r="A5652" s="190" t="str">
        <f t="shared" si="21"/>
        <v/>
      </c>
      <c r="B5652" s="190" t="str">
        <f t="shared" si="20"/>
        <v/>
      </c>
    </row>
    <row r="5653" spans="1:2" hidden="1">
      <c r="A5653" s="190" t="str">
        <f t="shared" si="21"/>
        <v/>
      </c>
      <c r="B5653" s="190" t="str">
        <f t="shared" si="20"/>
        <v/>
      </c>
    </row>
    <row r="5654" spans="1:2" hidden="1">
      <c r="A5654" s="190" t="str">
        <f t="shared" si="21"/>
        <v/>
      </c>
      <c r="B5654" s="190" t="str">
        <f t="shared" si="20"/>
        <v/>
      </c>
    </row>
    <row r="5655" spans="1:2" hidden="1">
      <c r="A5655" s="190" t="str">
        <f t="shared" si="21"/>
        <v/>
      </c>
      <c r="B5655" s="190" t="str">
        <f t="shared" si="20"/>
        <v/>
      </c>
    </row>
    <row r="5656" spans="1:2" hidden="1">
      <c r="A5656" s="190" t="str">
        <f t="shared" si="21"/>
        <v/>
      </c>
      <c r="B5656" s="190" t="str">
        <f t="shared" si="20"/>
        <v/>
      </c>
    </row>
    <row r="5657" spans="1:2" hidden="1">
      <c r="A5657" s="190" t="str">
        <f t="shared" si="21"/>
        <v/>
      </c>
      <c r="B5657" s="190" t="str">
        <f t="shared" si="20"/>
        <v/>
      </c>
    </row>
    <row r="5658" spans="1:2" hidden="1">
      <c r="A5658" s="190" t="str">
        <f t="shared" si="21"/>
        <v/>
      </c>
      <c r="B5658" s="190" t="str">
        <f t="shared" si="20"/>
        <v/>
      </c>
    </row>
    <row r="5659" spans="1:2" hidden="1">
      <c r="A5659" s="190" t="str">
        <f t="shared" si="21"/>
        <v/>
      </c>
      <c r="B5659" s="190" t="str">
        <f t="shared" ref="B5659:B5722" si="22">HYPERLINK("http://tw.stock.yahoo.com/d/s/earning_.html","")</f>
        <v/>
      </c>
    </row>
    <row r="5660" spans="1:2" hidden="1">
      <c r="A5660" s="190" t="str">
        <f t="shared" si="21"/>
        <v/>
      </c>
      <c r="B5660" s="190" t="str">
        <f t="shared" si="22"/>
        <v/>
      </c>
    </row>
    <row r="5661" spans="1:2" hidden="1">
      <c r="A5661" s="190" t="str">
        <f t="shared" si="21"/>
        <v/>
      </c>
      <c r="B5661" s="190" t="str">
        <f t="shared" si="22"/>
        <v/>
      </c>
    </row>
    <row r="5662" spans="1:2" hidden="1">
      <c r="A5662" s="190" t="str">
        <f t="shared" si="21"/>
        <v/>
      </c>
      <c r="B5662" s="190" t="str">
        <f t="shared" si="22"/>
        <v/>
      </c>
    </row>
    <row r="5663" spans="1:2" hidden="1">
      <c r="A5663" s="190" t="str">
        <f t="shared" si="21"/>
        <v/>
      </c>
      <c r="B5663" s="190" t="str">
        <f t="shared" si="22"/>
        <v/>
      </c>
    </row>
    <row r="5664" spans="1:2" hidden="1">
      <c r="A5664" s="190" t="str">
        <f t="shared" si="21"/>
        <v/>
      </c>
      <c r="B5664" s="190" t="str">
        <f t="shared" si="22"/>
        <v/>
      </c>
    </row>
    <row r="5665" spans="1:2" hidden="1">
      <c r="A5665" s="190" t="str">
        <f t="shared" si="21"/>
        <v/>
      </c>
      <c r="B5665" s="190" t="str">
        <f t="shared" si="22"/>
        <v/>
      </c>
    </row>
    <row r="5666" spans="1:2" hidden="1">
      <c r="A5666" s="190" t="str">
        <f t="shared" si="21"/>
        <v/>
      </c>
      <c r="B5666" s="190" t="str">
        <f t="shared" si="22"/>
        <v/>
      </c>
    </row>
    <row r="5667" spans="1:2" hidden="1">
      <c r="A5667" s="190" t="str">
        <f t="shared" si="21"/>
        <v/>
      </c>
      <c r="B5667" s="190" t="str">
        <f t="shared" si="22"/>
        <v/>
      </c>
    </row>
    <row r="5668" spans="1:2" hidden="1">
      <c r="A5668" s="190" t="str">
        <f t="shared" si="21"/>
        <v/>
      </c>
      <c r="B5668" s="190" t="str">
        <f t="shared" si="22"/>
        <v/>
      </c>
    </row>
    <row r="5669" spans="1:2" hidden="1">
      <c r="A5669" s="190" t="str">
        <f t="shared" si="21"/>
        <v/>
      </c>
      <c r="B5669" s="190" t="str">
        <f t="shared" si="22"/>
        <v/>
      </c>
    </row>
    <row r="5670" spans="1:2" hidden="1">
      <c r="A5670" s="190" t="str">
        <f t="shared" si="21"/>
        <v/>
      </c>
      <c r="B5670" s="190" t="str">
        <f t="shared" si="22"/>
        <v/>
      </c>
    </row>
    <row r="5671" spans="1:2" hidden="1">
      <c r="A5671" s="190" t="str">
        <f t="shared" si="21"/>
        <v/>
      </c>
      <c r="B5671" s="190" t="str">
        <f t="shared" si="22"/>
        <v/>
      </c>
    </row>
    <row r="5672" spans="1:2" hidden="1">
      <c r="A5672" s="190" t="str">
        <f t="shared" si="21"/>
        <v/>
      </c>
      <c r="B5672" s="190" t="str">
        <f t="shared" si="22"/>
        <v/>
      </c>
    </row>
    <row r="5673" spans="1:2" hidden="1">
      <c r="A5673" s="190" t="str">
        <f t="shared" si="21"/>
        <v/>
      </c>
      <c r="B5673" s="190" t="str">
        <f t="shared" si="22"/>
        <v/>
      </c>
    </row>
    <row r="5674" spans="1:2" hidden="1">
      <c r="A5674" s="190" t="str">
        <f t="shared" si="21"/>
        <v/>
      </c>
      <c r="B5674" s="190" t="str">
        <f t="shared" si="22"/>
        <v/>
      </c>
    </row>
    <row r="5675" spans="1:2" hidden="1">
      <c r="A5675" s="190" t="str">
        <f t="shared" si="21"/>
        <v/>
      </c>
      <c r="B5675" s="190" t="str">
        <f t="shared" si="22"/>
        <v/>
      </c>
    </row>
    <row r="5676" spans="1:2" hidden="1">
      <c r="A5676" s="190" t="str">
        <f t="shared" si="21"/>
        <v/>
      </c>
      <c r="B5676" s="190" t="str">
        <f t="shared" si="22"/>
        <v/>
      </c>
    </row>
    <row r="5677" spans="1:2" hidden="1">
      <c r="A5677" s="190" t="str">
        <f t="shared" si="21"/>
        <v/>
      </c>
      <c r="B5677" s="190" t="str">
        <f t="shared" si="22"/>
        <v/>
      </c>
    </row>
    <row r="5678" spans="1:2" hidden="1">
      <c r="A5678" s="190" t="str">
        <f t="shared" si="21"/>
        <v/>
      </c>
      <c r="B5678" s="190" t="str">
        <f t="shared" si="22"/>
        <v/>
      </c>
    </row>
    <row r="5679" spans="1:2" hidden="1">
      <c r="A5679" s="190" t="str">
        <f t="shared" si="21"/>
        <v/>
      </c>
      <c r="B5679" s="190" t="str">
        <f t="shared" si="22"/>
        <v/>
      </c>
    </row>
    <row r="5680" spans="1:2" hidden="1">
      <c r="A5680" s="190" t="str">
        <f t="shared" si="21"/>
        <v/>
      </c>
      <c r="B5680" s="190" t="str">
        <f t="shared" si="22"/>
        <v/>
      </c>
    </row>
    <row r="5681" spans="1:2" hidden="1">
      <c r="A5681" s="190" t="str">
        <f t="shared" si="21"/>
        <v/>
      </c>
      <c r="B5681" s="190" t="str">
        <f t="shared" si="22"/>
        <v/>
      </c>
    </row>
    <row r="5682" spans="1:2" hidden="1">
      <c r="A5682" s="190" t="str">
        <f t="shared" si="21"/>
        <v/>
      </c>
      <c r="B5682" s="190" t="str">
        <f t="shared" si="22"/>
        <v/>
      </c>
    </row>
    <row r="5683" spans="1:2" hidden="1">
      <c r="A5683" s="190" t="str">
        <f t="shared" si="21"/>
        <v/>
      </c>
      <c r="B5683" s="190" t="str">
        <f t="shared" si="22"/>
        <v/>
      </c>
    </row>
    <row r="5684" spans="1:2" hidden="1">
      <c r="A5684" s="190" t="str">
        <f t="shared" si="21"/>
        <v/>
      </c>
      <c r="B5684" s="190" t="str">
        <f t="shared" si="22"/>
        <v/>
      </c>
    </row>
    <row r="5685" spans="1:2" hidden="1">
      <c r="A5685" s="190" t="str">
        <f t="shared" si="21"/>
        <v/>
      </c>
      <c r="B5685" s="190" t="str">
        <f t="shared" si="22"/>
        <v/>
      </c>
    </row>
    <row r="5686" spans="1:2" hidden="1">
      <c r="A5686" s="190" t="str">
        <f t="shared" si="21"/>
        <v/>
      </c>
      <c r="B5686" s="190" t="str">
        <f t="shared" si="22"/>
        <v/>
      </c>
    </row>
    <row r="5687" spans="1:2" hidden="1">
      <c r="A5687" s="190" t="str">
        <f t="shared" si="21"/>
        <v/>
      </c>
      <c r="B5687" s="190" t="str">
        <f t="shared" si="22"/>
        <v/>
      </c>
    </row>
    <row r="5688" spans="1:2" hidden="1">
      <c r="A5688" s="190" t="str">
        <f t="shared" si="21"/>
        <v/>
      </c>
      <c r="B5688" s="190" t="str">
        <f t="shared" si="22"/>
        <v/>
      </c>
    </row>
    <row r="5689" spans="1:2" hidden="1">
      <c r="A5689" s="190" t="str">
        <f t="shared" si="21"/>
        <v/>
      </c>
      <c r="B5689" s="190" t="str">
        <f t="shared" si="22"/>
        <v/>
      </c>
    </row>
    <row r="5690" spans="1:2" hidden="1">
      <c r="A5690" s="190" t="str">
        <f t="shared" si="21"/>
        <v/>
      </c>
      <c r="B5690" s="190" t="str">
        <f t="shared" si="22"/>
        <v/>
      </c>
    </row>
    <row r="5691" spans="1:2" hidden="1">
      <c r="A5691" s="190" t="str">
        <f t="shared" si="21"/>
        <v/>
      </c>
      <c r="B5691" s="190" t="str">
        <f t="shared" si="22"/>
        <v/>
      </c>
    </row>
    <row r="5692" spans="1:2" hidden="1">
      <c r="A5692" s="190" t="str">
        <f t="shared" si="21"/>
        <v/>
      </c>
      <c r="B5692" s="190" t="str">
        <f t="shared" si="22"/>
        <v/>
      </c>
    </row>
    <row r="5693" spans="1:2" hidden="1">
      <c r="A5693" s="190" t="str">
        <f t="shared" si="21"/>
        <v/>
      </c>
      <c r="B5693" s="190" t="str">
        <f t="shared" si="22"/>
        <v/>
      </c>
    </row>
    <row r="5694" spans="1:2" hidden="1">
      <c r="A5694" s="190" t="str">
        <f t="shared" si="21"/>
        <v/>
      </c>
      <c r="B5694" s="190" t="str">
        <f t="shared" si="22"/>
        <v/>
      </c>
    </row>
    <row r="5695" spans="1:2" hidden="1">
      <c r="A5695" s="190" t="str">
        <f t="shared" ref="A5695:A5758" si="23">HYPERLINK("http://tw.stock.yahoo.com/q/ta?s=","")</f>
        <v/>
      </c>
      <c r="B5695" s="190" t="str">
        <f t="shared" si="22"/>
        <v/>
      </c>
    </row>
    <row r="5696" spans="1:2" hidden="1">
      <c r="A5696" s="190" t="str">
        <f t="shared" si="23"/>
        <v/>
      </c>
      <c r="B5696" s="190" t="str">
        <f t="shared" si="22"/>
        <v/>
      </c>
    </row>
    <row r="5697" spans="1:2" hidden="1">
      <c r="A5697" s="190" t="str">
        <f t="shared" si="23"/>
        <v/>
      </c>
      <c r="B5697" s="190" t="str">
        <f t="shared" si="22"/>
        <v/>
      </c>
    </row>
    <row r="5698" spans="1:2" hidden="1">
      <c r="A5698" s="190" t="str">
        <f t="shared" si="23"/>
        <v/>
      </c>
      <c r="B5698" s="190" t="str">
        <f t="shared" si="22"/>
        <v/>
      </c>
    </row>
    <row r="5699" spans="1:2" hidden="1">
      <c r="A5699" s="190" t="str">
        <f t="shared" si="23"/>
        <v/>
      </c>
      <c r="B5699" s="190" t="str">
        <f t="shared" si="22"/>
        <v/>
      </c>
    </row>
    <row r="5700" spans="1:2" hidden="1">
      <c r="A5700" s="190" t="str">
        <f t="shared" si="23"/>
        <v/>
      </c>
      <c r="B5700" s="190" t="str">
        <f t="shared" si="22"/>
        <v/>
      </c>
    </row>
    <row r="5701" spans="1:2" hidden="1">
      <c r="A5701" s="190" t="str">
        <f t="shared" si="23"/>
        <v/>
      </c>
      <c r="B5701" s="190" t="str">
        <f t="shared" si="22"/>
        <v/>
      </c>
    </row>
    <row r="5702" spans="1:2" hidden="1">
      <c r="A5702" s="190" t="str">
        <f t="shared" si="23"/>
        <v/>
      </c>
      <c r="B5702" s="190" t="str">
        <f t="shared" si="22"/>
        <v/>
      </c>
    </row>
    <row r="5703" spans="1:2" hidden="1">
      <c r="A5703" s="190" t="str">
        <f t="shared" si="23"/>
        <v/>
      </c>
      <c r="B5703" s="190" t="str">
        <f t="shared" si="22"/>
        <v/>
      </c>
    </row>
    <row r="5704" spans="1:2" hidden="1">
      <c r="A5704" s="190" t="str">
        <f t="shared" si="23"/>
        <v/>
      </c>
      <c r="B5704" s="190" t="str">
        <f t="shared" si="22"/>
        <v/>
      </c>
    </row>
    <row r="5705" spans="1:2" hidden="1">
      <c r="A5705" s="190" t="str">
        <f t="shared" si="23"/>
        <v/>
      </c>
      <c r="B5705" s="190" t="str">
        <f t="shared" si="22"/>
        <v/>
      </c>
    </row>
    <row r="5706" spans="1:2" hidden="1">
      <c r="A5706" s="190" t="str">
        <f t="shared" si="23"/>
        <v/>
      </c>
      <c r="B5706" s="190" t="str">
        <f t="shared" si="22"/>
        <v/>
      </c>
    </row>
    <row r="5707" spans="1:2" hidden="1">
      <c r="A5707" s="190" t="str">
        <f t="shared" si="23"/>
        <v/>
      </c>
      <c r="B5707" s="190" t="str">
        <f t="shared" si="22"/>
        <v/>
      </c>
    </row>
    <row r="5708" spans="1:2" hidden="1">
      <c r="A5708" s="190" t="str">
        <f t="shared" si="23"/>
        <v/>
      </c>
      <c r="B5708" s="190" t="str">
        <f t="shared" si="22"/>
        <v/>
      </c>
    </row>
    <row r="5709" spans="1:2" hidden="1">
      <c r="A5709" s="190" t="str">
        <f t="shared" si="23"/>
        <v/>
      </c>
      <c r="B5709" s="190" t="str">
        <f t="shared" si="22"/>
        <v/>
      </c>
    </row>
    <row r="5710" spans="1:2" hidden="1">
      <c r="A5710" s="190" t="str">
        <f t="shared" si="23"/>
        <v/>
      </c>
      <c r="B5710" s="190" t="str">
        <f t="shared" si="22"/>
        <v/>
      </c>
    </row>
    <row r="5711" spans="1:2" hidden="1">
      <c r="A5711" s="190" t="str">
        <f t="shared" si="23"/>
        <v/>
      </c>
      <c r="B5711" s="190" t="str">
        <f t="shared" si="22"/>
        <v/>
      </c>
    </row>
    <row r="5712" spans="1:2" hidden="1">
      <c r="A5712" s="190" t="str">
        <f t="shared" si="23"/>
        <v/>
      </c>
      <c r="B5712" s="190" t="str">
        <f t="shared" si="22"/>
        <v/>
      </c>
    </row>
    <row r="5713" spans="1:2" hidden="1">
      <c r="A5713" s="190" t="str">
        <f t="shared" si="23"/>
        <v/>
      </c>
      <c r="B5713" s="190" t="str">
        <f t="shared" si="22"/>
        <v/>
      </c>
    </row>
    <row r="5714" spans="1:2" hidden="1">
      <c r="A5714" s="190" t="str">
        <f t="shared" si="23"/>
        <v/>
      </c>
      <c r="B5714" s="190" t="str">
        <f t="shared" si="22"/>
        <v/>
      </c>
    </row>
    <row r="5715" spans="1:2" hidden="1">
      <c r="A5715" s="190" t="str">
        <f t="shared" si="23"/>
        <v/>
      </c>
      <c r="B5715" s="190" t="str">
        <f t="shared" si="22"/>
        <v/>
      </c>
    </row>
    <row r="5716" spans="1:2" hidden="1">
      <c r="A5716" s="190" t="str">
        <f t="shared" si="23"/>
        <v/>
      </c>
      <c r="B5716" s="190" t="str">
        <f t="shared" si="22"/>
        <v/>
      </c>
    </row>
    <row r="5717" spans="1:2" hidden="1">
      <c r="A5717" s="190" t="str">
        <f t="shared" si="23"/>
        <v/>
      </c>
      <c r="B5717" s="190" t="str">
        <f t="shared" si="22"/>
        <v/>
      </c>
    </row>
    <row r="5718" spans="1:2" hidden="1">
      <c r="A5718" s="190" t="str">
        <f t="shared" si="23"/>
        <v/>
      </c>
      <c r="B5718" s="190" t="str">
        <f t="shared" si="22"/>
        <v/>
      </c>
    </row>
    <row r="5719" spans="1:2" hidden="1">
      <c r="A5719" s="190" t="str">
        <f t="shared" si="23"/>
        <v/>
      </c>
      <c r="B5719" s="190" t="str">
        <f t="shared" si="22"/>
        <v/>
      </c>
    </row>
    <row r="5720" spans="1:2" hidden="1">
      <c r="A5720" s="190" t="str">
        <f t="shared" si="23"/>
        <v/>
      </c>
      <c r="B5720" s="190" t="str">
        <f t="shared" si="22"/>
        <v/>
      </c>
    </row>
    <row r="5721" spans="1:2" hidden="1">
      <c r="A5721" s="190" t="str">
        <f t="shared" si="23"/>
        <v/>
      </c>
      <c r="B5721" s="190" t="str">
        <f t="shared" si="22"/>
        <v/>
      </c>
    </row>
    <row r="5722" spans="1:2" hidden="1">
      <c r="A5722" s="190" t="str">
        <f t="shared" si="23"/>
        <v/>
      </c>
      <c r="B5722" s="190" t="str">
        <f t="shared" si="22"/>
        <v/>
      </c>
    </row>
    <row r="5723" spans="1:2" hidden="1">
      <c r="A5723" s="190" t="str">
        <f t="shared" si="23"/>
        <v/>
      </c>
      <c r="B5723" s="190" t="str">
        <f t="shared" ref="B5723:B5786" si="24">HYPERLINK("http://tw.stock.yahoo.com/d/s/earning_.html","")</f>
        <v/>
      </c>
    </row>
    <row r="5724" spans="1:2" hidden="1">
      <c r="A5724" s="190" t="str">
        <f t="shared" si="23"/>
        <v/>
      </c>
      <c r="B5724" s="190" t="str">
        <f t="shared" si="24"/>
        <v/>
      </c>
    </row>
    <row r="5725" spans="1:2" hidden="1">
      <c r="A5725" s="190" t="str">
        <f t="shared" si="23"/>
        <v/>
      </c>
      <c r="B5725" s="190" t="str">
        <f t="shared" si="24"/>
        <v/>
      </c>
    </row>
    <row r="5726" spans="1:2" hidden="1">
      <c r="A5726" s="190" t="str">
        <f t="shared" si="23"/>
        <v/>
      </c>
      <c r="B5726" s="190" t="str">
        <f t="shared" si="24"/>
        <v/>
      </c>
    </row>
    <row r="5727" spans="1:2" hidden="1">
      <c r="A5727" s="190" t="str">
        <f t="shared" si="23"/>
        <v/>
      </c>
      <c r="B5727" s="190" t="str">
        <f t="shared" si="24"/>
        <v/>
      </c>
    </row>
    <row r="5728" spans="1:2" hidden="1">
      <c r="A5728" s="190" t="str">
        <f t="shared" si="23"/>
        <v/>
      </c>
      <c r="B5728" s="190" t="str">
        <f t="shared" si="24"/>
        <v/>
      </c>
    </row>
    <row r="5729" spans="1:2" hidden="1">
      <c r="A5729" s="190" t="str">
        <f t="shared" si="23"/>
        <v/>
      </c>
      <c r="B5729" s="190" t="str">
        <f t="shared" si="24"/>
        <v/>
      </c>
    </row>
    <row r="5730" spans="1:2" hidden="1">
      <c r="A5730" s="190" t="str">
        <f t="shared" si="23"/>
        <v/>
      </c>
      <c r="B5730" s="190" t="str">
        <f t="shared" si="24"/>
        <v/>
      </c>
    </row>
    <row r="5731" spans="1:2" hidden="1">
      <c r="A5731" s="190" t="str">
        <f t="shared" si="23"/>
        <v/>
      </c>
      <c r="B5731" s="190" t="str">
        <f t="shared" si="24"/>
        <v/>
      </c>
    </row>
    <row r="5732" spans="1:2" hidden="1">
      <c r="A5732" s="190" t="str">
        <f t="shared" si="23"/>
        <v/>
      </c>
      <c r="B5732" s="190" t="str">
        <f t="shared" si="24"/>
        <v/>
      </c>
    </row>
    <row r="5733" spans="1:2" hidden="1">
      <c r="A5733" s="190" t="str">
        <f t="shared" si="23"/>
        <v/>
      </c>
      <c r="B5733" s="190" t="str">
        <f t="shared" si="24"/>
        <v/>
      </c>
    </row>
    <row r="5734" spans="1:2" hidden="1">
      <c r="A5734" s="190" t="str">
        <f t="shared" si="23"/>
        <v/>
      </c>
      <c r="B5734" s="190" t="str">
        <f t="shared" si="24"/>
        <v/>
      </c>
    </row>
    <row r="5735" spans="1:2" hidden="1">
      <c r="A5735" s="190" t="str">
        <f t="shared" si="23"/>
        <v/>
      </c>
      <c r="B5735" s="190" t="str">
        <f t="shared" si="24"/>
        <v/>
      </c>
    </row>
    <row r="5736" spans="1:2" hidden="1">
      <c r="A5736" s="190" t="str">
        <f t="shared" si="23"/>
        <v/>
      </c>
      <c r="B5736" s="190" t="str">
        <f t="shared" si="24"/>
        <v/>
      </c>
    </row>
    <row r="5737" spans="1:2" hidden="1">
      <c r="A5737" s="190" t="str">
        <f t="shared" si="23"/>
        <v/>
      </c>
      <c r="B5737" s="190" t="str">
        <f t="shared" si="24"/>
        <v/>
      </c>
    </row>
    <row r="5738" spans="1:2" hidden="1">
      <c r="A5738" s="190" t="str">
        <f t="shared" si="23"/>
        <v/>
      </c>
      <c r="B5738" s="190" t="str">
        <f t="shared" si="24"/>
        <v/>
      </c>
    </row>
    <row r="5739" spans="1:2" hidden="1">
      <c r="A5739" s="190" t="str">
        <f t="shared" si="23"/>
        <v/>
      </c>
      <c r="B5739" s="190" t="str">
        <f t="shared" si="24"/>
        <v/>
      </c>
    </row>
    <row r="5740" spans="1:2" hidden="1">
      <c r="A5740" s="190" t="str">
        <f t="shared" si="23"/>
        <v/>
      </c>
      <c r="B5740" s="190" t="str">
        <f t="shared" si="24"/>
        <v/>
      </c>
    </row>
    <row r="5741" spans="1:2" hidden="1">
      <c r="A5741" s="190" t="str">
        <f t="shared" si="23"/>
        <v/>
      </c>
      <c r="B5741" s="190" t="str">
        <f t="shared" si="24"/>
        <v/>
      </c>
    </row>
    <row r="5742" spans="1:2" hidden="1">
      <c r="A5742" s="190" t="str">
        <f t="shared" si="23"/>
        <v/>
      </c>
      <c r="B5742" s="190" t="str">
        <f t="shared" si="24"/>
        <v/>
      </c>
    </row>
    <row r="5743" spans="1:2" hidden="1">
      <c r="A5743" s="190" t="str">
        <f t="shared" si="23"/>
        <v/>
      </c>
      <c r="B5743" s="190" t="str">
        <f t="shared" si="24"/>
        <v/>
      </c>
    </row>
    <row r="5744" spans="1:2" hidden="1">
      <c r="A5744" s="190" t="str">
        <f t="shared" si="23"/>
        <v/>
      </c>
      <c r="B5744" s="190" t="str">
        <f t="shared" si="24"/>
        <v/>
      </c>
    </row>
    <row r="5745" spans="1:2" hidden="1">
      <c r="A5745" s="190" t="str">
        <f t="shared" si="23"/>
        <v/>
      </c>
      <c r="B5745" s="190" t="str">
        <f t="shared" si="24"/>
        <v/>
      </c>
    </row>
    <row r="5746" spans="1:2" hidden="1">
      <c r="A5746" s="190" t="str">
        <f t="shared" si="23"/>
        <v/>
      </c>
      <c r="B5746" s="190" t="str">
        <f t="shared" si="24"/>
        <v/>
      </c>
    </row>
    <row r="5747" spans="1:2" hidden="1">
      <c r="A5747" s="190" t="str">
        <f t="shared" si="23"/>
        <v/>
      </c>
      <c r="B5747" s="190" t="str">
        <f t="shared" si="24"/>
        <v/>
      </c>
    </row>
    <row r="5748" spans="1:2" hidden="1">
      <c r="A5748" s="190" t="str">
        <f t="shared" si="23"/>
        <v/>
      </c>
      <c r="B5748" s="190" t="str">
        <f t="shared" si="24"/>
        <v/>
      </c>
    </row>
    <row r="5749" spans="1:2" hidden="1">
      <c r="A5749" s="190" t="str">
        <f t="shared" si="23"/>
        <v/>
      </c>
      <c r="B5749" s="190" t="str">
        <f t="shared" si="24"/>
        <v/>
      </c>
    </row>
    <row r="5750" spans="1:2" hidden="1">
      <c r="A5750" s="190" t="str">
        <f t="shared" si="23"/>
        <v/>
      </c>
      <c r="B5750" s="190" t="str">
        <f t="shared" si="24"/>
        <v/>
      </c>
    </row>
    <row r="5751" spans="1:2" hidden="1">
      <c r="A5751" s="190" t="str">
        <f t="shared" si="23"/>
        <v/>
      </c>
      <c r="B5751" s="190" t="str">
        <f t="shared" si="24"/>
        <v/>
      </c>
    </row>
    <row r="5752" spans="1:2" hidden="1">
      <c r="A5752" s="190" t="str">
        <f t="shared" si="23"/>
        <v/>
      </c>
      <c r="B5752" s="190" t="str">
        <f t="shared" si="24"/>
        <v/>
      </c>
    </row>
    <row r="5753" spans="1:2" hidden="1">
      <c r="A5753" s="190" t="str">
        <f t="shared" si="23"/>
        <v/>
      </c>
      <c r="B5753" s="190" t="str">
        <f t="shared" si="24"/>
        <v/>
      </c>
    </row>
    <row r="5754" spans="1:2" hidden="1">
      <c r="A5754" s="190" t="str">
        <f t="shared" si="23"/>
        <v/>
      </c>
      <c r="B5754" s="190" t="str">
        <f t="shared" si="24"/>
        <v/>
      </c>
    </row>
    <row r="5755" spans="1:2" hidden="1">
      <c r="A5755" s="190" t="str">
        <f t="shared" si="23"/>
        <v/>
      </c>
      <c r="B5755" s="190" t="str">
        <f t="shared" si="24"/>
        <v/>
      </c>
    </row>
    <row r="5756" spans="1:2" hidden="1">
      <c r="A5756" s="190" t="str">
        <f t="shared" si="23"/>
        <v/>
      </c>
      <c r="B5756" s="190" t="str">
        <f t="shared" si="24"/>
        <v/>
      </c>
    </row>
    <row r="5757" spans="1:2" hidden="1">
      <c r="A5757" s="190" t="str">
        <f t="shared" si="23"/>
        <v/>
      </c>
      <c r="B5757" s="190" t="str">
        <f t="shared" si="24"/>
        <v/>
      </c>
    </row>
    <row r="5758" spans="1:2" hidden="1">
      <c r="A5758" s="190" t="str">
        <f t="shared" si="23"/>
        <v/>
      </c>
      <c r="B5758" s="190" t="str">
        <f t="shared" si="24"/>
        <v/>
      </c>
    </row>
    <row r="5759" spans="1:2" hidden="1">
      <c r="A5759" s="190" t="str">
        <f t="shared" ref="A5759:A5822" si="25">HYPERLINK("http://tw.stock.yahoo.com/q/ta?s=","")</f>
        <v/>
      </c>
      <c r="B5759" s="190" t="str">
        <f t="shared" si="24"/>
        <v/>
      </c>
    </row>
    <row r="5760" spans="1:2" hidden="1">
      <c r="A5760" s="190" t="str">
        <f t="shared" si="25"/>
        <v/>
      </c>
      <c r="B5760" s="190" t="str">
        <f t="shared" si="24"/>
        <v/>
      </c>
    </row>
    <row r="5761" spans="1:2" hidden="1">
      <c r="A5761" s="190" t="str">
        <f t="shared" si="25"/>
        <v/>
      </c>
      <c r="B5761" s="190" t="str">
        <f t="shared" si="24"/>
        <v/>
      </c>
    </row>
    <row r="5762" spans="1:2" hidden="1">
      <c r="A5762" s="190" t="str">
        <f t="shared" si="25"/>
        <v/>
      </c>
      <c r="B5762" s="190" t="str">
        <f t="shared" si="24"/>
        <v/>
      </c>
    </row>
    <row r="5763" spans="1:2" hidden="1">
      <c r="A5763" s="190" t="str">
        <f t="shared" si="25"/>
        <v/>
      </c>
      <c r="B5763" s="190" t="str">
        <f t="shared" si="24"/>
        <v/>
      </c>
    </row>
    <row r="5764" spans="1:2" hidden="1">
      <c r="A5764" s="190" t="str">
        <f t="shared" si="25"/>
        <v/>
      </c>
      <c r="B5764" s="190" t="str">
        <f t="shared" si="24"/>
        <v/>
      </c>
    </row>
    <row r="5765" spans="1:2" hidden="1">
      <c r="A5765" s="190" t="str">
        <f t="shared" si="25"/>
        <v/>
      </c>
      <c r="B5765" s="190" t="str">
        <f t="shared" si="24"/>
        <v/>
      </c>
    </row>
    <row r="5766" spans="1:2" hidden="1">
      <c r="A5766" s="190" t="str">
        <f t="shared" si="25"/>
        <v/>
      </c>
      <c r="B5766" s="190" t="str">
        <f t="shared" si="24"/>
        <v/>
      </c>
    </row>
    <row r="5767" spans="1:2" hidden="1">
      <c r="A5767" s="190" t="str">
        <f t="shared" si="25"/>
        <v/>
      </c>
      <c r="B5767" s="190" t="str">
        <f t="shared" si="24"/>
        <v/>
      </c>
    </row>
    <row r="5768" spans="1:2" hidden="1">
      <c r="A5768" s="190" t="str">
        <f t="shared" si="25"/>
        <v/>
      </c>
      <c r="B5768" s="190" t="str">
        <f t="shared" si="24"/>
        <v/>
      </c>
    </row>
    <row r="5769" spans="1:2" hidden="1">
      <c r="A5769" s="190" t="str">
        <f t="shared" si="25"/>
        <v/>
      </c>
      <c r="B5769" s="190" t="str">
        <f t="shared" si="24"/>
        <v/>
      </c>
    </row>
    <row r="5770" spans="1:2" hidden="1">
      <c r="A5770" s="190" t="str">
        <f t="shared" si="25"/>
        <v/>
      </c>
      <c r="B5770" s="190" t="str">
        <f t="shared" si="24"/>
        <v/>
      </c>
    </row>
    <row r="5771" spans="1:2" hidden="1">
      <c r="A5771" s="190" t="str">
        <f t="shared" si="25"/>
        <v/>
      </c>
      <c r="B5771" s="190" t="str">
        <f t="shared" si="24"/>
        <v/>
      </c>
    </row>
    <row r="5772" spans="1:2" hidden="1">
      <c r="A5772" s="190" t="str">
        <f t="shared" si="25"/>
        <v/>
      </c>
      <c r="B5772" s="190" t="str">
        <f t="shared" si="24"/>
        <v/>
      </c>
    </row>
    <row r="5773" spans="1:2" hidden="1">
      <c r="A5773" s="190" t="str">
        <f t="shared" si="25"/>
        <v/>
      </c>
      <c r="B5773" s="190" t="str">
        <f t="shared" si="24"/>
        <v/>
      </c>
    </row>
    <row r="5774" spans="1:2" hidden="1">
      <c r="A5774" s="190" t="str">
        <f t="shared" si="25"/>
        <v/>
      </c>
      <c r="B5774" s="190" t="str">
        <f t="shared" si="24"/>
        <v/>
      </c>
    </row>
    <row r="5775" spans="1:2" hidden="1">
      <c r="A5775" s="190" t="str">
        <f t="shared" si="25"/>
        <v/>
      </c>
      <c r="B5775" s="190" t="str">
        <f t="shared" si="24"/>
        <v/>
      </c>
    </row>
    <row r="5776" spans="1:2" hidden="1">
      <c r="A5776" s="190" t="str">
        <f t="shared" si="25"/>
        <v/>
      </c>
      <c r="B5776" s="190" t="str">
        <f t="shared" si="24"/>
        <v/>
      </c>
    </row>
    <row r="5777" spans="1:2" hidden="1">
      <c r="A5777" s="190" t="str">
        <f t="shared" si="25"/>
        <v/>
      </c>
      <c r="B5777" s="190" t="str">
        <f t="shared" si="24"/>
        <v/>
      </c>
    </row>
    <row r="5778" spans="1:2" hidden="1">
      <c r="A5778" s="190" t="str">
        <f t="shared" si="25"/>
        <v/>
      </c>
      <c r="B5778" s="190" t="str">
        <f t="shared" si="24"/>
        <v/>
      </c>
    </row>
    <row r="5779" spans="1:2" hidden="1">
      <c r="A5779" s="190" t="str">
        <f t="shared" si="25"/>
        <v/>
      </c>
      <c r="B5779" s="190" t="str">
        <f t="shared" si="24"/>
        <v/>
      </c>
    </row>
    <row r="5780" spans="1:2" hidden="1">
      <c r="A5780" s="190" t="str">
        <f t="shared" si="25"/>
        <v/>
      </c>
      <c r="B5780" s="190" t="str">
        <f t="shared" si="24"/>
        <v/>
      </c>
    </row>
    <row r="5781" spans="1:2" hidden="1">
      <c r="A5781" s="190" t="str">
        <f t="shared" si="25"/>
        <v/>
      </c>
      <c r="B5781" s="190" t="str">
        <f t="shared" si="24"/>
        <v/>
      </c>
    </row>
    <row r="5782" spans="1:2" hidden="1">
      <c r="A5782" s="190" t="str">
        <f t="shared" si="25"/>
        <v/>
      </c>
      <c r="B5782" s="190" t="str">
        <f t="shared" si="24"/>
        <v/>
      </c>
    </row>
    <row r="5783" spans="1:2" hidden="1">
      <c r="A5783" s="190" t="str">
        <f t="shared" si="25"/>
        <v/>
      </c>
      <c r="B5783" s="190" t="str">
        <f t="shared" si="24"/>
        <v/>
      </c>
    </row>
    <row r="5784" spans="1:2" hidden="1">
      <c r="A5784" s="190" t="str">
        <f t="shared" si="25"/>
        <v/>
      </c>
      <c r="B5784" s="190" t="str">
        <f t="shared" si="24"/>
        <v/>
      </c>
    </row>
    <row r="5785" spans="1:2" hidden="1">
      <c r="A5785" s="190" t="str">
        <f t="shared" si="25"/>
        <v/>
      </c>
      <c r="B5785" s="190" t="str">
        <f t="shared" si="24"/>
        <v/>
      </c>
    </row>
    <row r="5786" spans="1:2" hidden="1">
      <c r="A5786" s="190" t="str">
        <f t="shared" si="25"/>
        <v/>
      </c>
      <c r="B5786" s="190" t="str">
        <f t="shared" si="24"/>
        <v/>
      </c>
    </row>
    <row r="5787" spans="1:2" hidden="1">
      <c r="A5787" s="190" t="str">
        <f t="shared" si="25"/>
        <v/>
      </c>
      <c r="B5787" s="190" t="str">
        <f t="shared" ref="B5787:B5850" si="26">HYPERLINK("http://tw.stock.yahoo.com/d/s/earning_.html","")</f>
        <v/>
      </c>
    </row>
    <row r="5788" spans="1:2" hidden="1">
      <c r="A5788" s="190" t="str">
        <f t="shared" si="25"/>
        <v/>
      </c>
      <c r="B5788" s="190" t="str">
        <f t="shared" si="26"/>
        <v/>
      </c>
    </row>
    <row r="5789" spans="1:2" hidden="1">
      <c r="A5789" s="190" t="str">
        <f t="shared" si="25"/>
        <v/>
      </c>
      <c r="B5789" s="190" t="str">
        <f t="shared" si="26"/>
        <v/>
      </c>
    </row>
    <row r="5790" spans="1:2" hidden="1">
      <c r="A5790" s="190" t="str">
        <f t="shared" si="25"/>
        <v/>
      </c>
      <c r="B5790" s="190" t="str">
        <f t="shared" si="26"/>
        <v/>
      </c>
    </row>
    <row r="5791" spans="1:2" hidden="1">
      <c r="A5791" s="190" t="str">
        <f t="shared" si="25"/>
        <v/>
      </c>
      <c r="B5791" s="190" t="str">
        <f t="shared" si="26"/>
        <v/>
      </c>
    </row>
    <row r="5792" spans="1:2" hidden="1">
      <c r="A5792" s="190" t="str">
        <f t="shared" si="25"/>
        <v/>
      </c>
      <c r="B5792" s="190" t="str">
        <f t="shared" si="26"/>
        <v/>
      </c>
    </row>
    <row r="5793" spans="1:2" hidden="1">
      <c r="A5793" s="190" t="str">
        <f t="shared" si="25"/>
        <v/>
      </c>
      <c r="B5793" s="190" t="str">
        <f t="shared" si="26"/>
        <v/>
      </c>
    </row>
    <row r="5794" spans="1:2" hidden="1">
      <c r="A5794" s="190" t="str">
        <f t="shared" si="25"/>
        <v/>
      </c>
      <c r="B5794" s="190" t="str">
        <f t="shared" si="26"/>
        <v/>
      </c>
    </row>
    <row r="5795" spans="1:2" hidden="1">
      <c r="A5795" s="190" t="str">
        <f t="shared" si="25"/>
        <v/>
      </c>
      <c r="B5795" s="190" t="str">
        <f t="shared" si="26"/>
        <v/>
      </c>
    </row>
    <row r="5796" spans="1:2" hidden="1">
      <c r="A5796" s="190" t="str">
        <f t="shared" si="25"/>
        <v/>
      </c>
      <c r="B5796" s="190" t="str">
        <f t="shared" si="26"/>
        <v/>
      </c>
    </row>
    <row r="5797" spans="1:2" hidden="1">
      <c r="A5797" s="190" t="str">
        <f t="shared" si="25"/>
        <v/>
      </c>
      <c r="B5797" s="190" t="str">
        <f t="shared" si="26"/>
        <v/>
      </c>
    </row>
    <row r="5798" spans="1:2" hidden="1">
      <c r="A5798" s="190" t="str">
        <f t="shared" si="25"/>
        <v/>
      </c>
      <c r="B5798" s="190" t="str">
        <f t="shared" si="26"/>
        <v/>
      </c>
    </row>
    <row r="5799" spans="1:2" hidden="1">
      <c r="A5799" s="190" t="str">
        <f t="shared" si="25"/>
        <v/>
      </c>
      <c r="B5799" s="190" t="str">
        <f t="shared" si="26"/>
        <v/>
      </c>
    </row>
    <row r="5800" spans="1:2" hidden="1">
      <c r="A5800" s="190" t="str">
        <f t="shared" si="25"/>
        <v/>
      </c>
      <c r="B5800" s="190" t="str">
        <f t="shared" si="26"/>
        <v/>
      </c>
    </row>
    <row r="5801" spans="1:2" hidden="1">
      <c r="A5801" s="190" t="str">
        <f t="shared" si="25"/>
        <v/>
      </c>
      <c r="B5801" s="190" t="str">
        <f t="shared" si="26"/>
        <v/>
      </c>
    </row>
    <row r="5802" spans="1:2" hidden="1">
      <c r="A5802" s="190" t="str">
        <f t="shared" si="25"/>
        <v/>
      </c>
      <c r="B5802" s="190" t="str">
        <f t="shared" si="26"/>
        <v/>
      </c>
    </row>
    <row r="5803" spans="1:2" hidden="1">
      <c r="A5803" s="190" t="str">
        <f t="shared" si="25"/>
        <v/>
      </c>
      <c r="B5803" s="190" t="str">
        <f t="shared" si="26"/>
        <v/>
      </c>
    </row>
    <row r="5804" spans="1:2" hidden="1">
      <c r="A5804" s="190" t="str">
        <f t="shared" si="25"/>
        <v/>
      </c>
      <c r="B5804" s="190" t="str">
        <f t="shared" si="26"/>
        <v/>
      </c>
    </row>
    <row r="5805" spans="1:2" hidden="1">
      <c r="A5805" s="190" t="str">
        <f t="shared" si="25"/>
        <v/>
      </c>
      <c r="B5805" s="190" t="str">
        <f t="shared" si="26"/>
        <v/>
      </c>
    </row>
    <row r="5806" spans="1:2" hidden="1">
      <c r="A5806" s="190" t="str">
        <f t="shared" si="25"/>
        <v/>
      </c>
      <c r="B5806" s="190" t="str">
        <f t="shared" si="26"/>
        <v/>
      </c>
    </row>
    <row r="5807" spans="1:2" hidden="1">
      <c r="A5807" s="190" t="str">
        <f t="shared" si="25"/>
        <v/>
      </c>
      <c r="B5807" s="190" t="str">
        <f t="shared" si="26"/>
        <v/>
      </c>
    </row>
    <row r="5808" spans="1:2" hidden="1">
      <c r="A5808" s="190" t="str">
        <f t="shared" si="25"/>
        <v/>
      </c>
      <c r="B5808" s="190" t="str">
        <f t="shared" si="26"/>
        <v/>
      </c>
    </row>
    <row r="5809" spans="1:2" hidden="1">
      <c r="A5809" s="190" t="str">
        <f t="shared" si="25"/>
        <v/>
      </c>
      <c r="B5809" s="190" t="str">
        <f t="shared" si="26"/>
        <v/>
      </c>
    </row>
    <row r="5810" spans="1:2" hidden="1">
      <c r="A5810" s="190" t="str">
        <f t="shared" si="25"/>
        <v/>
      </c>
      <c r="B5810" s="190" t="str">
        <f t="shared" si="26"/>
        <v/>
      </c>
    </row>
    <row r="5811" spans="1:2" hidden="1">
      <c r="A5811" s="190" t="str">
        <f t="shared" si="25"/>
        <v/>
      </c>
      <c r="B5811" s="190" t="str">
        <f t="shared" si="26"/>
        <v/>
      </c>
    </row>
    <row r="5812" spans="1:2" hidden="1">
      <c r="A5812" s="190" t="str">
        <f t="shared" si="25"/>
        <v/>
      </c>
      <c r="B5812" s="190" t="str">
        <f t="shared" si="26"/>
        <v/>
      </c>
    </row>
    <row r="5813" spans="1:2" hidden="1">
      <c r="A5813" s="190" t="str">
        <f t="shared" si="25"/>
        <v/>
      </c>
      <c r="B5813" s="190" t="str">
        <f t="shared" si="26"/>
        <v/>
      </c>
    </row>
    <row r="5814" spans="1:2" hidden="1">
      <c r="A5814" s="190" t="str">
        <f t="shared" si="25"/>
        <v/>
      </c>
      <c r="B5814" s="190" t="str">
        <f t="shared" si="26"/>
        <v/>
      </c>
    </row>
    <row r="5815" spans="1:2" hidden="1">
      <c r="A5815" s="190" t="str">
        <f t="shared" si="25"/>
        <v/>
      </c>
      <c r="B5815" s="190" t="str">
        <f t="shared" si="26"/>
        <v/>
      </c>
    </row>
    <row r="5816" spans="1:2" hidden="1">
      <c r="A5816" s="190" t="str">
        <f t="shared" si="25"/>
        <v/>
      </c>
      <c r="B5816" s="190" t="str">
        <f t="shared" si="26"/>
        <v/>
      </c>
    </row>
    <row r="5817" spans="1:2" hidden="1">
      <c r="A5817" s="190" t="str">
        <f t="shared" si="25"/>
        <v/>
      </c>
      <c r="B5817" s="190" t="str">
        <f t="shared" si="26"/>
        <v/>
      </c>
    </row>
    <row r="5818" spans="1:2" hidden="1">
      <c r="A5818" s="190" t="str">
        <f t="shared" si="25"/>
        <v/>
      </c>
      <c r="B5818" s="190" t="str">
        <f t="shared" si="26"/>
        <v/>
      </c>
    </row>
    <row r="5819" spans="1:2" hidden="1">
      <c r="A5819" s="190" t="str">
        <f t="shared" si="25"/>
        <v/>
      </c>
      <c r="B5819" s="190" t="str">
        <f t="shared" si="26"/>
        <v/>
      </c>
    </row>
    <row r="5820" spans="1:2" hidden="1">
      <c r="A5820" s="190" t="str">
        <f t="shared" si="25"/>
        <v/>
      </c>
      <c r="B5820" s="190" t="str">
        <f t="shared" si="26"/>
        <v/>
      </c>
    </row>
    <row r="5821" spans="1:2" hidden="1">
      <c r="A5821" s="190" t="str">
        <f t="shared" si="25"/>
        <v/>
      </c>
      <c r="B5821" s="190" t="str">
        <f t="shared" si="26"/>
        <v/>
      </c>
    </row>
    <row r="5822" spans="1:2" hidden="1">
      <c r="A5822" s="190" t="str">
        <f t="shared" si="25"/>
        <v/>
      </c>
      <c r="B5822" s="190" t="str">
        <f t="shared" si="26"/>
        <v/>
      </c>
    </row>
    <row r="5823" spans="1:2" hidden="1">
      <c r="A5823" s="190" t="str">
        <f t="shared" ref="A5823:A5886" si="27">HYPERLINK("http://tw.stock.yahoo.com/q/ta?s=","")</f>
        <v/>
      </c>
      <c r="B5823" s="190" t="str">
        <f t="shared" si="26"/>
        <v/>
      </c>
    </row>
    <row r="5824" spans="1:2" hidden="1">
      <c r="A5824" s="190" t="str">
        <f t="shared" si="27"/>
        <v/>
      </c>
      <c r="B5824" s="190" t="str">
        <f t="shared" si="26"/>
        <v/>
      </c>
    </row>
    <row r="5825" spans="1:2" hidden="1">
      <c r="A5825" s="190" t="str">
        <f t="shared" si="27"/>
        <v/>
      </c>
      <c r="B5825" s="190" t="str">
        <f t="shared" si="26"/>
        <v/>
      </c>
    </row>
    <row r="5826" spans="1:2" hidden="1">
      <c r="A5826" s="190" t="str">
        <f t="shared" si="27"/>
        <v/>
      </c>
      <c r="B5826" s="190" t="str">
        <f t="shared" si="26"/>
        <v/>
      </c>
    </row>
    <row r="5827" spans="1:2" hidden="1">
      <c r="A5827" s="190" t="str">
        <f t="shared" si="27"/>
        <v/>
      </c>
      <c r="B5827" s="190" t="str">
        <f t="shared" si="26"/>
        <v/>
      </c>
    </row>
    <row r="5828" spans="1:2" hidden="1">
      <c r="A5828" s="190" t="str">
        <f t="shared" si="27"/>
        <v/>
      </c>
      <c r="B5828" s="190" t="str">
        <f t="shared" si="26"/>
        <v/>
      </c>
    </row>
    <row r="5829" spans="1:2" hidden="1">
      <c r="A5829" s="190" t="str">
        <f t="shared" si="27"/>
        <v/>
      </c>
      <c r="B5829" s="190" t="str">
        <f t="shared" si="26"/>
        <v/>
      </c>
    </row>
    <row r="5830" spans="1:2" hidden="1">
      <c r="A5830" s="190" t="str">
        <f t="shared" si="27"/>
        <v/>
      </c>
      <c r="B5830" s="190" t="str">
        <f t="shared" si="26"/>
        <v/>
      </c>
    </row>
    <row r="5831" spans="1:2" hidden="1">
      <c r="A5831" s="190" t="str">
        <f t="shared" si="27"/>
        <v/>
      </c>
      <c r="B5831" s="190" t="str">
        <f t="shared" si="26"/>
        <v/>
      </c>
    </row>
    <row r="5832" spans="1:2" hidden="1">
      <c r="A5832" s="190" t="str">
        <f t="shared" si="27"/>
        <v/>
      </c>
      <c r="B5832" s="190" t="str">
        <f t="shared" si="26"/>
        <v/>
      </c>
    </row>
    <row r="5833" spans="1:2" hidden="1">
      <c r="A5833" s="190" t="str">
        <f t="shared" si="27"/>
        <v/>
      </c>
      <c r="B5833" s="190" t="str">
        <f t="shared" si="26"/>
        <v/>
      </c>
    </row>
    <row r="5834" spans="1:2" hidden="1">
      <c r="A5834" s="190" t="str">
        <f t="shared" si="27"/>
        <v/>
      </c>
      <c r="B5834" s="190" t="str">
        <f t="shared" si="26"/>
        <v/>
      </c>
    </row>
    <row r="5835" spans="1:2" hidden="1">
      <c r="A5835" s="190" t="str">
        <f t="shared" si="27"/>
        <v/>
      </c>
      <c r="B5835" s="190" t="str">
        <f t="shared" si="26"/>
        <v/>
      </c>
    </row>
    <row r="5836" spans="1:2" hidden="1">
      <c r="A5836" s="190" t="str">
        <f t="shared" si="27"/>
        <v/>
      </c>
      <c r="B5836" s="190" t="str">
        <f t="shared" si="26"/>
        <v/>
      </c>
    </row>
    <row r="5837" spans="1:2" hidden="1">
      <c r="A5837" s="190" t="str">
        <f t="shared" si="27"/>
        <v/>
      </c>
      <c r="B5837" s="190" t="str">
        <f t="shared" si="26"/>
        <v/>
      </c>
    </row>
    <row r="5838" spans="1:2" hidden="1">
      <c r="A5838" s="190" t="str">
        <f t="shared" si="27"/>
        <v/>
      </c>
      <c r="B5838" s="190" t="str">
        <f t="shared" si="26"/>
        <v/>
      </c>
    </row>
    <row r="5839" spans="1:2" hidden="1">
      <c r="A5839" s="190" t="str">
        <f t="shared" si="27"/>
        <v/>
      </c>
      <c r="B5839" s="190" t="str">
        <f t="shared" si="26"/>
        <v/>
      </c>
    </row>
    <row r="5840" spans="1:2" hidden="1">
      <c r="A5840" s="190" t="str">
        <f t="shared" si="27"/>
        <v/>
      </c>
      <c r="B5840" s="190" t="str">
        <f t="shared" si="26"/>
        <v/>
      </c>
    </row>
    <row r="5841" spans="1:2" hidden="1">
      <c r="A5841" s="190" t="str">
        <f t="shared" si="27"/>
        <v/>
      </c>
      <c r="B5841" s="190" t="str">
        <f t="shared" si="26"/>
        <v/>
      </c>
    </row>
    <row r="5842" spans="1:2" hidden="1">
      <c r="A5842" s="190" t="str">
        <f t="shared" si="27"/>
        <v/>
      </c>
      <c r="B5842" s="190" t="str">
        <f t="shared" si="26"/>
        <v/>
      </c>
    </row>
    <row r="5843" spans="1:2" hidden="1">
      <c r="A5843" s="190" t="str">
        <f t="shared" si="27"/>
        <v/>
      </c>
      <c r="B5843" s="190" t="str">
        <f t="shared" si="26"/>
        <v/>
      </c>
    </row>
    <row r="5844" spans="1:2" hidden="1">
      <c r="A5844" s="190" t="str">
        <f t="shared" si="27"/>
        <v/>
      </c>
      <c r="B5844" s="190" t="str">
        <f t="shared" si="26"/>
        <v/>
      </c>
    </row>
    <row r="5845" spans="1:2" hidden="1">
      <c r="A5845" s="190" t="str">
        <f t="shared" si="27"/>
        <v/>
      </c>
      <c r="B5845" s="190" t="str">
        <f t="shared" si="26"/>
        <v/>
      </c>
    </row>
    <row r="5846" spans="1:2" hidden="1">
      <c r="A5846" s="190" t="str">
        <f t="shared" si="27"/>
        <v/>
      </c>
      <c r="B5846" s="190" t="str">
        <f t="shared" si="26"/>
        <v/>
      </c>
    </row>
    <row r="5847" spans="1:2" hidden="1">
      <c r="A5847" s="190" t="str">
        <f t="shared" si="27"/>
        <v/>
      </c>
      <c r="B5847" s="190" t="str">
        <f t="shared" si="26"/>
        <v/>
      </c>
    </row>
    <row r="5848" spans="1:2" hidden="1">
      <c r="A5848" s="190" t="str">
        <f t="shared" si="27"/>
        <v/>
      </c>
      <c r="B5848" s="190" t="str">
        <f t="shared" si="26"/>
        <v/>
      </c>
    </row>
    <row r="5849" spans="1:2" hidden="1">
      <c r="A5849" s="190" t="str">
        <f t="shared" si="27"/>
        <v/>
      </c>
      <c r="B5849" s="190" t="str">
        <f t="shared" si="26"/>
        <v/>
      </c>
    </row>
    <row r="5850" spans="1:2" hidden="1">
      <c r="A5850" s="190" t="str">
        <f t="shared" si="27"/>
        <v/>
      </c>
      <c r="B5850" s="190" t="str">
        <f t="shared" si="26"/>
        <v/>
      </c>
    </row>
    <row r="5851" spans="1:2" hidden="1">
      <c r="A5851" s="190" t="str">
        <f t="shared" si="27"/>
        <v/>
      </c>
      <c r="B5851" s="190" t="str">
        <f t="shared" ref="B5851:B5914" si="28">HYPERLINK("http://tw.stock.yahoo.com/d/s/earning_.html","")</f>
        <v/>
      </c>
    </row>
    <row r="5852" spans="1:2" hidden="1">
      <c r="A5852" s="190" t="str">
        <f t="shared" si="27"/>
        <v/>
      </c>
      <c r="B5852" s="190" t="str">
        <f t="shared" si="28"/>
        <v/>
      </c>
    </row>
    <row r="5853" spans="1:2" hidden="1">
      <c r="A5853" s="190" t="str">
        <f t="shared" si="27"/>
        <v/>
      </c>
      <c r="B5853" s="190" t="str">
        <f t="shared" si="28"/>
        <v/>
      </c>
    </row>
    <row r="5854" spans="1:2" hidden="1">
      <c r="A5854" s="190" t="str">
        <f t="shared" si="27"/>
        <v/>
      </c>
      <c r="B5854" s="190" t="str">
        <f t="shared" si="28"/>
        <v/>
      </c>
    </row>
    <row r="5855" spans="1:2" hidden="1">
      <c r="A5855" s="190" t="str">
        <f t="shared" si="27"/>
        <v/>
      </c>
      <c r="B5855" s="190" t="str">
        <f t="shared" si="28"/>
        <v/>
      </c>
    </row>
    <row r="5856" spans="1:2" hidden="1">
      <c r="A5856" s="190" t="str">
        <f t="shared" si="27"/>
        <v/>
      </c>
      <c r="B5856" s="190" t="str">
        <f t="shared" si="28"/>
        <v/>
      </c>
    </row>
    <row r="5857" spans="1:2" hidden="1">
      <c r="A5857" s="190" t="str">
        <f t="shared" si="27"/>
        <v/>
      </c>
      <c r="B5857" s="190" t="str">
        <f t="shared" si="28"/>
        <v/>
      </c>
    </row>
    <row r="5858" spans="1:2" hidden="1">
      <c r="A5858" s="190" t="str">
        <f t="shared" si="27"/>
        <v/>
      </c>
      <c r="B5858" s="190" t="str">
        <f t="shared" si="28"/>
        <v/>
      </c>
    </row>
    <row r="5859" spans="1:2" hidden="1">
      <c r="A5859" s="190" t="str">
        <f t="shared" si="27"/>
        <v/>
      </c>
      <c r="B5859" s="190" t="str">
        <f t="shared" si="28"/>
        <v/>
      </c>
    </row>
    <row r="5860" spans="1:2" hidden="1">
      <c r="A5860" s="190" t="str">
        <f t="shared" si="27"/>
        <v/>
      </c>
      <c r="B5860" s="190" t="str">
        <f t="shared" si="28"/>
        <v/>
      </c>
    </row>
    <row r="5861" spans="1:2" hidden="1">
      <c r="A5861" s="190" t="str">
        <f t="shared" si="27"/>
        <v/>
      </c>
      <c r="B5861" s="190" t="str">
        <f t="shared" si="28"/>
        <v/>
      </c>
    </row>
    <row r="5862" spans="1:2" hidden="1">
      <c r="A5862" s="190" t="str">
        <f t="shared" si="27"/>
        <v/>
      </c>
      <c r="B5862" s="190" t="str">
        <f t="shared" si="28"/>
        <v/>
      </c>
    </row>
    <row r="5863" spans="1:2" hidden="1">
      <c r="A5863" s="190" t="str">
        <f t="shared" si="27"/>
        <v/>
      </c>
      <c r="B5863" s="190" t="str">
        <f t="shared" si="28"/>
        <v/>
      </c>
    </row>
    <row r="5864" spans="1:2" hidden="1">
      <c r="A5864" s="190" t="str">
        <f t="shared" si="27"/>
        <v/>
      </c>
      <c r="B5864" s="190" t="str">
        <f t="shared" si="28"/>
        <v/>
      </c>
    </row>
    <row r="5865" spans="1:2" hidden="1">
      <c r="A5865" s="190" t="str">
        <f t="shared" si="27"/>
        <v/>
      </c>
      <c r="B5865" s="190" t="str">
        <f t="shared" si="28"/>
        <v/>
      </c>
    </row>
    <row r="5866" spans="1:2" hidden="1">
      <c r="A5866" s="190" t="str">
        <f t="shared" si="27"/>
        <v/>
      </c>
      <c r="B5866" s="190" t="str">
        <f t="shared" si="28"/>
        <v/>
      </c>
    </row>
    <row r="5867" spans="1:2" hidden="1">
      <c r="A5867" s="190" t="str">
        <f t="shared" si="27"/>
        <v/>
      </c>
      <c r="B5867" s="190" t="str">
        <f t="shared" si="28"/>
        <v/>
      </c>
    </row>
    <row r="5868" spans="1:2" hidden="1">
      <c r="A5868" s="190" t="str">
        <f t="shared" si="27"/>
        <v/>
      </c>
      <c r="B5868" s="190" t="str">
        <f t="shared" si="28"/>
        <v/>
      </c>
    </row>
    <row r="5869" spans="1:2" hidden="1">
      <c r="A5869" s="190" t="str">
        <f t="shared" si="27"/>
        <v/>
      </c>
      <c r="B5869" s="190" t="str">
        <f t="shared" si="28"/>
        <v/>
      </c>
    </row>
    <row r="5870" spans="1:2" hidden="1">
      <c r="A5870" s="190" t="str">
        <f t="shared" si="27"/>
        <v/>
      </c>
      <c r="B5870" s="190" t="str">
        <f t="shared" si="28"/>
        <v/>
      </c>
    </row>
    <row r="5871" spans="1:2" hidden="1">
      <c r="A5871" s="190" t="str">
        <f t="shared" si="27"/>
        <v/>
      </c>
      <c r="B5871" s="190" t="str">
        <f t="shared" si="28"/>
        <v/>
      </c>
    </row>
    <row r="5872" spans="1:2" hidden="1">
      <c r="A5872" s="190" t="str">
        <f t="shared" si="27"/>
        <v/>
      </c>
      <c r="B5872" s="190" t="str">
        <f t="shared" si="28"/>
        <v/>
      </c>
    </row>
    <row r="5873" spans="1:2" hidden="1">
      <c r="A5873" s="190" t="str">
        <f t="shared" si="27"/>
        <v/>
      </c>
      <c r="B5873" s="190" t="str">
        <f t="shared" si="28"/>
        <v/>
      </c>
    </row>
    <row r="5874" spans="1:2" hidden="1">
      <c r="A5874" s="190" t="str">
        <f t="shared" si="27"/>
        <v/>
      </c>
      <c r="B5874" s="190" t="str">
        <f t="shared" si="28"/>
        <v/>
      </c>
    </row>
    <row r="5875" spans="1:2" hidden="1">
      <c r="A5875" s="190" t="str">
        <f t="shared" si="27"/>
        <v/>
      </c>
      <c r="B5875" s="190" t="str">
        <f t="shared" si="28"/>
        <v/>
      </c>
    </row>
    <row r="5876" spans="1:2" hidden="1">
      <c r="A5876" s="190" t="str">
        <f t="shared" si="27"/>
        <v/>
      </c>
      <c r="B5876" s="190" t="str">
        <f t="shared" si="28"/>
        <v/>
      </c>
    </row>
    <row r="5877" spans="1:2" hidden="1">
      <c r="A5877" s="190" t="str">
        <f t="shared" si="27"/>
        <v/>
      </c>
      <c r="B5877" s="190" t="str">
        <f t="shared" si="28"/>
        <v/>
      </c>
    </row>
    <row r="5878" spans="1:2" hidden="1">
      <c r="A5878" s="190" t="str">
        <f t="shared" si="27"/>
        <v/>
      </c>
      <c r="B5878" s="190" t="str">
        <f t="shared" si="28"/>
        <v/>
      </c>
    </row>
    <row r="5879" spans="1:2" hidden="1">
      <c r="A5879" s="190" t="str">
        <f t="shared" si="27"/>
        <v/>
      </c>
      <c r="B5879" s="190" t="str">
        <f t="shared" si="28"/>
        <v/>
      </c>
    </row>
    <row r="5880" spans="1:2" hidden="1">
      <c r="A5880" s="190" t="str">
        <f t="shared" si="27"/>
        <v/>
      </c>
      <c r="B5880" s="190" t="str">
        <f t="shared" si="28"/>
        <v/>
      </c>
    </row>
    <row r="5881" spans="1:2" hidden="1">
      <c r="A5881" s="190" t="str">
        <f t="shared" si="27"/>
        <v/>
      </c>
      <c r="B5881" s="190" t="str">
        <f t="shared" si="28"/>
        <v/>
      </c>
    </row>
    <row r="5882" spans="1:2" hidden="1">
      <c r="A5882" s="190" t="str">
        <f t="shared" si="27"/>
        <v/>
      </c>
      <c r="B5882" s="190" t="str">
        <f t="shared" si="28"/>
        <v/>
      </c>
    </row>
    <row r="5883" spans="1:2" hidden="1">
      <c r="A5883" s="190" t="str">
        <f t="shared" si="27"/>
        <v/>
      </c>
      <c r="B5883" s="190" t="str">
        <f t="shared" si="28"/>
        <v/>
      </c>
    </row>
    <row r="5884" spans="1:2" hidden="1">
      <c r="A5884" s="190" t="str">
        <f t="shared" si="27"/>
        <v/>
      </c>
      <c r="B5884" s="190" t="str">
        <f t="shared" si="28"/>
        <v/>
      </c>
    </row>
    <row r="5885" spans="1:2" hidden="1">
      <c r="A5885" s="190" t="str">
        <f t="shared" si="27"/>
        <v/>
      </c>
      <c r="B5885" s="190" t="str">
        <f t="shared" si="28"/>
        <v/>
      </c>
    </row>
    <row r="5886" spans="1:2" hidden="1">
      <c r="A5886" s="190" t="str">
        <f t="shared" si="27"/>
        <v/>
      </c>
      <c r="B5886" s="190" t="str">
        <f t="shared" si="28"/>
        <v/>
      </c>
    </row>
    <row r="5887" spans="1:2" hidden="1">
      <c r="A5887" s="190" t="str">
        <f t="shared" ref="A5887:A5950" si="29">HYPERLINK("http://tw.stock.yahoo.com/q/ta?s=","")</f>
        <v/>
      </c>
      <c r="B5887" s="190" t="str">
        <f t="shared" si="28"/>
        <v/>
      </c>
    </row>
    <row r="5888" spans="1:2" hidden="1">
      <c r="A5888" s="190" t="str">
        <f t="shared" si="29"/>
        <v/>
      </c>
      <c r="B5888" s="190" t="str">
        <f t="shared" si="28"/>
        <v/>
      </c>
    </row>
    <row r="5889" spans="1:2" hidden="1">
      <c r="A5889" s="190" t="str">
        <f t="shared" si="29"/>
        <v/>
      </c>
      <c r="B5889" s="190" t="str">
        <f t="shared" si="28"/>
        <v/>
      </c>
    </row>
    <row r="5890" spans="1:2" hidden="1">
      <c r="A5890" s="190" t="str">
        <f t="shared" si="29"/>
        <v/>
      </c>
      <c r="B5890" s="190" t="str">
        <f t="shared" si="28"/>
        <v/>
      </c>
    </row>
    <row r="5891" spans="1:2" hidden="1">
      <c r="A5891" s="190" t="str">
        <f t="shared" si="29"/>
        <v/>
      </c>
      <c r="B5891" s="190" t="str">
        <f t="shared" si="28"/>
        <v/>
      </c>
    </row>
    <row r="5892" spans="1:2" hidden="1">
      <c r="A5892" s="190" t="str">
        <f t="shared" si="29"/>
        <v/>
      </c>
      <c r="B5892" s="190" t="str">
        <f t="shared" si="28"/>
        <v/>
      </c>
    </row>
    <row r="5893" spans="1:2" hidden="1">
      <c r="A5893" s="190" t="str">
        <f t="shared" si="29"/>
        <v/>
      </c>
      <c r="B5893" s="190" t="str">
        <f t="shared" si="28"/>
        <v/>
      </c>
    </row>
    <row r="5894" spans="1:2" hidden="1">
      <c r="A5894" s="190" t="str">
        <f t="shared" si="29"/>
        <v/>
      </c>
      <c r="B5894" s="190" t="str">
        <f t="shared" si="28"/>
        <v/>
      </c>
    </row>
    <row r="5895" spans="1:2" hidden="1">
      <c r="A5895" s="190" t="str">
        <f t="shared" si="29"/>
        <v/>
      </c>
      <c r="B5895" s="190" t="str">
        <f t="shared" si="28"/>
        <v/>
      </c>
    </row>
    <row r="5896" spans="1:2" hidden="1">
      <c r="A5896" s="190" t="str">
        <f t="shared" si="29"/>
        <v/>
      </c>
      <c r="B5896" s="190" t="str">
        <f t="shared" si="28"/>
        <v/>
      </c>
    </row>
    <row r="5897" spans="1:2" hidden="1">
      <c r="A5897" s="190" t="str">
        <f t="shared" si="29"/>
        <v/>
      </c>
      <c r="B5897" s="190" t="str">
        <f t="shared" si="28"/>
        <v/>
      </c>
    </row>
    <row r="5898" spans="1:2" hidden="1">
      <c r="A5898" s="190" t="str">
        <f t="shared" si="29"/>
        <v/>
      </c>
      <c r="B5898" s="190" t="str">
        <f t="shared" si="28"/>
        <v/>
      </c>
    </row>
    <row r="5899" spans="1:2" hidden="1">
      <c r="A5899" s="190" t="str">
        <f t="shared" si="29"/>
        <v/>
      </c>
      <c r="B5899" s="190" t="str">
        <f t="shared" si="28"/>
        <v/>
      </c>
    </row>
    <row r="5900" spans="1:2" hidden="1">
      <c r="A5900" s="190" t="str">
        <f t="shared" si="29"/>
        <v/>
      </c>
      <c r="B5900" s="190" t="str">
        <f t="shared" si="28"/>
        <v/>
      </c>
    </row>
    <row r="5901" spans="1:2" hidden="1">
      <c r="A5901" s="190" t="str">
        <f t="shared" si="29"/>
        <v/>
      </c>
      <c r="B5901" s="190" t="str">
        <f t="shared" si="28"/>
        <v/>
      </c>
    </row>
    <row r="5902" spans="1:2" hidden="1">
      <c r="A5902" s="190" t="str">
        <f t="shared" si="29"/>
        <v/>
      </c>
      <c r="B5902" s="190" t="str">
        <f t="shared" si="28"/>
        <v/>
      </c>
    </row>
    <row r="5903" spans="1:2" hidden="1">
      <c r="A5903" s="190" t="str">
        <f t="shared" si="29"/>
        <v/>
      </c>
      <c r="B5903" s="190" t="str">
        <f t="shared" si="28"/>
        <v/>
      </c>
    </row>
    <row r="5904" spans="1:2" hidden="1">
      <c r="A5904" s="190" t="str">
        <f t="shared" si="29"/>
        <v/>
      </c>
      <c r="B5904" s="190" t="str">
        <f t="shared" si="28"/>
        <v/>
      </c>
    </row>
    <row r="5905" spans="1:2" hidden="1">
      <c r="A5905" s="190" t="str">
        <f t="shared" si="29"/>
        <v/>
      </c>
      <c r="B5905" s="190" t="str">
        <f t="shared" si="28"/>
        <v/>
      </c>
    </row>
    <row r="5906" spans="1:2" hidden="1">
      <c r="A5906" s="190" t="str">
        <f t="shared" si="29"/>
        <v/>
      </c>
      <c r="B5906" s="190" t="str">
        <f t="shared" si="28"/>
        <v/>
      </c>
    </row>
    <row r="5907" spans="1:2" hidden="1">
      <c r="A5907" s="190" t="str">
        <f t="shared" si="29"/>
        <v/>
      </c>
      <c r="B5907" s="190" t="str">
        <f t="shared" si="28"/>
        <v/>
      </c>
    </row>
    <row r="5908" spans="1:2" hidden="1">
      <c r="A5908" s="190" t="str">
        <f t="shared" si="29"/>
        <v/>
      </c>
      <c r="B5908" s="190" t="str">
        <f t="shared" si="28"/>
        <v/>
      </c>
    </row>
    <row r="5909" spans="1:2" hidden="1">
      <c r="A5909" s="190" t="str">
        <f t="shared" si="29"/>
        <v/>
      </c>
      <c r="B5909" s="190" t="str">
        <f t="shared" si="28"/>
        <v/>
      </c>
    </row>
    <row r="5910" spans="1:2" hidden="1">
      <c r="A5910" s="190" t="str">
        <f t="shared" si="29"/>
        <v/>
      </c>
      <c r="B5910" s="190" t="str">
        <f t="shared" si="28"/>
        <v/>
      </c>
    </row>
    <row r="5911" spans="1:2" hidden="1">
      <c r="A5911" s="190" t="str">
        <f t="shared" si="29"/>
        <v/>
      </c>
      <c r="B5911" s="190" t="str">
        <f t="shared" si="28"/>
        <v/>
      </c>
    </row>
    <row r="5912" spans="1:2" hidden="1">
      <c r="A5912" s="190" t="str">
        <f t="shared" si="29"/>
        <v/>
      </c>
      <c r="B5912" s="190" t="str">
        <f t="shared" si="28"/>
        <v/>
      </c>
    </row>
    <row r="5913" spans="1:2" hidden="1">
      <c r="A5913" s="190" t="str">
        <f t="shared" si="29"/>
        <v/>
      </c>
      <c r="B5913" s="190" t="str">
        <f t="shared" si="28"/>
        <v/>
      </c>
    </row>
    <row r="5914" spans="1:2" hidden="1">
      <c r="A5914" s="190" t="str">
        <f t="shared" si="29"/>
        <v/>
      </c>
      <c r="B5914" s="190" t="str">
        <f t="shared" si="28"/>
        <v/>
      </c>
    </row>
    <row r="5915" spans="1:2" hidden="1">
      <c r="A5915" s="190" t="str">
        <f t="shared" si="29"/>
        <v/>
      </c>
      <c r="B5915" s="190" t="str">
        <f t="shared" ref="B5915:B5978" si="30">HYPERLINK("http://tw.stock.yahoo.com/d/s/earning_.html","")</f>
        <v/>
      </c>
    </row>
    <row r="5916" spans="1:2" hidden="1">
      <c r="A5916" s="190" t="str">
        <f t="shared" si="29"/>
        <v/>
      </c>
      <c r="B5916" s="190" t="str">
        <f t="shared" si="30"/>
        <v/>
      </c>
    </row>
    <row r="5917" spans="1:2" hidden="1">
      <c r="A5917" s="190" t="str">
        <f t="shared" si="29"/>
        <v/>
      </c>
      <c r="B5917" s="190" t="str">
        <f t="shared" si="30"/>
        <v/>
      </c>
    </row>
    <row r="5918" spans="1:2" hidden="1">
      <c r="A5918" s="190" t="str">
        <f t="shared" si="29"/>
        <v/>
      </c>
      <c r="B5918" s="190" t="str">
        <f t="shared" si="30"/>
        <v/>
      </c>
    </row>
    <row r="5919" spans="1:2" hidden="1">
      <c r="A5919" s="190" t="str">
        <f t="shared" si="29"/>
        <v/>
      </c>
      <c r="B5919" s="190" t="str">
        <f t="shared" si="30"/>
        <v/>
      </c>
    </row>
    <row r="5920" spans="1:2" hidden="1">
      <c r="A5920" s="190" t="str">
        <f t="shared" si="29"/>
        <v/>
      </c>
      <c r="B5920" s="190" t="str">
        <f t="shared" si="30"/>
        <v/>
      </c>
    </row>
    <row r="5921" spans="1:2" hidden="1">
      <c r="A5921" s="190" t="str">
        <f t="shared" si="29"/>
        <v/>
      </c>
      <c r="B5921" s="190" t="str">
        <f t="shared" si="30"/>
        <v/>
      </c>
    </row>
    <row r="5922" spans="1:2" hidden="1">
      <c r="A5922" s="190" t="str">
        <f t="shared" si="29"/>
        <v/>
      </c>
      <c r="B5922" s="190" t="str">
        <f t="shared" si="30"/>
        <v/>
      </c>
    </row>
    <row r="5923" spans="1:2" hidden="1">
      <c r="A5923" s="190" t="str">
        <f t="shared" si="29"/>
        <v/>
      </c>
      <c r="B5923" s="190" t="str">
        <f t="shared" si="30"/>
        <v/>
      </c>
    </row>
    <row r="5924" spans="1:2" hidden="1">
      <c r="A5924" s="190" t="str">
        <f t="shared" si="29"/>
        <v/>
      </c>
      <c r="B5924" s="190" t="str">
        <f t="shared" si="30"/>
        <v/>
      </c>
    </row>
    <row r="5925" spans="1:2" hidden="1">
      <c r="A5925" s="190" t="str">
        <f t="shared" si="29"/>
        <v/>
      </c>
      <c r="B5925" s="190" t="str">
        <f t="shared" si="30"/>
        <v/>
      </c>
    </row>
    <row r="5926" spans="1:2" hidden="1">
      <c r="A5926" s="190" t="str">
        <f t="shared" si="29"/>
        <v/>
      </c>
      <c r="B5926" s="190" t="str">
        <f t="shared" si="30"/>
        <v/>
      </c>
    </row>
    <row r="5927" spans="1:2" hidden="1">
      <c r="A5927" s="190" t="str">
        <f t="shared" si="29"/>
        <v/>
      </c>
      <c r="B5927" s="190" t="str">
        <f t="shared" si="30"/>
        <v/>
      </c>
    </row>
    <row r="5928" spans="1:2" hidden="1">
      <c r="A5928" s="190" t="str">
        <f t="shared" si="29"/>
        <v/>
      </c>
      <c r="B5928" s="190" t="str">
        <f t="shared" si="30"/>
        <v/>
      </c>
    </row>
    <row r="5929" spans="1:2" hidden="1">
      <c r="A5929" s="190" t="str">
        <f t="shared" si="29"/>
        <v/>
      </c>
      <c r="B5929" s="190" t="str">
        <f t="shared" si="30"/>
        <v/>
      </c>
    </row>
    <row r="5930" spans="1:2" hidden="1">
      <c r="A5930" s="190" t="str">
        <f t="shared" si="29"/>
        <v/>
      </c>
      <c r="B5930" s="190" t="str">
        <f t="shared" si="30"/>
        <v/>
      </c>
    </row>
    <row r="5931" spans="1:2" hidden="1">
      <c r="A5931" s="190" t="str">
        <f t="shared" si="29"/>
        <v/>
      </c>
      <c r="B5931" s="190" t="str">
        <f t="shared" si="30"/>
        <v/>
      </c>
    </row>
    <row r="5932" spans="1:2" hidden="1">
      <c r="A5932" s="190" t="str">
        <f t="shared" si="29"/>
        <v/>
      </c>
      <c r="B5932" s="190" t="str">
        <f t="shared" si="30"/>
        <v/>
      </c>
    </row>
    <row r="5933" spans="1:2" hidden="1">
      <c r="A5933" s="190" t="str">
        <f t="shared" si="29"/>
        <v/>
      </c>
      <c r="B5933" s="190" t="str">
        <f t="shared" si="30"/>
        <v/>
      </c>
    </row>
    <row r="5934" spans="1:2" hidden="1">
      <c r="A5934" s="190" t="str">
        <f t="shared" si="29"/>
        <v/>
      </c>
      <c r="B5934" s="190" t="str">
        <f t="shared" si="30"/>
        <v/>
      </c>
    </row>
    <row r="5935" spans="1:2" hidden="1">
      <c r="A5935" s="190" t="str">
        <f t="shared" si="29"/>
        <v/>
      </c>
      <c r="B5935" s="190" t="str">
        <f t="shared" si="30"/>
        <v/>
      </c>
    </row>
    <row r="5936" spans="1:2" hidden="1">
      <c r="A5936" s="190" t="str">
        <f t="shared" si="29"/>
        <v/>
      </c>
      <c r="B5936" s="190" t="str">
        <f t="shared" si="30"/>
        <v/>
      </c>
    </row>
    <row r="5937" spans="1:2" hidden="1">
      <c r="A5937" s="190" t="str">
        <f t="shared" si="29"/>
        <v/>
      </c>
      <c r="B5937" s="190" t="str">
        <f t="shared" si="30"/>
        <v/>
      </c>
    </row>
    <row r="5938" spans="1:2" hidden="1">
      <c r="A5938" s="190" t="str">
        <f t="shared" si="29"/>
        <v/>
      </c>
      <c r="B5938" s="190" t="str">
        <f t="shared" si="30"/>
        <v/>
      </c>
    </row>
    <row r="5939" spans="1:2" hidden="1">
      <c r="A5939" s="190" t="str">
        <f t="shared" si="29"/>
        <v/>
      </c>
      <c r="B5939" s="190" t="str">
        <f t="shared" si="30"/>
        <v/>
      </c>
    </row>
    <row r="5940" spans="1:2" hidden="1">
      <c r="A5940" s="190" t="str">
        <f t="shared" si="29"/>
        <v/>
      </c>
      <c r="B5940" s="190" t="str">
        <f t="shared" si="30"/>
        <v/>
      </c>
    </row>
    <row r="5941" spans="1:2" hidden="1">
      <c r="A5941" s="190" t="str">
        <f t="shared" si="29"/>
        <v/>
      </c>
      <c r="B5941" s="190" t="str">
        <f t="shared" si="30"/>
        <v/>
      </c>
    </row>
    <row r="5942" spans="1:2" hidden="1">
      <c r="A5942" s="190" t="str">
        <f t="shared" si="29"/>
        <v/>
      </c>
      <c r="B5942" s="190" t="str">
        <f t="shared" si="30"/>
        <v/>
      </c>
    </row>
    <row r="5943" spans="1:2" hidden="1">
      <c r="A5943" s="190" t="str">
        <f t="shared" si="29"/>
        <v/>
      </c>
      <c r="B5943" s="190" t="str">
        <f t="shared" si="30"/>
        <v/>
      </c>
    </row>
    <row r="5944" spans="1:2" hidden="1">
      <c r="A5944" s="190" t="str">
        <f t="shared" si="29"/>
        <v/>
      </c>
      <c r="B5944" s="190" t="str">
        <f t="shared" si="30"/>
        <v/>
      </c>
    </row>
    <row r="5945" spans="1:2" hidden="1">
      <c r="A5945" s="190" t="str">
        <f t="shared" si="29"/>
        <v/>
      </c>
      <c r="B5945" s="190" t="str">
        <f t="shared" si="30"/>
        <v/>
      </c>
    </row>
    <row r="5946" spans="1:2" hidden="1">
      <c r="A5946" s="190" t="str">
        <f t="shared" si="29"/>
        <v/>
      </c>
      <c r="B5946" s="190" t="str">
        <f t="shared" si="30"/>
        <v/>
      </c>
    </row>
    <row r="5947" spans="1:2" hidden="1">
      <c r="A5947" s="190" t="str">
        <f t="shared" si="29"/>
        <v/>
      </c>
      <c r="B5947" s="190" t="str">
        <f t="shared" si="30"/>
        <v/>
      </c>
    </row>
    <row r="5948" spans="1:2" hidden="1">
      <c r="A5948" s="190" t="str">
        <f t="shared" si="29"/>
        <v/>
      </c>
      <c r="B5948" s="190" t="str">
        <f t="shared" si="30"/>
        <v/>
      </c>
    </row>
    <row r="5949" spans="1:2" hidden="1">
      <c r="A5949" s="190" t="str">
        <f t="shared" si="29"/>
        <v/>
      </c>
      <c r="B5949" s="190" t="str">
        <f t="shared" si="30"/>
        <v/>
      </c>
    </row>
    <row r="5950" spans="1:2" hidden="1">
      <c r="A5950" s="190" t="str">
        <f t="shared" si="29"/>
        <v/>
      </c>
      <c r="B5950" s="190" t="str">
        <f t="shared" si="30"/>
        <v/>
      </c>
    </row>
    <row r="5951" spans="1:2" hidden="1">
      <c r="A5951" s="190" t="str">
        <f t="shared" ref="A5951:A6014" si="31">HYPERLINK("http://tw.stock.yahoo.com/q/ta?s=","")</f>
        <v/>
      </c>
      <c r="B5951" s="190" t="str">
        <f t="shared" si="30"/>
        <v/>
      </c>
    </row>
    <row r="5952" spans="1:2" hidden="1">
      <c r="A5952" s="190" t="str">
        <f t="shared" si="31"/>
        <v/>
      </c>
      <c r="B5952" s="190" t="str">
        <f t="shared" si="30"/>
        <v/>
      </c>
    </row>
    <row r="5953" spans="1:2" hidden="1">
      <c r="A5953" s="190" t="str">
        <f t="shared" si="31"/>
        <v/>
      </c>
      <c r="B5953" s="190" t="str">
        <f t="shared" si="30"/>
        <v/>
      </c>
    </row>
    <row r="5954" spans="1:2" hidden="1">
      <c r="A5954" s="190" t="str">
        <f t="shared" si="31"/>
        <v/>
      </c>
      <c r="B5954" s="190" t="str">
        <f t="shared" si="30"/>
        <v/>
      </c>
    </row>
    <row r="5955" spans="1:2" hidden="1">
      <c r="A5955" s="190" t="str">
        <f t="shared" si="31"/>
        <v/>
      </c>
      <c r="B5955" s="190" t="str">
        <f t="shared" si="30"/>
        <v/>
      </c>
    </row>
    <row r="5956" spans="1:2" hidden="1">
      <c r="A5956" s="190" t="str">
        <f t="shared" si="31"/>
        <v/>
      </c>
      <c r="B5956" s="190" t="str">
        <f t="shared" si="30"/>
        <v/>
      </c>
    </row>
    <row r="5957" spans="1:2" hidden="1">
      <c r="A5957" s="190" t="str">
        <f t="shared" si="31"/>
        <v/>
      </c>
      <c r="B5957" s="190" t="str">
        <f t="shared" si="30"/>
        <v/>
      </c>
    </row>
    <row r="5958" spans="1:2" hidden="1">
      <c r="A5958" s="190" t="str">
        <f t="shared" si="31"/>
        <v/>
      </c>
      <c r="B5958" s="190" t="str">
        <f t="shared" si="30"/>
        <v/>
      </c>
    </row>
    <row r="5959" spans="1:2" hidden="1">
      <c r="A5959" s="190" t="str">
        <f t="shared" si="31"/>
        <v/>
      </c>
      <c r="B5959" s="190" t="str">
        <f t="shared" si="30"/>
        <v/>
      </c>
    </row>
    <row r="5960" spans="1:2" hidden="1">
      <c r="A5960" s="190" t="str">
        <f t="shared" si="31"/>
        <v/>
      </c>
      <c r="B5960" s="190" t="str">
        <f t="shared" si="30"/>
        <v/>
      </c>
    </row>
    <row r="5961" spans="1:2" hidden="1">
      <c r="A5961" s="190" t="str">
        <f t="shared" si="31"/>
        <v/>
      </c>
      <c r="B5961" s="190" t="str">
        <f t="shared" si="30"/>
        <v/>
      </c>
    </row>
    <row r="5962" spans="1:2" hidden="1">
      <c r="A5962" s="190" t="str">
        <f t="shared" si="31"/>
        <v/>
      </c>
      <c r="B5962" s="190" t="str">
        <f t="shared" si="30"/>
        <v/>
      </c>
    </row>
    <row r="5963" spans="1:2" hidden="1">
      <c r="A5963" s="190" t="str">
        <f t="shared" si="31"/>
        <v/>
      </c>
      <c r="B5963" s="190" t="str">
        <f t="shared" si="30"/>
        <v/>
      </c>
    </row>
    <row r="5964" spans="1:2" hidden="1">
      <c r="A5964" s="190" t="str">
        <f t="shared" si="31"/>
        <v/>
      </c>
      <c r="B5964" s="190" t="str">
        <f t="shared" si="30"/>
        <v/>
      </c>
    </row>
    <row r="5965" spans="1:2" hidden="1">
      <c r="A5965" s="190" t="str">
        <f t="shared" si="31"/>
        <v/>
      </c>
      <c r="B5965" s="190" t="str">
        <f t="shared" si="30"/>
        <v/>
      </c>
    </row>
    <row r="5966" spans="1:2" hidden="1">
      <c r="A5966" s="190" t="str">
        <f t="shared" si="31"/>
        <v/>
      </c>
      <c r="B5966" s="190" t="str">
        <f t="shared" si="30"/>
        <v/>
      </c>
    </row>
    <row r="5967" spans="1:2" hidden="1">
      <c r="A5967" s="190" t="str">
        <f t="shared" si="31"/>
        <v/>
      </c>
      <c r="B5967" s="190" t="str">
        <f t="shared" si="30"/>
        <v/>
      </c>
    </row>
    <row r="5968" spans="1:2" hidden="1">
      <c r="A5968" s="190" t="str">
        <f t="shared" si="31"/>
        <v/>
      </c>
      <c r="B5968" s="190" t="str">
        <f t="shared" si="30"/>
        <v/>
      </c>
    </row>
    <row r="5969" spans="1:2" hidden="1">
      <c r="A5969" s="190" t="str">
        <f t="shared" si="31"/>
        <v/>
      </c>
      <c r="B5969" s="190" t="str">
        <f t="shared" si="30"/>
        <v/>
      </c>
    </row>
    <row r="5970" spans="1:2" hidden="1">
      <c r="A5970" s="190" t="str">
        <f t="shared" si="31"/>
        <v/>
      </c>
      <c r="B5970" s="190" t="str">
        <f t="shared" si="30"/>
        <v/>
      </c>
    </row>
    <row r="5971" spans="1:2" hidden="1">
      <c r="A5971" s="190" t="str">
        <f t="shared" si="31"/>
        <v/>
      </c>
      <c r="B5971" s="190" t="str">
        <f t="shared" si="30"/>
        <v/>
      </c>
    </row>
    <row r="5972" spans="1:2" hidden="1">
      <c r="A5972" s="190" t="str">
        <f t="shared" si="31"/>
        <v/>
      </c>
      <c r="B5972" s="190" t="str">
        <f t="shared" si="30"/>
        <v/>
      </c>
    </row>
    <row r="5973" spans="1:2" hidden="1">
      <c r="A5973" s="190" t="str">
        <f t="shared" si="31"/>
        <v/>
      </c>
      <c r="B5973" s="190" t="str">
        <f t="shared" si="30"/>
        <v/>
      </c>
    </row>
    <row r="5974" spans="1:2" hidden="1">
      <c r="A5974" s="190" t="str">
        <f t="shared" si="31"/>
        <v/>
      </c>
      <c r="B5974" s="190" t="str">
        <f t="shared" si="30"/>
        <v/>
      </c>
    </row>
    <row r="5975" spans="1:2" hidden="1">
      <c r="A5975" s="190" t="str">
        <f t="shared" si="31"/>
        <v/>
      </c>
      <c r="B5975" s="190" t="str">
        <f t="shared" si="30"/>
        <v/>
      </c>
    </row>
    <row r="5976" spans="1:2" hidden="1">
      <c r="A5976" s="190" t="str">
        <f t="shared" si="31"/>
        <v/>
      </c>
      <c r="B5976" s="190" t="str">
        <f t="shared" si="30"/>
        <v/>
      </c>
    </row>
    <row r="5977" spans="1:2" hidden="1">
      <c r="A5977" s="190" t="str">
        <f t="shared" si="31"/>
        <v/>
      </c>
      <c r="B5977" s="190" t="str">
        <f t="shared" si="30"/>
        <v/>
      </c>
    </row>
    <row r="5978" spans="1:2" hidden="1">
      <c r="A5978" s="190" t="str">
        <f t="shared" si="31"/>
        <v/>
      </c>
      <c r="B5978" s="190" t="str">
        <f t="shared" si="30"/>
        <v/>
      </c>
    </row>
    <row r="5979" spans="1:2" hidden="1">
      <c r="A5979" s="190" t="str">
        <f t="shared" si="31"/>
        <v/>
      </c>
      <c r="B5979" s="190" t="str">
        <f t="shared" ref="B5979:B6042" si="32">HYPERLINK("http://tw.stock.yahoo.com/d/s/earning_.html","")</f>
        <v/>
      </c>
    </row>
    <row r="5980" spans="1:2" hidden="1">
      <c r="A5980" s="190" t="str">
        <f t="shared" si="31"/>
        <v/>
      </c>
      <c r="B5980" s="190" t="str">
        <f t="shared" si="32"/>
        <v/>
      </c>
    </row>
    <row r="5981" spans="1:2" hidden="1">
      <c r="A5981" s="190" t="str">
        <f t="shared" si="31"/>
        <v/>
      </c>
      <c r="B5981" s="190" t="str">
        <f t="shared" si="32"/>
        <v/>
      </c>
    </row>
    <row r="5982" spans="1:2" hidden="1">
      <c r="A5982" s="190" t="str">
        <f t="shared" si="31"/>
        <v/>
      </c>
      <c r="B5982" s="190" t="str">
        <f t="shared" si="32"/>
        <v/>
      </c>
    </row>
    <row r="5983" spans="1:2" hidden="1">
      <c r="A5983" s="190" t="str">
        <f t="shared" si="31"/>
        <v/>
      </c>
      <c r="B5983" s="190" t="str">
        <f t="shared" si="32"/>
        <v/>
      </c>
    </row>
    <row r="5984" spans="1:2" hidden="1">
      <c r="A5984" s="190" t="str">
        <f t="shared" si="31"/>
        <v/>
      </c>
      <c r="B5984" s="190" t="str">
        <f t="shared" si="32"/>
        <v/>
      </c>
    </row>
    <row r="5985" spans="1:2" hidden="1">
      <c r="A5985" s="190" t="str">
        <f t="shared" si="31"/>
        <v/>
      </c>
      <c r="B5985" s="190" t="str">
        <f t="shared" si="32"/>
        <v/>
      </c>
    </row>
    <row r="5986" spans="1:2" hidden="1">
      <c r="A5986" s="190" t="str">
        <f t="shared" si="31"/>
        <v/>
      </c>
      <c r="B5986" s="190" t="str">
        <f t="shared" si="32"/>
        <v/>
      </c>
    </row>
    <row r="5987" spans="1:2" hidden="1">
      <c r="A5987" s="190" t="str">
        <f t="shared" si="31"/>
        <v/>
      </c>
      <c r="B5987" s="190" t="str">
        <f t="shared" si="32"/>
        <v/>
      </c>
    </row>
    <row r="5988" spans="1:2" hidden="1">
      <c r="A5988" s="190" t="str">
        <f t="shared" si="31"/>
        <v/>
      </c>
      <c r="B5988" s="190" t="str">
        <f t="shared" si="32"/>
        <v/>
      </c>
    </row>
    <row r="5989" spans="1:2" hidden="1">
      <c r="A5989" s="190" t="str">
        <f t="shared" si="31"/>
        <v/>
      </c>
      <c r="B5989" s="190" t="str">
        <f t="shared" si="32"/>
        <v/>
      </c>
    </row>
    <row r="5990" spans="1:2" hidden="1">
      <c r="A5990" s="190" t="str">
        <f t="shared" si="31"/>
        <v/>
      </c>
      <c r="B5990" s="190" t="str">
        <f t="shared" si="32"/>
        <v/>
      </c>
    </row>
    <row r="5991" spans="1:2" hidden="1">
      <c r="A5991" s="190" t="str">
        <f t="shared" si="31"/>
        <v/>
      </c>
      <c r="B5991" s="190" t="str">
        <f t="shared" si="32"/>
        <v/>
      </c>
    </row>
    <row r="5992" spans="1:2" hidden="1">
      <c r="A5992" s="190" t="str">
        <f t="shared" si="31"/>
        <v/>
      </c>
      <c r="B5992" s="190" t="str">
        <f t="shared" si="32"/>
        <v/>
      </c>
    </row>
    <row r="5993" spans="1:2" hidden="1">
      <c r="A5993" s="190" t="str">
        <f t="shared" si="31"/>
        <v/>
      </c>
      <c r="B5993" s="190" t="str">
        <f t="shared" si="32"/>
        <v/>
      </c>
    </row>
    <row r="5994" spans="1:2" hidden="1">
      <c r="A5994" s="190" t="str">
        <f t="shared" si="31"/>
        <v/>
      </c>
      <c r="B5994" s="190" t="str">
        <f t="shared" si="32"/>
        <v/>
      </c>
    </row>
    <row r="5995" spans="1:2" hidden="1">
      <c r="A5995" s="190" t="str">
        <f t="shared" si="31"/>
        <v/>
      </c>
      <c r="B5995" s="190" t="str">
        <f t="shared" si="32"/>
        <v/>
      </c>
    </row>
    <row r="5996" spans="1:2" hidden="1">
      <c r="A5996" s="190" t="str">
        <f t="shared" si="31"/>
        <v/>
      </c>
      <c r="B5996" s="190" t="str">
        <f t="shared" si="32"/>
        <v/>
      </c>
    </row>
    <row r="5997" spans="1:2" hidden="1">
      <c r="A5997" s="190" t="str">
        <f t="shared" si="31"/>
        <v/>
      </c>
      <c r="B5997" s="190" t="str">
        <f t="shared" si="32"/>
        <v/>
      </c>
    </row>
    <row r="5998" spans="1:2" hidden="1">
      <c r="A5998" s="190" t="str">
        <f t="shared" si="31"/>
        <v/>
      </c>
      <c r="B5998" s="190" t="str">
        <f t="shared" si="32"/>
        <v/>
      </c>
    </row>
    <row r="5999" spans="1:2" hidden="1">
      <c r="A5999" s="190" t="str">
        <f t="shared" si="31"/>
        <v/>
      </c>
      <c r="B5999" s="190" t="str">
        <f t="shared" si="32"/>
        <v/>
      </c>
    </row>
    <row r="6000" spans="1:2" hidden="1">
      <c r="A6000" s="190" t="str">
        <f t="shared" si="31"/>
        <v/>
      </c>
      <c r="B6000" s="190" t="str">
        <f t="shared" si="32"/>
        <v/>
      </c>
    </row>
    <row r="6001" spans="1:2" hidden="1">
      <c r="A6001" s="190" t="str">
        <f t="shared" si="31"/>
        <v/>
      </c>
      <c r="B6001" s="190" t="str">
        <f t="shared" si="32"/>
        <v/>
      </c>
    </row>
    <row r="6002" spans="1:2" hidden="1">
      <c r="A6002" s="190" t="str">
        <f t="shared" si="31"/>
        <v/>
      </c>
      <c r="B6002" s="190" t="str">
        <f t="shared" si="32"/>
        <v/>
      </c>
    </row>
    <row r="6003" spans="1:2" hidden="1">
      <c r="A6003" s="190" t="str">
        <f t="shared" si="31"/>
        <v/>
      </c>
      <c r="B6003" s="190" t="str">
        <f t="shared" si="32"/>
        <v/>
      </c>
    </row>
    <row r="6004" spans="1:2" hidden="1">
      <c r="A6004" s="190" t="str">
        <f t="shared" si="31"/>
        <v/>
      </c>
      <c r="B6004" s="190" t="str">
        <f t="shared" si="32"/>
        <v/>
      </c>
    </row>
    <row r="6005" spans="1:2" hidden="1">
      <c r="A6005" s="190" t="str">
        <f t="shared" si="31"/>
        <v/>
      </c>
      <c r="B6005" s="190" t="str">
        <f t="shared" si="32"/>
        <v/>
      </c>
    </row>
    <row r="6006" spans="1:2" hidden="1">
      <c r="A6006" s="190" t="str">
        <f t="shared" si="31"/>
        <v/>
      </c>
      <c r="B6006" s="190" t="str">
        <f t="shared" si="32"/>
        <v/>
      </c>
    </row>
    <row r="6007" spans="1:2" hidden="1">
      <c r="A6007" s="190" t="str">
        <f t="shared" si="31"/>
        <v/>
      </c>
      <c r="B6007" s="190" t="str">
        <f t="shared" si="32"/>
        <v/>
      </c>
    </row>
    <row r="6008" spans="1:2" hidden="1">
      <c r="A6008" s="190" t="str">
        <f t="shared" si="31"/>
        <v/>
      </c>
      <c r="B6008" s="190" t="str">
        <f t="shared" si="32"/>
        <v/>
      </c>
    </row>
    <row r="6009" spans="1:2" hidden="1">
      <c r="A6009" s="190" t="str">
        <f t="shared" si="31"/>
        <v/>
      </c>
      <c r="B6009" s="190" t="str">
        <f t="shared" si="32"/>
        <v/>
      </c>
    </row>
    <row r="6010" spans="1:2" hidden="1">
      <c r="A6010" s="190" t="str">
        <f t="shared" si="31"/>
        <v/>
      </c>
      <c r="B6010" s="190" t="str">
        <f t="shared" si="32"/>
        <v/>
      </c>
    </row>
    <row r="6011" spans="1:2" hidden="1">
      <c r="A6011" s="190" t="str">
        <f t="shared" si="31"/>
        <v/>
      </c>
      <c r="B6011" s="190" t="str">
        <f t="shared" si="32"/>
        <v/>
      </c>
    </row>
    <row r="6012" spans="1:2" hidden="1">
      <c r="A6012" s="190" t="str">
        <f t="shared" si="31"/>
        <v/>
      </c>
      <c r="B6012" s="190" t="str">
        <f t="shared" si="32"/>
        <v/>
      </c>
    </row>
    <row r="6013" spans="1:2" hidden="1">
      <c r="A6013" s="190" t="str">
        <f t="shared" si="31"/>
        <v/>
      </c>
      <c r="B6013" s="190" t="str">
        <f t="shared" si="32"/>
        <v/>
      </c>
    </row>
    <row r="6014" spans="1:2" hidden="1">
      <c r="A6014" s="190" t="str">
        <f t="shared" si="31"/>
        <v/>
      </c>
      <c r="B6014" s="190" t="str">
        <f t="shared" si="32"/>
        <v/>
      </c>
    </row>
    <row r="6015" spans="1:2" hidden="1">
      <c r="A6015" s="190" t="str">
        <f t="shared" ref="A6015:A6078" si="33">HYPERLINK("http://tw.stock.yahoo.com/q/ta?s=","")</f>
        <v/>
      </c>
      <c r="B6015" s="190" t="str">
        <f t="shared" si="32"/>
        <v/>
      </c>
    </row>
    <row r="6016" spans="1:2" hidden="1">
      <c r="A6016" s="190" t="str">
        <f t="shared" si="33"/>
        <v/>
      </c>
      <c r="B6016" s="190" t="str">
        <f t="shared" si="32"/>
        <v/>
      </c>
    </row>
    <row r="6017" spans="1:2" hidden="1">
      <c r="A6017" s="190" t="str">
        <f t="shared" si="33"/>
        <v/>
      </c>
      <c r="B6017" s="190" t="str">
        <f t="shared" si="32"/>
        <v/>
      </c>
    </row>
    <row r="6018" spans="1:2" hidden="1">
      <c r="A6018" s="190" t="str">
        <f t="shared" si="33"/>
        <v/>
      </c>
      <c r="B6018" s="190" t="str">
        <f t="shared" si="32"/>
        <v/>
      </c>
    </row>
    <row r="6019" spans="1:2" hidden="1">
      <c r="A6019" s="190" t="str">
        <f t="shared" si="33"/>
        <v/>
      </c>
      <c r="B6019" s="190" t="str">
        <f t="shared" si="32"/>
        <v/>
      </c>
    </row>
    <row r="6020" spans="1:2" hidden="1">
      <c r="A6020" s="190" t="str">
        <f t="shared" si="33"/>
        <v/>
      </c>
      <c r="B6020" s="190" t="str">
        <f t="shared" si="32"/>
        <v/>
      </c>
    </row>
    <row r="6021" spans="1:2" hidden="1">
      <c r="A6021" s="190" t="str">
        <f t="shared" si="33"/>
        <v/>
      </c>
      <c r="B6021" s="190" t="str">
        <f t="shared" si="32"/>
        <v/>
      </c>
    </row>
    <row r="6022" spans="1:2" hidden="1">
      <c r="A6022" s="190" t="str">
        <f t="shared" si="33"/>
        <v/>
      </c>
      <c r="B6022" s="190" t="str">
        <f t="shared" si="32"/>
        <v/>
      </c>
    </row>
    <row r="6023" spans="1:2" hidden="1">
      <c r="A6023" s="190" t="str">
        <f t="shared" si="33"/>
        <v/>
      </c>
      <c r="B6023" s="190" t="str">
        <f t="shared" si="32"/>
        <v/>
      </c>
    </row>
    <row r="6024" spans="1:2" hidden="1">
      <c r="A6024" s="190" t="str">
        <f t="shared" si="33"/>
        <v/>
      </c>
      <c r="B6024" s="190" t="str">
        <f t="shared" si="32"/>
        <v/>
      </c>
    </row>
    <row r="6025" spans="1:2" hidden="1">
      <c r="A6025" s="190" t="str">
        <f t="shared" si="33"/>
        <v/>
      </c>
      <c r="B6025" s="190" t="str">
        <f t="shared" si="32"/>
        <v/>
      </c>
    </row>
    <row r="6026" spans="1:2" hidden="1">
      <c r="A6026" s="190" t="str">
        <f t="shared" si="33"/>
        <v/>
      </c>
      <c r="B6026" s="190" t="str">
        <f t="shared" si="32"/>
        <v/>
      </c>
    </row>
    <row r="6027" spans="1:2" hidden="1">
      <c r="A6027" s="190" t="str">
        <f t="shared" si="33"/>
        <v/>
      </c>
      <c r="B6027" s="190" t="str">
        <f t="shared" si="32"/>
        <v/>
      </c>
    </row>
    <row r="6028" spans="1:2" hidden="1">
      <c r="A6028" s="190" t="str">
        <f t="shared" si="33"/>
        <v/>
      </c>
      <c r="B6028" s="190" t="str">
        <f t="shared" si="32"/>
        <v/>
      </c>
    </row>
    <row r="6029" spans="1:2" hidden="1">
      <c r="A6029" s="190" t="str">
        <f t="shared" si="33"/>
        <v/>
      </c>
      <c r="B6029" s="190" t="str">
        <f t="shared" si="32"/>
        <v/>
      </c>
    </row>
    <row r="6030" spans="1:2" hidden="1">
      <c r="A6030" s="190" t="str">
        <f t="shared" si="33"/>
        <v/>
      </c>
      <c r="B6030" s="190" t="str">
        <f t="shared" si="32"/>
        <v/>
      </c>
    </row>
    <row r="6031" spans="1:2" hidden="1">
      <c r="A6031" s="190" t="str">
        <f t="shared" si="33"/>
        <v/>
      </c>
      <c r="B6031" s="190" t="str">
        <f t="shared" si="32"/>
        <v/>
      </c>
    </row>
    <row r="6032" spans="1:2" hidden="1">
      <c r="A6032" s="190" t="str">
        <f t="shared" si="33"/>
        <v/>
      </c>
      <c r="B6032" s="190" t="str">
        <f t="shared" si="32"/>
        <v/>
      </c>
    </row>
    <row r="6033" spans="1:2" hidden="1">
      <c r="A6033" s="190" t="str">
        <f t="shared" si="33"/>
        <v/>
      </c>
      <c r="B6033" s="190" t="str">
        <f t="shared" si="32"/>
        <v/>
      </c>
    </row>
    <row r="6034" spans="1:2" hidden="1">
      <c r="A6034" s="190" t="str">
        <f t="shared" si="33"/>
        <v/>
      </c>
      <c r="B6034" s="190" t="str">
        <f t="shared" si="32"/>
        <v/>
      </c>
    </row>
    <row r="6035" spans="1:2" hidden="1">
      <c r="A6035" s="190" t="str">
        <f t="shared" si="33"/>
        <v/>
      </c>
      <c r="B6035" s="190" t="str">
        <f t="shared" si="32"/>
        <v/>
      </c>
    </row>
    <row r="6036" spans="1:2" hidden="1">
      <c r="A6036" s="190" t="str">
        <f t="shared" si="33"/>
        <v/>
      </c>
      <c r="B6036" s="190" t="str">
        <f t="shared" si="32"/>
        <v/>
      </c>
    </row>
    <row r="6037" spans="1:2" hidden="1">
      <c r="A6037" s="190" t="str">
        <f t="shared" si="33"/>
        <v/>
      </c>
      <c r="B6037" s="190" t="str">
        <f t="shared" si="32"/>
        <v/>
      </c>
    </row>
    <row r="6038" spans="1:2" hidden="1">
      <c r="A6038" s="190" t="str">
        <f t="shared" si="33"/>
        <v/>
      </c>
      <c r="B6038" s="190" t="str">
        <f t="shared" si="32"/>
        <v/>
      </c>
    </row>
    <row r="6039" spans="1:2" hidden="1">
      <c r="A6039" s="190" t="str">
        <f t="shared" si="33"/>
        <v/>
      </c>
      <c r="B6039" s="190" t="str">
        <f t="shared" si="32"/>
        <v/>
      </c>
    </row>
    <row r="6040" spans="1:2" hidden="1">
      <c r="A6040" s="190" t="str">
        <f t="shared" si="33"/>
        <v/>
      </c>
      <c r="B6040" s="190" t="str">
        <f t="shared" si="32"/>
        <v/>
      </c>
    </row>
    <row r="6041" spans="1:2" hidden="1">
      <c r="A6041" s="190" t="str">
        <f t="shared" si="33"/>
        <v/>
      </c>
      <c r="B6041" s="190" t="str">
        <f t="shared" si="32"/>
        <v/>
      </c>
    </row>
    <row r="6042" spans="1:2" hidden="1">
      <c r="A6042" s="190" t="str">
        <f t="shared" si="33"/>
        <v/>
      </c>
      <c r="B6042" s="190" t="str">
        <f t="shared" si="32"/>
        <v/>
      </c>
    </row>
    <row r="6043" spans="1:2" hidden="1">
      <c r="A6043" s="190" t="str">
        <f t="shared" si="33"/>
        <v/>
      </c>
      <c r="B6043" s="190" t="str">
        <f t="shared" ref="B6043:B6106" si="34">HYPERLINK("http://tw.stock.yahoo.com/d/s/earning_.html","")</f>
        <v/>
      </c>
    </row>
    <row r="6044" spans="1:2" hidden="1">
      <c r="A6044" s="190" t="str">
        <f t="shared" si="33"/>
        <v/>
      </c>
      <c r="B6044" s="190" t="str">
        <f t="shared" si="34"/>
        <v/>
      </c>
    </row>
    <row r="6045" spans="1:2" hidden="1">
      <c r="A6045" s="190" t="str">
        <f t="shared" si="33"/>
        <v/>
      </c>
      <c r="B6045" s="190" t="str">
        <f t="shared" si="34"/>
        <v/>
      </c>
    </row>
    <row r="6046" spans="1:2" hidden="1">
      <c r="A6046" s="190" t="str">
        <f t="shared" si="33"/>
        <v/>
      </c>
      <c r="B6046" s="190" t="str">
        <f t="shared" si="34"/>
        <v/>
      </c>
    </row>
    <row r="6047" spans="1:2" hidden="1">
      <c r="A6047" s="190" t="str">
        <f t="shared" si="33"/>
        <v/>
      </c>
      <c r="B6047" s="190" t="str">
        <f t="shared" si="34"/>
        <v/>
      </c>
    </row>
    <row r="6048" spans="1:2" hidden="1">
      <c r="A6048" s="190" t="str">
        <f t="shared" si="33"/>
        <v/>
      </c>
      <c r="B6048" s="190" t="str">
        <f t="shared" si="34"/>
        <v/>
      </c>
    </row>
    <row r="6049" spans="1:2" hidden="1">
      <c r="A6049" s="190" t="str">
        <f t="shared" si="33"/>
        <v/>
      </c>
      <c r="B6049" s="190" t="str">
        <f t="shared" si="34"/>
        <v/>
      </c>
    </row>
    <row r="6050" spans="1:2" hidden="1">
      <c r="A6050" s="190" t="str">
        <f t="shared" si="33"/>
        <v/>
      </c>
      <c r="B6050" s="190" t="str">
        <f t="shared" si="34"/>
        <v/>
      </c>
    </row>
    <row r="6051" spans="1:2" hidden="1">
      <c r="A6051" s="190" t="str">
        <f t="shared" si="33"/>
        <v/>
      </c>
      <c r="B6051" s="190" t="str">
        <f t="shared" si="34"/>
        <v/>
      </c>
    </row>
    <row r="6052" spans="1:2" hidden="1">
      <c r="A6052" s="190" t="str">
        <f t="shared" si="33"/>
        <v/>
      </c>
      <c r="B6052" s="190" t="str">
        <f t="shared" si="34"/>
        <v/>
      </c>
    </row>
    <row r="6053" spans="1:2" hidden="1">
      <c r="A6053" s="190" t="str">
        <f t="shared" si="33"/>
        <v/>
      </c>
      <c r="B6053" s="190" t="str">
        <f t="shared" si="34"/>
        <v/>
      </c>
    </row>
    <row r="6054" spans="1:2" hidden="1">
      <c r="A6054" s="190" t="str">
        <f t="shared" si="33"/>
        <v/>
      </c>
      <c r="B6054" s="190" t="str">
        <f t="shared" si="34"/>
        <v/>
      </c>
    </row>
    <row r="6055" spans="1:2" hidden="1">
      <c r="A6055" s="190" t="str">
        <f t="shared" si="33"/>
        <v/>
      </c>
      <c r="B6055" s="190" t="str">
        <f t="shared" si="34"/>
        <v/>
      </c>
    </row>
    <row r="6056" spans="1:2" hidden="1">
      <c r="A6056" s="190" t="str">
        <f t="shared" si="33"/>
        <v/>
      </c>
      <c r="B6056" s="190" t="str">
        <f t="shared" si="34"/>
        <v/>
      </c>
    </row>
    <row r="6057" spans="1:2" hidden="1">
      <c r="A6057" s="190" t="str">
        <f t="shared" si="33"/>
        <v/>
      </c>
      <c r="B6057" s="190" t="str">
        <f t="shared" si="34"/>
        <v/>
      </c>
    </row>
    <row r="6058" spans="1:2" hidden="1">
      <c r="A6058" s="190" t="str">
        <f t="shared" si="33"/>
        <v/>
      </c>
      <c r="B6058" s="190" t="str">
        <f t="shared" si="34"/>
        <v/>
      </c>
    </row>
    <row r="6059" spans="1:2" hidden="1">
      <c r="A6059" s="190" t="str">
        <f t="shared" si="33"/>
        <v/>
      </c>
      <c r="B6059" s="190" t="str">
        <f t="shared" si="34"/>
        <v/>
      </c>
    </row>
    <row r="6060" spans="1:2" hidden="1">
      <c r="A6060" s="190" t="str">
        <f t="shared" si="33"/>
        <v/>
      </c>
      <c r="B6060" s="190" t="str">
        <f t="shared" si="34"/>
        <v/>
      </c>
    </row>
    <row r="6061" spans="1:2" hidden="1">
      <c r="A6061" s="190" t="str">
        <f t="shared" si="33"/>
        <v/>
      </c>
      <c r="B6061" s="190" t="str">
        <f t="shared" si="34"/>
        <v/>
      </c>
    </row>
    <row r="6062" spans="1:2" hidden="1">
      <c r="A6062" s="190" t="str">
        <f t="shared" si="33"/>
        <v/>
      </c>
      <c r="B6062" s="190" t="str">
        <f t="shared" si="34"/>
        <v/>
      </c>
    </row>
    <row r="6063" spans="1:2" hidden="1">
      <c r="A6063" s="190" t="str">
        <f t="shared" si="33"/>
        <v/>
      </c>
      <c r="B6063" s="190" t="str">
        <f t="shared" si="34"/>
        <v/>
      </c>
    </row>
    <row r="6064" spans="1:2" hidden="1">
      <c r="A6064" s="190" t="str">
        <f t="shared" si="33"/>
        <v/>
      </c>
      <c r="B6064" s="190" t="str">
        <f t="shared" si="34"/>
        <v/>
      </c>
    </row>
    <row r="6065" spans="1:2" hidden="1">
      <c r="A6065" s="190" t="str">
        <f t="shared" si="33"/>
        <v/>
      </c>
      <c r="B6065" s="190" t="str">
        <f t="shared" si="34"/>
        <v/>
      </c>
    </row>
    <row r="6066" spans="1:2" hidden="1">
      <c r="A6066" s="190" t="str">
        <f t="shared" si="33"/>
        <v/>
      </c>
      <c r="B6066" s="190" t="str">
        <f t="shared" si="34"/>
        <v/>
      </c>
    </row>
    <row r="6067" spans="1:2" hidden="1">
      <c r="A6067" s="190" t="str">
        <f t="shared" si="33"/>
        <v/>
      </c>
      <c r="B6067" s="190" t="str">
        <f t="shared" si="34"/>
        <v/>
      </c>
    </row>
    <row r="6068" spans="1:2" hidden="1">
      <c r="A6068" s="190" t="str">
        <f t="shared" si="33"/>
        <v/>
      </c>
      <c r="B6068" s="190" t="str">
        <f t="shared" si="34"/>
        <v/>
      </c>
    </row>
    <row r="6069" spans="1:2" hidden="1">
      <c r="A6069" s="190" t="str">
        <f t="shared" si="33"/>
        <v/>
      </c>
      <c r="B6069" s="190" t="str">
        <f t="shared" si="34"/>
        <v/>
      </c>
    </row>
    <row r="6070" spans="1:2" hidden="1">
      <c r="A6070" s="190" t="str">
        <f t="shared" si="33"/>
        <v/>
      </c>
      <c r="B6070" s="190" t="str">
        <f t="shared" si="34"/>
        <v/>
      </c>
    </row>
    <row r="6071" spans="1:2" hidden="1">
      <c r="A6071" s="190" t="str">
        <f t="shared" si="33"/>
        <v/>
      </c>
      <c r="B6071" s="190" t="str">
        <f t="shared" si="34"/>
        <v/>
      </c>
    </row>
    <row r="6072" spans="1:2" hidden="1">
      <c r="A6072" s="190" t="str">
        <f t="shared" si="33"/>
        <v/>
      </c>
      <c r="B6072" s="190" t="str">
        <f t="shared" si="34"/>
        <v/>
      </c>
    </row>
    <row r="6073" spans="1:2" hidden="1">
      <c r="A6073" s="190" t="str">
        <f t="shared" si="33"/>
        <v/>
      </c>
      <c r="B6073" s="190" t="str">
        <f t="shared" si="34"/>
        <v/>
      </c>
    </row>
    <row r="6074" spans="1:2" hidden="1">
      <c r="A6074" s="190" t="str">
        <f t="shared" si="33"/>
        <v/>
      </c>
      <c r="B6074" s="190" t="str">
        <f t="shared" si="34"/>
        <v/>
      </c>
    </row>
    <row r="6075" spans="1:2" hidden="1">
      <c r="A6075" s="190" t="str">
        <f t="shared" si="33"/>
        <v/>
      </c>
      <c r="B6075" s="190" t="str">
        <f t="shared" si="34"/>
        <v/>
      </c>
    </row>
    <row r="6076" spans="1:2" hidden="1">
      <c r="A6076" s="190" t="str">
        <f t="shared" si="33"/>
        <v/>
      </c>
      <c r="B6076" s="190" t="str">
        <f t="shared" si="34"/>
        <v/>
      </c>
    </row>
    <row r="6077" spans="1:2" hidden="1">
      <c r="A6077" s="190" t="str">
        <f t="shared" si="33"/>
        <v/>
      </c>
      <c r="B6077" s="190" t="str">
        <f t="shared" si="34"/>
        <v/>
      </c>
    </row>
    <row r="6078" spans="1:2" hidden="1">
      <c r="A6078" s="190" t="str">
        <f t="shared" si="33"/>
        <v/>
      </c>
      <c r="B6078" s="190" t="str">
        <f t="shared" si="34"/>
        <v/>
      </c>
    </row>
    <row r="6079" spans="1:2" hidden="1">
      <c r="A6079" s="190" t="str">
        <f t="shared" ref="A6079:A6142" si="35">HYPERLINK("http://tw.stock.yahoo.com/q/ta?s=","")</f>
        <v/>
      </c>
      <c r="B6079" s="190" t="str">
        <f t="shared" si="34"/>
        <v/>
      </c>
    </row>
    <row r="6080" spans="1:2" hidden="1">
      <c r="A6080" s="190" t="str">
        <f t="shared" si="35"/>
        <v/>
      </c>
      <c r="B6080" s="190" t="str">
        <f t="shared" si="34"/>
        <v/>
      </c>
    </row>
    <row r="6081" spans="1:2" hidden="1">
      <c r="A6081" s="190" t="str">
        <f t="shared" si="35"/>
        <v/>
      </c>
      <c r="B6081" s="190" t="str">
        <f t="shared" si="34"/>
        <v/>
      </c>
    </row>
    <row r="6082" spans="1:2" hidden="1">
      <c r="A6082" s="190" t="str">
        <f t="shared" si="35"/>
        <v/>
      </c>
      <c r="B6082" s="190" t="str">
        <f t="shared" si="34"/>
        <v/>
      </c>
    </row>
    <row r="6083" spans="1:2" hidden="1">
      <c r="A6083" s="190" t="str">
        <f t="shared" si="35"/>
        <v/>
      </c>
      <c r="B6083" s="190" t="str">
        <f t="shared" si="34"/>
        <v/>
      </c>
    </row>
    <row r="6084" spans="1:2" hidden="1">
      <c r="A6084" s="190" t="str">
        <f t="shared" si="35"/>
        <v/>
      </c>
      <c r="B6084" s="190" t="str">
        <f t="shared" si="34"/>
        <v/>
      </c>
    </row>
    <row r="6085" spans="1:2" hidden="1">
      <c r="A6085" s="190" t="str">
        <f t="shared" si="35"/>
        <v/>
      </c>
      <c r="B6085" s="190" t="str">
        <f t="shared" si="34"/>
        <v/>
      </c>
    </row>
    <row r="6086" spans="1:2" hidden="1">
      <c r="A6086" s="190" t="str">
        <f t="shared" si="35"/>
        <v/>
      </c>
      <c r="B6086" s="190" t="str">
        <f t="shared" si="34"/>
        <v/>
      </c>
    </row>
    <row r="6087" spans="1:2" hidden="1">
      <c r="A6087" s="190" t="str">
        <f t="shared" si="35"/>
        <v/>
      </c>
      <c r="B6087" s="190" t="str">
        <f t="shared" si="34"/>
        <v/>
      </c>
    </row>
    <row r="6088" spans="1:2" hidden="1">
      <c r="A6088" s="190" t="str">
        <f t="shared" si="35"/>
        <v/>
      </c>
      <c r="B6088" s="190" t="str">
        <f t="shared" si="34"/>
        <v/>
      </c>
    </row>
    <row r="6089" spans="1:2" hidden="1">
      <c r="A6089" s="190" t="str">
        <f t="shared" si="35"/>
        <v/>
      </c>
      <c r="B6089" s="190" t="str">
        <f t="shared" si="34"/>
        <v/>
      </c>
    </row>
    <row r="6090" spans="1:2" hidden="1">
      <c r="A6090" s="190" t="str">
        <f t="shared" si="35"/>
        <v/>
      </c>
      <c r="B6090" s="190" t="str">
        <f t="shared" si="34"/>
        <v/>
      </c>
    </row>
    <row r="6091" spans="1:2" hidden="1">
      <c r="A6091" s="190" t="str">
        <f t="shared" si="35"/>
        <v/>
      </c>
      <c r="B6091" s="190" t="str">
        <f t="shared" si="34"/>
        <v/>
      </c>
    </row>
    <row r="6092" spans="1:2" hidden="1">
      <c r="A6092" s="190" t="str">
        <f t="shared" si="35"/>
        <v/>
      </c>
      <c r="B6092" s="190" t="str">
        <f t="shared" si="34"/>
        <v/>
      </c>
    </row>
    <row r="6093" spans="1:2" hidden="1">
      <c r="A6093" s="190" t="str">
        <f t="shared" si="35"/>
        <v/>
      </c>
      <c r="B6093" s="190" t="str">
        <f t="shared" si="34"/>
        <v/>
      </c>
    </row>
    <row r="6094" spans="1:2" hidden="1">
      <c r="A6094" s="190" t="str">
        <f t="shared" si="35"/>
        <v/>
      </c>
      <c r="B6094" s="190" t="str">
        <f t="shared" si="34"/>
        <v/>
      </c>
    </row>
    <row r="6095" spans="1:2" hidden="1">
      <c r="A6095" s="190" t="str">
        <f t="shared" si="35"/>
        <v/>
      </c>
      <c r="B6095" s="190" t="str">
        <f t="shared" si="34"/>
        <v/>
      </c>
    </row>
    <row r="6096" spans="1:2" hidden="1">
      <c r="A6096" s="190" t="str">
        <f t="shared" si="35"/>
        <v/>
      </c>
      <c r="B6096" s="190" t="str">
        <f t="shared" si="34"/>
        <v/>
      </c>
    </row>
    <row r="6097" spans="1:2" hidden="1">
      <c r="A6097" s="190" t="str">
        <f t="shared" si="35"/>
        <v/>
      </c>
      <c r="B6097" s="190" t="str">
        <f t="shared" si="34"/>
        <v/>
      </c>
    </row>
    <row r="6098" spans="1:2" hidden="1">
      <c r="A6098" s="190" t="str">
        <f t="shared" si="35"/>
        <v/>
      </c>
      <c r="B6098" s="190" t="str">
        <f t="shared" si="34"/>
        <v/>
      </c>
    </row>
    <row r="6099" spans="1:2" hidden="1">
      <c r="A6099" s="190" t="str">
        <f t="shared" si="35"/>
        <v/>
      </c>
      <c r="B6099" s="190" t="str">
        <f t="shared" si="34"/>
        <v/>
      </c>
    </row>
    <row r="6100" spans="1:2" hidden="1">
      <c r="A6100" s="190" t="str">
        <f t="shared" si="35"/>
        <v/>
      </c>
      <c r="B6100" s="190" t="str">
        <f t="shared" si="34"/>
        <v/>
      </c>
    </row>
    <row r="6101" spans="1:2" hidden="1">
      <c r="A6101" s="190" t="str">
        <f t="shared" si="35"/>
        <v/>
      </c>
      <c r="B6101" s="190" t="str">
        <f t="shared" si="34"/>
        <v/>
      </c>
    </row>
    <row r="6102" spans="1:2" hidden="1">
      <c r="A6102" s="190" t="str">
        <f t="shared" si="35"/>
        <v/>
      </c>
      <c r="B6102" s="190" t="str">
        <f t="shared" si="34"/>
        <v/>
      </c>
    </row>
    <row r="6103" spans="1:2" hidden="1">
      <c r="A6103" s="190" t="str">
        <f t="shared" si="35"/>
        <v/>
      </c>
      <c r="B6103" s="190" t="str">
        <f t="shared" si="34"/>
        <v/>
      </c>
    </row>
    <row r="6104" spans="1:2" hidden="1">
      <c r="A6104" s="190" t="str">
        <f t="shared" si="35"/>
        <v/>
      </c>
      <c r="B6104" s="190" t="str">
        <f t="shared" si="34"/>
        <v/>
      </c>
    </row>
    <row r="6105" spans="1:2" hidden="1">
      <c r="A6105" s="190" t="str">
        <f t="shared" si="35"/>
        <v/>
      </c>
      <c r="B6105" s="190" t="str">
        <f t="shared" si="34"/>
        <v/>
      </c>
    </row>
    <row r="6106" spans="1:2" hidden="1">
      <c r="A6106" s="190" t="str">
        <f t="shared" si="35"/>
        <v/>
      </c>
      <c r="B6106" s="190" t="str">
        <f t="shared" si="34"/>
        <v/>
      </c>
    </row>
    <row r="6107" spans="1:2" hidden="1">
      <c r="A6107" s="190" t="str">
        <f t="shared" si="35"/>
        <v/>
      </c>
      <c r="B6107" s="190" t="str">
        <f t="shared" ref="B6107:B6170" si="36">HYPERLINK("http://tw.stock.yahoo.com/d/s/earning_.html","")</f>
        <v/>
      </c>
    </row>
    <row r="6108" spans="1:2" hidden="1">
      <c r="A6108" s="190" t="str">
        <f t="shared" si="35"/>
        <v/>
      </c>
      <c r="B6108" s="190" t="str">
        <f t="shared" si="36"/>
        <v/>
      </c>
    </row>
    <row r="6109" spans="1:2" hidden="1">
      <c r="A6109" s="190" t="str">
        <f t="shared" si="35"/>
        <v/>
      </c>
      <c r="B6109" s="190" t="str">
        <f t="shared" si="36"/>
        <v/>
      </c>
    </row>
    <row r="6110" spans="1:2" hidden="1">
      <c r="A6110" s="190" t="str">
        <f t="shared" si="35"/>
        <v/>
      </c>
      <c r="B6110" s="190" t="str">
        <f t="shared" si="36"/>
        <v/>
      </c>
    </row>
    <row r="6111" spans="1:2" hidden="1">
      <c r="A6111" s="190" t="str">
        <f t="shared" si="35"/>
        <v/>
      </c>
      <c r="B6111" s="190" t="str">
        <f t="shared" si="36"/>
        <v/>
      </c>
    </row>
    <row r="6112" spans="1:2" hidden="1">
      <c r="A6112" s="190" t="str">
        <f t="shared" si="35"/>
        <v/>
      </c>
      <c r="B6112" s="190" t="str">
        <f t="shared" si="36"/>
        <v/>
      </c>
    </row>
    <row r="6113" spans="1:2" hidden="1">
      <c r="A6113" s="190" t="str">
        <f t="shared" si="35"/>
        <v/>
      </c>
      <c r="B6113" s="190" t="str">
        <f t="shared" si="36"/>
        <v/>
      </c>
    </row>
    <row r="6114" spans="1:2" hidden="1">
      <c r="A6114" s="190" t="str">
        <f t="shared" si="35"/>
        <v/>
      </c>
      <c r="B6114" s="190" t="str">
        <f t="shared" si="36"/>
        <v/>
      </c>
    </row>
    <row r="6115" spans="1:2" hidden="1">
      <c r="A6115" s="190" t="str">
        <f t="shared" si="35"/>
        <v/>
      </c>
      <c r="B6115" s="190" t="str">
        <f t="shared" si="36"/>
        <v/>
      </c>
    </row>
    <row r="6116" spans="1:2" hidden="1">
      <c r="A6116" s="190" t="str">
        <f t="shared" si="35"/>
        <v/>
      </c>
      <c r="B6116" s="190" t="str">
        <f t="shared" si="36"/>
        <v/>
      </c>
    </row>
    <row r="6117" spans="1:2" hidden="1">
      <c r="A6117" s="190" t="str">
        <f t="shared" si="35"/>
        <v/>
      </c>
      <c r="B6117" s="190" t="str">
        <f t="shared" si="36"/>
        <v/>
      </c>
    </row>
    <row r="6118" spans="1:2" hidden="1">
      <c r="A6118" s="190" t="str">
        <f t="shared" si="35"/>
        <v/>
      </c>
      <c r="B6118" s="190" t="str">
        <f t="shared" si="36"/>
        <v/>
      </c>
    </row>
    <row r="6119" spans="1:2" hidden="1">
      <c r="A6119" s="190" t="str">
        <f t="shared" si="35"/>
        <v/>
      </c>
      <c r="B6119" s="190" t="str">
        <f t="shared" si="36"/>
        <v/>
      </c>
    </row>
    <row r="6120" spans="1:2" hidden="1">
      <c r="A6120" s="190" t="str">
        <f t="shared" si="35"/>
        <v/>
      </c>
      <c r="B6120" s="190" t="str">
        <f t="shared" si="36"/>
        <v/>
      </c>
    </row>
    <row r="6121" spans="1:2" hidden="1">
      <c r="A6121" s="190" t="str">
        <f t="shared" si="35"/>
        <v/>
      </c>
      <c r="B6121" s="190" t="str">
        <f t="shared" si="36"/>
        <v/>
      </c>
    </row>
    <row r="6122" spans="1:2" hidden="1">
      <c r="A6122" s="190" t="str">
        <f t="shared" si="35"/>
        <v/>
      </c>
      <c r="B6122" s="190" t="str">
        <f t="shared" si="36"/>
        <v/>
      </c>
    </row>
    <row r="6123" spans="1:2" hidden="1">
      <c r="A6123" s="190" t="str">
        <f t="shared" si="35"/>
        <v/>
      </c>
      <c r="B6123" s="190" t="str">
        <f t="shared" si="36"/>
        <v/>
      </c>
    </row>
    <row r="6124" spans="1:2" hidden="1">
      <c r="A6124" s="190" t="str">
        <f t="shared" si="35"/>
        <v/>
      </c>
      <c r="B6124" s="190" t="str">
        <f t="shared" si="36"/>
        <v/>
      </c>
    </row>
    <row r="6125" spans="1:2" hidden="1">
      <c r="A6125" s="190" t="str">
        <f t="shared" si="35"/>
        <v/>
      </c>
      <c r="B6125" s="190" t="str">
        <f t="shared" si="36"/>
        <v/>
      </c>
    </row>
    <row r="6126" spans="1:2" hidden="1">
      <c r="A6126" s="190" t="str">
        <f t="shared" si="35"/>
        <v/>
      </c>
      <c r="B6126" s="190" t="str">
        <f t="shared" si="36"/>
        <v/>
      </c>
    </row>
    <row r="6127" spans="1:2" hidden="1">
      <c r="A6127" s="190" t="str">
        <f t="shared" si="35"/>
        <v/>
      </c>
      <c r="B6127" s="190" t="str">
        <f t="shared" si="36"/>
        <v/>
      </c>
    </row>
    <row r="6128" spans="1:2" hidden="1">
      <c r="A6128" s="190" t="str">
        <f t="shared" si="35"/>
        <v/>
      </c>
      <c r="B6128" s="190" t="str">
        <f t="shared" si="36"/>
        <v/>
      </c>
    </row>
    <row r="6129" spans="1:2" hidden="1">
      <c r="A6129" s="190" t="str">
        <f t="shared" si="35"/>
        <v/>
      </c>
      <c r="B6129" s="190" t="str">
        <f t="shared" si="36"/>
        <v/>
      </c>
    </row>
    <row r="6130" spans="1:2" hidden="1">
      <c r="A6130" s="190" t="str">
        <f t="shared" si="35"/>
        <v/>
      </c>
      <c r="B6130" s="190" t="str">
        <f t="shared" si="36"/>
        <v/>
      </c>
    </row>
    <row r="6131" spans="1:2" hidden="1">
      <c r="A6131" s="190" t="str">
        <f t="shared" si="35"/>
        <v/>
      </c>
      <c r="B6131" s="190" t="str">
        <f t="shared" si="36"/>
        <v/>
      </c>
    </row>
    <row r="6132" spans="1:2" hidden="1">
      <c r="A6132" s="190" t="str">
        <f t="shared" si="35"/>
        <v/>
      </c>
      <c r="B6132" s="190" t="str">
        <f t="shared" si="36"/>
        <v/>
      </c>
    </row>
    <row r="6133" spans="1:2" hidden="1">
      <c r="A6133" s="190" t="str">
        <f t="shared" si="35"/>
        <v/>
      </c>
      <c r="B6133" s="190" t="str">
        <f t="shared" si="36"/>
        <v/>
      </c>
    </row>
    <row r="6134" spans="1:2" hidden="1">
      <c r="A6134" s="190" t="str">
        <f t="shared" si="35"/>
        <v/>
      </c>
      <c r="B6134" s="190" t="str">
        <f t="shared" si="36"/>
        <v/>
      </c>
    </row>
    <row r="6135" spans="1:2" hidden="1">
      <c r="A6135" s="190" t="str">
        <f t="shared" si="35"/>
        <v/>
      </c>
      <c r="B6135" s="190" t="str">
        <f t="shared" si="36"/>
        <v/>
      </c>
    </row>
    <row r="6136" spans="1:2" hidden="1">
      <c r="A6136" s="190" t="str">
        <f t="shared" si="35"/>
        <v/>
      </c>
      <c r="B6136" s="190" t="str">
        <f t="shared" si="36"/>
        <v/>
      </c>
    </row>
    <row r="6137" spans="1:2" hidden="1">
      <c r="A6137" s="190" t="str">
        <f t="shared" si="35"/>
        <v/>
      </c>
      <c r="B6137" s="190" t="str">
        <f t="shared" si="36"/>
        <v/>
      </c>
    </row>
    <row r="6138" spans="1:2" hidden="1">
      <c r="A6138" s="190" t="str">
        <f t="shared" si="35"/>
        <v/>
      </c>
      <c r="B6138" s="190" t="str">
        <f t="shared" si="36"/>
        <v/>
      </c>
    </row>
    <row r="6139" spans="1:2" hidden="1">
      <c r="A6139" s="190" t="str">
        <f t="shared" si="35"/>
        <v/>
      </c>
      <c r="B6139" s="190" t="str">
        <f t="shared" si="36"/>
        <v/>
      </c>
    </row>
    <row r="6140" spans="1:2" hidden="1">
      <c r="A6140" s="190" t="str">
        <f t="shared" si="35"/>
        <v/>
      </c>
      <c r="B6140" s="190" t="str">
        <f t="shared" si="36"/>
        <v/>
      </c>
    </row>
    <row r="6141" spans="1:2" hidden="1">
      <c r="A6141" s="190" t="str">
        <f t="shared" si="35"/>
        <v/>
      </c>
      <c r="B6141" s="190" t="str">
        <f t="shared" si="36"/>
        <v/>
      </c>
    </row>
    <row r="6142" spans="1:2" hidden="1">
      <c r="A6142" s="190" t="str">
        <f t="shared" si="35"/>
        <v/>
      </c>
      <c r="B6142" s="190" t="str">
        <f t="shared" si="36"/>
        <v/>
      </c>
    </row>
    <row r="6143" spans="1:2" hidden="1">
      <c r="A6143" s="190" t="str">
        <f t="shared" ref="A6143:A6206" si="37">HYPERLINK("http://tw.stock.yahoo.com/q/ta?s=","")</f>
        <v/>
      </c>
      <c r="B6143" s="190" t="str">
        <f t="shared" si="36"/>
        <v/>
      </c>
    </row>
    <row r="6144" spans="1:2" hidden="1">
      <c r="A6144" s="190" t="str">
        <f t="shared" si="37"/>
        <v/>
      </c>
      <c r="B6144" s="190" t="str">
        <f t="shared" si="36"/>
        <v/>
      </c>
    </row>
    <row r="6145" spans="1:2" hidden="1">
      <c r="A6145" s="190" t="str">
        <f t="shared" si="37"/>
        <v/>
      </c>
      <c r="B6145" s="190" t="str">
        <f t="shared" si="36"/>
        <v/>
      </c>
    </row>
    <row r="6146" spans="1:2" hidden="1">
      <c r="A6146" s="190" t="str">
        <f t="shared" si="37"/>
        <v/>
      </c>
      <c r="B6146" s="190" t="str">
        <f t="shared" si="36"/>
        <v/>
      </c>
    </row>
    <row r="6147" spans="1:2" hidden="1">
      <c r="A6147" s="190" t="str">
        <f t="shared" si="37"/>
        <v/>
      </c>
      <c r="B6147" s="190" t="str">
        <f t="shared" si="36"/>
        <v/>
      </c>
    </row>
    <row r="6148" spans="1:2" hidden="1">
      <c r="A6148" s="190" t="str">
        <f t="shared" si="37"/>
        <v/>
      </c>
      <c r="B6148" s="190" t="str">
        <f t="shared" si="36"/>
        <v/>
      </c>
    </row>
    <row r="6149" spans="1:2" hidden="1">
      <c r="A6149" s="190" t="str">
        <f t="shared" si="37"/>
        <v/>
      </c>
      <c r="B6149" s="190" t="str">
        <f t="shared" si="36"/>
        <v/>
      </c>
    </row>
    <row r="6150" spans="1:2" hidden="1">
      <c r="A6150" s="190" t="str">
        <f t="shared" si="37"/>
        <v/>
      </c>
      <c r="B6150" s="190" t="str">
        <f t="shared" si="36"/>
        <v/>
      </c>
    </row>
    <row r="6151" spans="1:2" hidden="1">
      <c r="A6151" s="190" t="str">
        <f t="shared" si="37"/>
        <v/>
      </c>
      <c r="B6151" s="190" t="str">
        <f t="shared" si="36"/>
        <v/>
      </c>
    </row>
    <row r="6152" spans="1:2" hidden="1">
      <c r="A6152" s="190" t="str">
        <f t="shared" si="37"/>
        <v/>
      </c>
      <c r="B6152" s="190" t="str">
        <f t="shared" si="36"/>
        <v/>
      </c>
    </row>
    <row r="6153" spans="1:2" hidden="1">
      <c r="A6153" s="190" t="str">
        <f t="shared" si="37"/>
        <v/>
      </c>
      <c r="B6153" s="190" t="str">
        <f t="shared" si="36"/>
        <v/>
      </c>
    </row>
    <row r="6154" spans="1:2" hidden="1">
      <c r="A6154" s="190" t="str">
        <f t="shared" si="37"/>
        <v/>
      </c>
      <c r="B6154" s="190" t="str">
        <f t="shared" si="36"/>
        <v/>
      </c>
    </row>
    <row r="6155" spans="1:2" hidden="1">
      <c r="A6155" s="190" t="str">
        <f t="shared" si="37"/>
        <v/>
      </c>
      <c r="B6155" s="190" t="str">
        <f t="shared" si="36"/>
        <v/>
      </c>
    </row>
    <row r="6156" spans="1:2" hidden="1">
      <c r="A6156" s="190" t="str">
        <f t="shared" si="37"/>
        <v/>
      </c>
      <c r="B6156" s="190" t="str">
        <f t="shared" si="36"/>
        <v/>
      </c>
    </row>
    <row r="6157" spans="1:2" hidden="1">
      <c r="A6157" s="190" t="str">
        <f t="shared" si="37"/>
        <v/>
      </c>
      <c r="B6157" s="190" t="str">
        <f t="shared" si="36"/>
        <v/>
      </c>
    </row>
    <row r="6158" spans="1:2" hidden="1">
      <c r="A6158" s="190" t="str">
        <f t="shared" si="37"/>
        <v/>
      </c>
      <c r="B6158" s="190" t="str">
        <f t="shared" si="36"/>
        <v/>
      </c>
    </row>
    <row r="6159" spans="1:2" hidden="1">
      <c r="A6159" s="190" t="str">
        <f t="shared" si="37"/>
        <v/>
      </c>
      <c r="B6159" s="190" t="str">
        <f t="shared" si="36"/>
        <v/>
      </c>
    </row>
    <row r="6160" spans="1:2" hidden="1">
      <c r="A6160" s="190" t="str">
        <f t="shared" si="37"/>
        <v/>
      </c>
      <c r="B6160" s="190" t="str">
        <f t="shared" si="36"/>
        <v/>
      </c>
    </row>
    <row r="6161" spans="1:2" hidden="1">
      <c r="A6161" s="190" t="str">
        <f t="shared" si="37"/>
        <v/>
      </c>
      <c r="B6161" s="190" t="str">
        <f t="shared" si="36"/>
        <v/>
      </c>
    </row>
    <row r="6162" spans="1:2" hidden="1">
      <c r="A6162" s="190" t="str">
        <f t="shared" si="37"/>
        <v/>
      </c>
      <c r="B6162" s="190" t="str">
        <f t="shared" si="36"/>
        <v/>
      </c>
    </row>
    <row r="6163" spans="1:2" hidden="1">
      <c r="A6163" s="190" t="str">
        <f t="shared" si="37"/>
        <v/>
      </c>
      <c r="B6163" s="190" t="str">
        <f t="shared" si="36"/>
        <v/>
      </c>
    </row>
    <row r="6164" spans="1:2" hidden="1">
      <c r="A6164" s="190" t="str">
        <f t="shared" si="37"/>
        <v/>
      </c>
      <c r="B6164" s="190" t="str">
        <f t="shared" si="36"/>
        <v/>
      </c>
    </row>
    <row r="6165" spans="1:2" hidden="1">
      <c r="A6165" s="190" t="str">
        <f t="shared" si="37"/>
        <v/>
      </c>
      <c r="B6165" s="190" t="str">
        <f t="shared" si="36"/>
        <v/>
      </c>
    </row>
    <row r="6166" spans="1:2" hidden="1">
      <c r="A6166" s="190" t="str">
        <f t="shared" si="37"/>
        <v/>
      </c>
      <c r="B6166" s="190" t="str">
        <f t="shared" si="36"/>
        <v/>
      </c>
    </row>
    <row r="6167" spans="1:2" hidden="1">
      <c r="A6167" s="190" t="str">
        <f t="shared" si="37"/>
        <v/>
      </c>
      <c r="B6167" s="190" t="str">
        <f t="shared" si="36"/>
        <v/>
      </c>
    </row>
    <row r="6168" spans="1:2" hidden="1">
      <c r="A6168" s="190" t="str">
        <f t="shared" si="37"/>
        <v/>
      </c>
      <c r="B6168" s="190" t="str">
        <f t="shared" si="36"/>
        <v/>
      </c>
    </row>
    <row r="6169" spans="1:2" hidden="1">
      <c r="A6169" s="190" t="str">
        <f t="shared" si="37"/>
        <v/>
      </c>
      <c r="B6169" s="190" t="str">
        <f t="shared" si="36"/>
        <v/>
      </c>
    </row>
    <row r="6170" spans="1:2" hidden="1">
      <c r="A6170" s="190" t="str">
        <f t="shared" si="37"/>
        <v/>
      </c>
      <c r="B6170" s="190" t="str">
        <f t="shared" si="36"/>
        <v/>
      </c>
    </row>
    <row r="6171" spans="1:2" hidden="1">
      <c r="A6171" s="190" t="str">
        <f t="shared" si="37"/>
        <v/>
      </c>
      <c r="B6171" s="190" t="str">
        <f t="shared" ref="B6171:B6234" si="38">HYPERLINK("http://tw.stock.yahoo.com/d/s/earning_.html","")</f>
        <v/>
      </c>
    </row>
    <row r="6172" spans="1:2" hidden="1">
      <c r="A6172" s="190" t="str">
        <f t="shared" si="37"/>
        <v/>
      </c>
      <c r="B6172" s="190" t="str">
        <f t="shared" si="38"/>
        <v/>
      </c>
    </row>
    <row r="6173" spans="1:2" hidden="1">
      <c r="A6173" s="190" t="str">
        <f t="shared" si="37"/>
        <v/>
      </c>
      <c r="B6173" s="190" t="str">
        <f t="shared" si="38"/>
        <v/>
      </c>
    </row>
    <row r="6174" spans="1:2" hidden="1">
      <c r="A6174" s="190" t="str">
        <f t="shared" si="37"/>
        <v/>
      </c>
      <c r="B6174" s="190" t="str">
        <f t="shared" si="38"/>
        <v/>
      </c>
    </row>
    <row r="6175" spans="1:2" hidden="1">
      <c r="A6175" s="190" t="str">
        <f t="shared" si="37"/>
        <v/>
      </c>
      <c r="B6175" s="190" t="str">
        <f t="shared" si="38"/>
        <v/>
      </c>
    </row>
    <row r="6176" spans="1:2" hidden="1">
      <c r="A6176" s="190" t="str">
        <f t="shared" si="37"/>
        <v/>
      </c>
      <c r="B6176" s="190" t="str">
        <f t="shared" si="38"/>
        <v/>
      </c>
    </row>
    <row r="6177" spans="1:2" hidden="1">
      <c r="A6177" s="190" t="str">
        <f t="shared" si="37"/>
        <v/>
      </c>
      <c r="B6177" s="190" t="str">
        <f t="shared" si="38"/>
        <v/>
      </c>
    </row>
    <row r="6178" spans="1:2" hidden="1">
      <c r="A6178" s="190" t="str">
        <f t="shared" si="37"/>
        <v/>
      </c>
      <c r="B6178" s="190" t="str">
        <f t="shared" si="38"/>
        <v/>
      </c>
    </row>
    <row r="6179" spans="1:2" hidden="1">
      <c r="A6179" s="190" t="str">
        <f t="shared" si="37"/>
        <v/>
      </c>
      <c r="B6179" s="190" t="str">
        <f t="shared" si="38"/>
        <v/>
      </c>
    </row>
    <row r="6180" spans="1:2" hidden="1">
      <c r="A6180" s="190" t="str">
        <f t="shared" si="37"/>
        <v/>
      </c>
      <c r="B6180" s="190" t="str">
        <f t="shared" si="38"/>
        <v/>
      </c>
    </row>
    <row r="6181" spans="1:2" hidden="1">
      <c r="A6181" s="190" t="str">
        <f t="shared" si="37"/>
        <v/>
      </c>
      <c r="B6181" s="190" t="str">
        <f t="shared" si="38"/>
        <v/>
      </c>
    </row>
    <row r="6182" spans="1:2" hidden="1">
      <c r="A6182" s="190" t="str">
        <f t="shared" si="37"/>
        <v/>
      </c>
      <c r="B6182" s="190" t="str">
        <f t="shared" si="38"/>
        <v/>
      </c>
    </row>
    <row r="6183" spans="1:2" hidden="1">
      <c r="A6183" s="190" t="str">
        <f t="shared" si="37"/>
        <v/>
      </c>
      <c r="B6183" s="190" t="str">
        <f t="shared" si="38"/>
        <v/>
      </c>
    </row>
    <row r="6184" spans="1:2" hidden="1">
      <c r="A6184" s="190" t="str">
        <f t="shared" si="37"/>
        <v/>
      </c>
      <c r="B6184" s="190" t="str">
        <f t="shared" si="38"/>
        <v/>
      </c>
    </row>
    <row r="6185" spans="1:2" hidden="1">
      <c r="A6185" s="190" t="str">
        <f t="shared" si="37"/>
        <v/>
      </c>
      <c r="B6185" s="190" t="str">
        <f t="shared" si="38"/>
        <v/>
      </c>
    </row>
    <row r="6186" spans="1:2" hidden="1">
      <c r="A6186" s="190" t="str">
        <f t="shared" si="37"/>
        <v/>
      </c>
      <c r="B6186" s="190" t="str">
        <f t="shared" si="38"/>
        <v/>
      </c>
    </row>
    <row r="6187" spans="1:2" hidden="1">
      <c r="A6187" s="190" t="str">
        <f t="shared" si="37"/>
        <v/>
      </c>
      <c r="B6187" s="190" t="str">
        <f t="shared" si="38"/>
        <v/>
      </c>
    </row>
    <row r="6188" spans="1:2" hidden="1">
      <c r="A6188" s="190" t="str">
        <f t="shared" si="37"/>
        <v/>
      </c>
      <c r="B6188" s="190" t="str">
        <f t="shared" si="38"/>
        <v/>
      </c>
    </row>
    <row r="6189" spans="1:2" hidden="1">
      <c r="A6189" s="190" t="str">
        <f t="shared" si="37"/>
        <v/>
      </c>
      <c r="B6189" s="190" t="str">
        <f t="shared" si="38"/>
        <v/>
      </c>
    </row>
    <row r="6190" spans="1:2" hidden="1">
      <c r="A6190" s="190" t="str">
        <f t="shared" si="37"/>
        <v/>
      </c>
      <c r="B6190" s="190" t="str">
        <f t="shared" si="38"/>
        <v/>
      </c>
    </row>
    <row r="6191" spans="1:2" hidden="1">
      <c r="A6191" s="190" t="str">
        <f t="shared" si="37"/>
        <v/>
      </c>
      <c r="B6191" s="190" t="str">
        <f t="shared" si="38"/>
        <v/>
      </c>
    </row>
    <row r="6192" spans="1:2" hidden="1">
      <c r="A6192" s="190" t="str">
        <f t="shared" si="37"/>
        <v/>
      </c>
      <c r="B6192" s="190" t="str">
        <f t="shared" si="38"/>
        <v/>
      </c>
    </row>
    <row r="6193" spans="1:2" hidden="1">
      <c r="A6193" s="190" t="str">
        <f t="shared" si="37"/>
        <v/>
      </c>
      <c r="B6193" s="190" t="str">
        <f t="shared" si="38"/>
        <v/>
      </c>
    </row>
    <row r="6194" spans="1:2" hidden="1">
      <c r="A6194" s="190" t="str">
        <f t="shared" si="37"/>
        <v/>
      </c>
      <c r="B6194" s="190" t="str">
        <f t="shared" si="38"/>
        <v/>
      </c>
    </row>
    <row r="6195" spans="1:2" hidden="1">
      <c r="A6195" s="190" t="str">
        <f t="shared" si="37"/>
        <v/>
      </c>
      <c r="B6195" s="190" t="str">
        <f t="shared" si="38"/>
        <v/>
      </c>
    </row>
    <row r="6196" spans="1:2" hidden="1">
      <c r="A6196" s="190" t="str">
        <f t="shared" si="37"/>
        <v/>
      </c>
      <c r="B6196" s="190" t="str">
        <f t="shared" si="38"/>
        <v/>
      </c>
    </row>
    <row r="6197" spans="1:2" hidden="1">
      <c r="A6197" s="190" t="str">
        <f t="shared" si="37"/>
        <v/>
      </c>
      <c r="B6197" s="190" t="str">
        <f t="shared" si="38"/>
        <v/>
      </c>
    </row>
    <row r="6198" spans="1:2" hidden="1">
      <c r="A6198" s="190" t="str">
        <f t="shared" si="37"/>
        <v/>
      </c>
      <c r="B6198" s="190" t="str">
        <f t="shared" si="38"/>
        <v/>
      </c>
    </row>
    <row r="6199" spans="1:2" hidden="1">
      <c r="A6199" s="190" t="str">
        <f t="shared" si="37"/>
        <v/>
      </c>
      <c r="B6199" s="190" t="str">
        <f t="shared" si="38"/>
        <v/>
      </c>
    </row>
    <row r="6200" spans="1:2" hidden="1">
      <c r="A6200" s="190" t="str">
        <f t="shared" si="37"/>
        <v/>
      </c>
      <c r="B6200" s="190" t="str">
        <f t="shared" si="38"/>
        <v/>
      </c>
    </row>
    <row r="6201" spans="1:2" hidden="1">
      <c r="A6201" s="190" t="str">
        <f t="shared" si="37"/>
        <v/>
      </c>
      <c r="B6201" s="190" t="str">
        <f t="shared" si="38"/>
        <v/>
      </c>
    </row>
    <row r="6202" spans="1:2" hidden="1">
      <c r="A6202" s="190" t="str">
        <f t="shared" si="37"/>
        <v/>
      </c>
      <c r="B6202" s="190" t="str">
        <f t="shared" si="38"/>
        <v/>
      </c>
    </row>
    <row r="6203" spans="1:2" hidden="1">
      <c r="A6203" s="190" t="str">
        <f t="shared" si="37"/>
        <v/>
      </c>
      <c r="B6203" s="190" t="str">
        <f t="shared" si="38"/>
        <v/>
      </c>
    </row>
    <row r="6204" spans="1:2" hidden="1">
      <c r="A6204" s="190" t="str">
        <f t="shared" si="37"/>
        <v/>
      </c>
      <c r="B6204" s="190" t="str">
        <f t="shared" si="38"/>
        <v/>
      </c>
    </row>
    <row r="6205" spans="1:2" hidden="1">
      <c r="A6205" s="190" t="str">
        <f t="shared" si="37"/>
        <v/>
      </c>
      <c r="B6205" s="190" t="str">
        <f t="shared" si="38"/>
        <v/>
      </c>
    </row>
    <row r="6206" spans="1:2" hidden="1">
      <c r="A6206" s="190" t="str">
        <f t="shared" si="37"/>
        <v/>
      </c>
      <c r="B6206" s="190" t="str">
        <f t="shared" si="38"/>
        <v/>
      </c>
    </row>
    <row r="6207" spans="1:2" hidden="1">
      <c r="A6207" s="190" t="str">
        <f t="shared" ref="A6207:A6270" si="39">HYPERLINK("http://tw.stock.yahoo.com/q/ta?s=","")</f>
        <v/>
      </c>
      <c r="B6207" s="190" t="str">
        <f t="shared" si="38"/>
        <v/>
      </c>
    </row>
    <row r="6208" spans="1:2" hidden="1">
      <c r="A6208" s="190" t="str">
        <f t="shared" si="39"/>
        <v/>
      </c>
      <c r="B6208" s="190" t="str">
        <f t="shared" si="38"/>
        <v/>
      </c>
    </row>
    <row r="6209" spans="1:2" hidden="1">
      <c r="A6209" s="190" t="str">
        <f t="shared" si="39"/>
        <v/>
      </c>
      <c r="B6209" s="190" t="str">
        <f t="shared" si="38"/>
        <v/>
      </c>
    </row>
    <row r="6210" spans="1:2" hidden="1">
      <c r="A6210" s="190" t="str">
        <f t="shared" si="39"/>
        <v/>
      </c>
      <c r="B6210" s="190" t="str">
        <f t="shared" si="38"/>
        <v/>
      </c>
    </row>
    <row r="6211" spans="1:2" hidden="1">
      <c r="A6211" s="190" t="str">
        <f t="shared" si="39"/>
        <v/>
      </c>
      <c r="B6211" s="190" t="str">
        <f t="shared" si="38"/>
        <v/>
      </c>
    </row>
    <row r="6212" spans="1:2" hidden="1">
      <c r="A6212" s="190" t="str">
        <f t="shared" si="39"/>
        <v/>
      </c>
      <c r="B6212" s="190" t="str">
        <f t="shared" si="38"/>
        <v/>
      </c>
    </row>
    <row r="6213" spans="1:2" hidden="1">
      <c r="A6213" s="190" t="str">
        <f t="shared" si="39"/>
        <v/>
      </c>
      <c r="B6213" s="190" t="str">
        <f t="shared" si="38"/>
        <v/>
      </c>
    </row>
    <row r="6214" spans="1:2" hidden="1">
      <c r="A6214" s="190" t="str">
        <f t="shared" si="39"/>
        <v/>
      </c>
      <c r="B6214" s="190" t="str">
        <f t="shared" si="38"/>
        <v/>
      </c>
    </row>
    <row r="6215" spans="1:2" hidden="1">
      <c r="A6215" s="190" t="str">
        <f t="shared" si="39"/>
        <v/>
      </c>
      <c r="B6215" s="190" t="str">
        <f t="shared" si="38"/>
        <v/>
      </c>
    </row>
    <row r="6216" spans="1:2" hidden="1">
      <c r="A6216" s="190" t="str">
        <f t="shared" si="39"/>
        <v/>
      </c>
      <c r="B6216" s="190" t="str">
        <f t="shared" si="38"/>
        <v/>
      </c>
    </row>
    <row r="6217" spans="1:2" hidden="1">
      <c r="A6217" s="190" t="str">
        <f t="shared" si="39"/>
        <v/>
      </c>
      <c r="B6217" s="190" t="str">
        <f t="shared" si="38"/>
        <v/>
      </c>
    </row>
    <row r="6218" spans="1:2" hidden="1">
      <c r="A6218" s="190" t="str">
        <f t="shared" si="39"/>
        <v/>
      </c>
      <c r="B6218" s="190" t="str">
        <f t="shared" si="38"/>
        <v/>
      </c>
    </row>
    <row r="6219" spans="1:2" hidden="1">
      <c r="A6219" s="190" t="str">
        <f t="shared" si="39"/>
        <v/>
      </c>
      <c r="B6219" s="190" t="str">
        <f t="shared" si="38"/>
        <v/>
      </c>
    </row>
    <row r="6220" spans="1:2" hidden="1">
      <c r="A6220" s="190" t="str">
        <f t="shared" si="39"/>
        <v/>
      </c>
      <c r="B6220" s="190" t="str">
        <f t="shared" si="38"/>
        <v/>
      </c>
    </row>
    <row r="6221" spans="1:2" hidden="1">
      <c r="A6221" s="190" t="str">
        <f t="shared" si="39"/>
        <v/>
      </c>
      <c r="B6221" s="190" t="str">
        <f t="shared" si="38"/>
        <v/>
      </c>
    </row>
    <row r="6222" spans="1:2" hidden="1">
      <c r="A6222" s="190" t="str">
        <f t="shared" si="39"/>
        <v/>
      </c>
      <c r="B6222" s="190" t="str">
        <f t="shared" si="38"/>
        <v/>
      </c>
    </row>
    <row r="6223" spans="1:2" hidden="1">
      <c r="A6223" s="190" t="str">
        <f t="shared" si="39"/>
        <v/>
      </c>
      <c r="B6223" s="190" t="str">
        <f t="shared" si="38"/>
        <v/>
      </c>
    </row>
    <row r="6224" spans="1:2" hidden="1">
      <c r="A6224" s="190" t="str">
        <f t="shared" si="39"/>
        <v/>
      </c>
      <c r="B6224" s="190" t="str">
        <f t="shared" si="38"/>
        <v/>
      </c>
    </row>
    <row r="6225" spans="1:2" hidden="1">
      <c r="A6225" s="190" t="str">
        <f t="shared" si="39"/>
        <v/>
      </c>
      <c r="B6225" s="190" t="str">
        <f t="shared" si="38"/>
        <v/>
      </c>
    </row>
    <row r="6226" spans="1:2" hidden="1">
      <c r="A6226" s="190" t="str">
        <f t="shared" si="39"/>
        <v/>
      </c>
      <c r="B6226" s="190" t="str">
        <f t="shared" si="38"/>
        <v/>
      </c>
    </row>
    <row r="6227" spans="1:2" hidden="1">
      <c r="A6227" s="190" t="str">
        <f t="shared" si="39"/>
        <v/>
      </c>
      <c r="B6227" s="190" t="str">
        <f t="shared" si="38"/>
        <v/>
      </c>
    </row>
    <row r="6228" spans="1:2" hidden="1">
      <c r="A6228" s="190" t="str">
        <f t="shared" si="39"/>
        <v/>
      </c>
      <c r="B6228" s="190" t="str">
        <f t="shared" si="38"/>
        <v/>
      </c>
    </row>
    <row r="6229" spans="1:2" hidden="1">
      <c r="A6229" s="190" t="str">
        <f t="shared" si="39"/>
        <v/>
      </c>
      <c r="B6229" s="190" t="str">
        <f t="shared" si="38"/>
        <v/>
      </c>
    </row>
    <row r="6230" spans="1:2" hidden="1">
      <c r="A6230" s="190" t="str">
        <f t="shared" si="39"/>
        <v/>
      </c>
      <c r="B6230" s="190" t="str">
        <f t="shared" si="38"/>
        <v/>
      </c>
    </row>
    <row r="6231" spans="1:2" hidden="1">
      <c r="A6231" s="190" t="str">
        <f t="shared" si="39"/>
        <v/>
      </c>
      <c r="B6231" s="190" t="str">
        <f t="shared" si="38"/>
        <v/>
      </c>
    </row>
    <row r="6232" spans="1:2" hidden="1">
      <c r="A6232" s="190" t="str">
        <f t="shared" si="39"/>
        <v/>
      </c>
      <c r="B6232" s="190" t="str">
        <f t="shared" si="38"/>
        <v/>
      </c>
    </row>
    <row r="6233" spans="1:2" hidden="1">
      <c r="A6233" s="190" t="str">
        <f t="shared" si="39"/>
        <v/>
      </c>
      <c r="B6233" s="190" t="str">
        <f t="shared" si="38"/>
        <v/>
      </c>
    </row>
    <row r="6234" spans="1:2" hidden="1">
      <c r="A6234" s="190" t="str">
        <f t="shared" si="39"/>
        <v/>
      </c>
      <c r="B6234" s="190" t="str">
        <f t="shared" si="38"/>
        <v/>
      </c>
    </row>
    <row r="6235" spans="1:2" hidden="1">
      <c r="A6235" s="190" t="str">
        <f t="shared" si="39"/>
        <v/>
      </c>
      <c r="B6235" s="190" t="str">
        <f t="shared" ref="B6235:B6298" si="40">HYPERLINK("http://tw.stock.yahoo.com/d/s/earning_.html","")</f>
        <v/>
      </c>
    </row>
    <row r="6236" spans="1:2" hidden="1">
      <c r="A6236" s="190" t="str">
        <f t="shared" si="39"/>
        <v/>
      </c>
      <c r="B6236" s="190" t="str">
        <f t="shared" si="40"/>
        <v/>
      </c>
    </row>
    <row r="6237" spans="1:2" hidden="1">
      <c r="A6237" s="190" t="str">
        <f t="shared" si="39"/>
        <v/>
      </c>
      <c r="B6237" s="190" t="str">
        <f t="shared" si="40"/>
        <v/>
      </c>
    </row>
    <row r="6238" spans="1:2" hidden="1">
      <c r="A6238" s="190" t="str">
        <f t="shared" si="39"/>
        <v/>
      </c>
      <c r="B6238" s="190" t="str">
        <f t="shared" si="40"/>
        <v/>
      </c>
    </row>
    <row r="6239" spans="1:2" hidden="1">
      <c r="A6239" s="190" t="str">
        <f t="shared" si="39"/>
        <v/>
      </c>
      <c r="B6239" s="190" t="str">
        <f t="shared" si="40"/>
        <v/>
      </c>
    </row>
    <row r="6240" spans="1:2" hidden="1">
      <c r="A6240" s="190" t="str">
        <f t="shared" si="39"/>
        <v/>
      </c>
      <c r="B6240" s="190" t="str">
        <f t="shared" si="40"/>
        <v/>
      </c>
    </row>
    <row r="6241" spans="1:2" hidden="1">
      <c r="A6241" s="190" t="str">
        <f t="shared" si="39"/>
        <v/>
      </c>
      <c r="B6241" s="190" t="str">
        <f t="shared" si="40"/>
        <v/>
      </c>
    </row>
    <row r="6242" spans="1:2" hidden="1">
      <c r="A6242" s="190" t="str">
        <f t="shared" si="39"/>
        <v/>
      </c>
      <c r="B6242" s="190" t="str">
        <f t="shared" si="40"/>
        <v/>
      </c>
    </row>
    <row r="6243" spans="1:2" hidden="1">
      <c r="A6243" s="190" t="str">
        <f t="shared" si="39"/>
        <v/>
      </c>
      <c r="B6243" s="190" t="str">
        <f t="shared" si="40"/>
        <v/>
      </c>
    </row>
    <row r="6244" spans="1:2" hidden="1">
      <c r="A6244" s="190" t="str">
        <f t="shared" si="39"/>
        <v/>
      </c>
      <c r="B6244" s="190" t="str">
        <f t="shared" si="40"/>
        <v/>
      </c>
    </row>
    <row r="6245" spans="1:2" hidden="1">
      <c r="A6245" s="190" t="str">
        <f t="shared" si="39"/>
        <v/>
      </c>
      <c r="B6245" s="190" t="str">
        <f t="shared" si="40"/>
        <v/>
      </c>
    </row>
    <row r="6246" spans="1:2" hidden="1">
      <c r="A6246" s="190" t="str">
        <f t="shared" si="39"/>
        <v/>
      </c>
      <c r="B6246" s="190" t="str">
        <f t="shared" si="40"/>
        <v/>
      </c>
    </row>
    <row r="6247" spans="1:2" hidden="1">
      <c r="A6247" s="190" t="str">
        <f t="shared" si="39"/>
        <v/>
      </c>
      <c r="B6247" s="190" t="str">
        <f t="shared" si="40"/>
        <v/>
      </c>
    </row>
    <row r="6248" spans="1:2" hidden="1">
      <c r="A6248" s="190" t="str">
        <f t="shared" si="39"/>
        <v/>
      </c>
      <c r="B6248" s="190" t="str">
        <f t="shared" si="40"/>
        <v/>
      </c>
    </row>
    <row r="6249" spans="1:2" hidden="1">
      <c r="A6249" s="190" t="str">
        <f t="shared" si="39"/>
        <v/>
      </c>
      <c r="B6249" s="190" t="str">
        <f t="shared" si="40"/>
        <v/>
      </c>
    </row>
    <row r="6250" spans="1:2" hidden="1">
      <c r="A6250" s="190" t="str">
        <f t="shared" si="39"/>
        <v/>
      </c>
      <c r="B6250" s="190" t="str">
        <f t="shared" si="40"/>
        <v/>
      </c>
    </row>
    <row r="6251" spans="1:2" hidden="1">
      <c r="A6251" s="190" t="str">
        <f t="shared" si="39"/>
        <v/>
      </c>
      <c r="B6251" s="190" t="str">
        <f t="shared" si="40"/>
        <v/>
      </c>
    </row>
    <row r="6252" spans="1:2" hidden="1">
      <c r="A6252" s="190" t="str">
        <f t="shared" si="39"/>
        <v/>
      </c>
      <c r="B6252" s="190" t="str">
        <f t="shared" si="40"/>
        <v/>
      </c>
    </row>
    <row r="6253" spans="1:2" hidden="1">
      <c r="A6253" s="190" t="str">
        <f t="shared" si="39"/>
        <v/>
      </c>
      <c r="B6253" s="190" t="str">
        <f t="shared" si="40"/>
        <v/>
      </c>
    </row>
    <row r="6254" spans="1:2" hidden="1">
      <c r="A6254" s="190" t="str">
        <f t="shared" si="39"/>
        <v/>
      </c>
      <c r="B6254" s="190" t="str">
        <f t="shared" si="40"/>
        <v/>
      </c>
    </row>
    <row r="6255" spans="1:2" hidden="1">
      <c r="A6255" s="190" t="str">
        <f t="shared" si="39"/>
        <v/>
      </c>
      <c r="B6255" s="190" t="str">
        <f t="shared" si="40"/>
        <v/>
      </c>
    </row>
    <row r="6256" spans="1:2" hidden="1">
      <c r="A6256" s="190" t="str">
        <f t="shared" si="39"/>
        <v/>
      </c>
      <c r="B6256" s="190" t="str">
        <f t="shared" si="40"/>
        <v/>
      </c>
    </row>
    <row r="6257" spans="1:2" hidden="1">
      <c r="A6257" s="190" t="str">
        <f t="shared" si="39"/>
        <v/>
      </c>
      <c r="B6257" s="190" t="str">
        <f t="shared" si="40"/>
        <v/>
      </c>
    </row>
    <row r="6258" spans="1:2" hidden="1">
      <c r="A6258" s="190" t="str">
        <f t="shared" si="39"/>
        <v/>
      </c>
      <c r="B6258" s="190" t="str">
        <f t="shared" si="40"/>
        <v/>
      </c>
    </row>
    <row r="6259" spans="1:2" hidden="1">
      <c r="A6259" s="190" t="str">
        <f t="shared" si="39"/>
        <v/>
      </c>
      <c r="B6259" s="190" t="str">
        <f t="shared" si="40"/>
        <v/>
      </c>
    </row>
    <row r="6260" spans="1:2" hidden="1">
      <c r="A6260" s="190" t="str">
        <f t="shared" si="39"/>
        <v/>
      </c>
      <c r="B6260" s="190" t="str">
        <f t="shared" si="40"/>
        <v/>
      </c>
    </row>
    <row r="6261" spans="1:2" hidden="1">
      <c r="A6261" s="190" t="str">
        <f t="shared" si="39"/>
        <v/>
      </c>
      <c r="B6261" s="190" t="str">
        <f t="shared" si="40"/>
        <v/>
      </c>
    </row>
    <row r="6262" spans="1:2" hidden="1">
      <c r="A6262" s="190" t="str">
        <f t="shared" si="39"/>
        <v/>
      </c>
      <c r="B6262" s="190" t="str">
        <f t="shared" si="40"/>
        <v/>
      </c>
    </row>
    <row r="6263" spans="1:2" hidden="1">
      <c r="A6263" s="190" t="str">
        <f t="shared" si="39"/>
        <v/>
      </c>
      <c r="B6263" s="190" t="str">
        <f t="shared" si="40"/>
        <v/>
      </c>
    </row>
    <row r="6264" spans="1:2" hidden="1">
      <c r="A6264" s="190" t="str">
        <f t="shared" si="39"/>
        <v/>
      </c>
      <c r="B6264" s="190" t="str">
        <f t="shared" si="40"/>
        <v/>
      </c>
    </row>
    <row r="6265" spans="1:2" hidden="1">
      <c r="A6265" s="190" t="str">
        <f t="shared" si="39"/>
        <v/>
      </c>
      <c r="B6265" s="190" t="str">
        <f t="shared" si="40"/>
        <v/>
      </c>
    </row>
    <row r="6266" spans="1:2" hidden="1">
      <c r="A6266" s="190" t="str">
        <f t="shared" si="39"/>
        <v/>
      </c>
      <c r="B6266" s="190" t="str">
        <f t="shared" si="40"/>
        <v/>
      </c>
    </row>
    <row r="6267" spans="1:2" hidden="1">
      <c r="A6267" s="190" t="str">
        <f t="shared" si="39"/>
        <v/>
      </c>
      <c r="B6267" s="190" t="str">
        <f t="shared" si="40"/>
        <v/>
      </c>
    </row>
    <row r="6268" spans="1:2" hidden="1">
      <c r="A6268" s="190" t="str">
        <f t="shared" si="39"/>
        <v/>
      </c>
      <c r="B6268" s="190" t="str">
        <f t="shared" si="40"/>
        <v/>
      </c>
    </row>
    <row r="6269" spans="1:2" hidden="1">
      <c r="A6269" s="190" t="str">
        <f t="shared" si="39"/>
        <v/>
      </c>
      <c r="B6269" s="190" t="str">
        <f t="shared" si="40"/>
        <v/>
      </c>
    </row>
    <row r="6270" spans="1:2" hidden="1">
      <c r="A6270" s="190" t="str">
        <f t="shared" si="39"/>
        <v/>
      </c>
      <c r="B6270" s="190" t="str">
        <f t="shared" si="40"/>
        <v/>
      </c>
    </row>
    <row r="6271" spans="1:2" hidden="1">
      <c r="A6271" s="190" t="str">
        <f t="shared" ref="A6271:A6334" si="41">HYPERLINK("http://tw.stock.yahoo.com/q/ta?s=","")</f>
        <v/>
      </c>
      <c r="B6271" s="190" t="str">
        <f t="shared" si="40"/>
        <v/>
      </c>
    </row>
    <row r="6272" spans="1:2" hidden="1">
      <c r="A6272" s="190" t="str">
        <f t="shared" si="41"/>
        <v/>
      </c>
      <c r="B6272" s="190" t="str">
        <f t="shared" si="40"/>
        <v/>
      </c>
    </row>
    <row r="6273" spans="1:2" hidden="1">
      <c r="A6273" s="190" t="str">
        <f t="shared" si="41"/>
        <v/>
      </c>
      <c r="B6273" s="190" t="str">
        <f t="shared" si="40"/>
        <v/>
      </c>
    </row>
    <row r="6274" spans="1:2" hidden="1">
      <c r="A6274" s="190" t="str">
        <f t="shared" si="41"/>
        <v/>
      </c>
      <c r="B6274" s="190" t="str">
        <f t="shared" si="40"/>
        <v/>
      </c>
    </row>
    <row r="6275" spans="1:2" hidden="1">
      <c r="A6275" s="190" t="str">
        <f t="shared" si="41"/>
        <v/>
      </c>
      <c r="B6275" s="190" t="str">
        <f t="shared" si="40"/>
        <v/>
      </c>
    </row>
    <row r="6276" spans="1:2" hidden="1">
      <c r="A6276" s="190" t="str">
        <f t="shared" si="41"/>
        <v/>
      </c>
      <c r="B6276" s="190" t="str">
        <f t="shared" si="40"/>
        <v/>
      </c>
    </row>
    <row r="6277" spans="1:2" hidden="1">
      <c r="A6277" s="190" t="str">
        <f t="shared" si="41"/>
        <v/>
      </c>
      <c r="B6277" s="190" t="str">
        <f t="shared" si="40"/>
        <v/>
      </c>
    </row>
    <row r="6278" spans="1:2" hidden="1">
      <c r="A6278" s="190" t="str">
        <f t="shared" si="41"/>
        <v/>
      </c>
      <c r="B6278" s="190" t="str">
        <f t="shared" si="40"/>
        <v/>
      </c>
    </row>
    <row r="6279" spans="1:2" hidden="1">
      <c r="A6279" s="190" t="str">
        <f t="shared" si="41"/>
        <v/>
      </c>
      <c r="B6279" s="190" t="str">
        <f t="shared" si="40"/>
        <v/>
      </c>
    </row>
    <row r="6280" spans="1:2" hidden="1">
      <c r="A6280" s="190" t="str">
        <f t="shared" si="41"/>
        <v/>
      </c>
      <c r="B6280" s="190" t="str">
        <f t="shared" si="40"/>
        <v/>
      </c>
    </row>
    <row r="6281" spans="1:2" hidden="1">
      <c r="A6281" s="190" t="str">
        <f t="shared" si="41"/>
        <v/>
      </c>
      <c r="B6281" s="190" t="str">
        <f t="shared" si="40"/>
        <v/>
      </c>
    </row>
    <row r="6282" spans="1:2" hidden="1">
      <c r="A6282" s="190" t="str">
        <f t="shared" si="41"/>
        <v/>
      </c>
      <c r="B6282" s="190" t="str">
        <f t="shared" si="40"/>
        <v/>
      </c>
    </row>
    <row r="6283" spans="1:2" hidden="1">
      <c r="A6283" s="190" t="str">
        <f t="shared" si="41"/>
        <v/>
      </c>
      <c r="B6283" s="190" t="str">
        <f t="shared" si="40"/>
        <v/>
      </c>
    </row>
    <row r="6284" spans="1:2" hidden="1">
      <c r="A6284" s="190" t="str">
        <f t="shared" si="41"/>
        <v/>
      </c>
      <c r="B6284" s="190" t="str">
        <f t="shared" si="40"/>
        <v/>
      </c>
    </row>
    <row r="6285" spans="1:2" hidden="1">
      <c r="A6285" s="190" t="str">
        <f t="shared" si="41"/>
        <v/>
      </c>
      <c r="B6285" s="190" t="str">
        <f t="shared" si="40"/>
        <v/>
      </c>
    </row>
    <row r="6286" spans="1:2" hidden="1">
      <c r="A6286" s="190" t="str">
        <f t="shared" si="41"/>
        <v/>
      </c>
      <c r="B6286" s="190" t="str">
        <f t="shared" si="40"/>
        <v/>
      </c>
    </row>
    <row r="6287" spans="1:2" hidden="1">
      <c r="A6287" s="190" t="str">
        <f t="shared" si="41"/>
        <v/>
      </c>
      <c r="B6287" s="190" t="str">
        <f t="shared" si="40"/>
        <v/>
      </c>
    </row>
    <row r="6288" spans="1:2" hidden="1">
      <c r="A6288" s="190" t="str">
        <f t="shared" si="41"/>
        <v/>
      </c>
      <c r="B6288" s="190" t="str">
        <f t="shared" si="40"/>
        <v/>
      </c>
    </row>
    <row r="6289" spans="1:2" hidden="1">
      <c r="A6289" s="190" t="str">
        <f t="shared" si="41"/>
        <v/>
      </c>
      <c r="B6289" s="190" t="str">
        <f t="shared" si="40"/>
        <v/>
      </c>
    </row>
    <row r="6290" spans="1:2" hidden="1">
      <c r="A6290" s="190" t="str">
        <f t="shared" si="41"/>
        <v/>
      </c>
      <c r="B6290" s="190" t="str">
        <f t="shared" si="40"/>
        <v/>
      </c>
    </row>
    <row r="6291" spans="1:2" hidden="1">
      <c r="A6291" s="190" t="str">
        <f t="shared" si="41"/>
        <v/>
      </c>
      <c r="B6291" s="190" t="str">
        <f t="shared" si="40"/>
        <v/>
      </c>
    </row>
    <row r="6292" spans="1:2" hidden="1">
      <c r="A6292" s="190" t="str">
        <f t="shared" si="41"/>
        <v/>
      </c>
      <c r="B6292" s="190" t="str">
        <f t="shared" si="40"/>
        <v/>
      </c>
    </row>
    <row r="6293" spans="1:2" hidden="1">
      <c r="A6293" s="190" t="str">
        <f t="shared" si="41"/>
        <v/>
      </c>
      <c r="B6293" s="190" t="str">
        <f t="shared" si="40"/>
        <v/>
      </c>
    </row>
    <row r="6294" spans="1:2" hidden="1">
      <c r="A6294" s="190" t="str">
        <f t="shared" si="41"/>
        <v/>
      </c>
      <c r="B6294" s="190" t="str">
        <f t="shared" si="40"/>
        <v/>
      </c>
    </row>
    <row r="6295" spans="1:2" hidden="1">
      <c r="A6295" s="190" t="str">
        <f t="shared" si="41"/>
        <v/>
      </c>
      <c r="B6295" s="190" t="str">
        <f t="shared" si="40"/>
        <v/>
      </c>
    </row>
    <row r="6296" spans="1:2" hidden="1">
      <c r="A6296" s="190" t="str">
        <f t="shared" si="41"/>
        <v/>
      </c>
      <c r="B6296" s="190" t="str">
        <f t="shared" si="40"/>
        <v/>
      </c>
    </row>
    <row r="6297" spans="1:2" hidden="1">
      <c r="A6297" s="190" t="str">
        <f t="shared" si="41"/>
        <v/>
      </c>
      <c r="B6297" s="190" t="str">
        <f t="shared" si="40"/>
        <v/>
      </c>
    </row>
    <row r="6298" spans="1:2" hidden="1">
      <c r="A6298" s="190" t="str">
        <f t="shared" si="41"/>
        <v/>
      </c>
      <c r="B6298" s="190" t="str">
        <f t="shared" si="40"/>
        <v/>
      </c>
    </row>
    <row r="6299" spans="1:2" hidden="1">
      <c r="A6299" s="190" t="str">
        <f t="shared" si="41"/>
        <v/>
      </c>
      <c r="B6299" s="190" t="str">
        <f t="shared" ref="B6299:B6362" si="42">HYPERLINK("http://tw.stock.yahoo.com/d/s/earning_.html","")</f>
        <v/>
      </c>
    </row>
    <row r="6300" spans="1:2" hidden="1">
      <c r="A6300" s="190" t="str">
        <f t="shared" si="41"/>
        <v/>
      </c>
      <c r="B6300" s="190" t="str">
        <f t="shared" si="42"/>
        <v/>
      </c>
    </row>
    <row r="6301" spans="1:2" hidden="1">
      <c r="A6301" s="190" t="str">
        <f t="shared" si="41"/>
        <v/>
      </c>
      <c r="B6301" s="190" t="str">
        <f t="shared" si="42"/>
        <v/>
      </c>
    </row>
    <row r="6302" spans="1:2" hidden="1">
      <c r="A6302" s="190" t="str">
        <f t="shared" si="41"/>
        <v/>
      </c>
      <c r="B6302" s="190" t="str">
        <f t="shared" si="42"/>
        <v/>
      </c>
    </row>
    <row r="6303" spans="1:2" hidden="1">
      <c r="A6303" s="190" t="str">
        <f t="shared" si="41"/>
        <v/>
      </c>
      <c r="B6303" s="190" t="str">
        <f t="shared" si="42"/>
        <v/>
      </c>
    </row>
    <row r="6304" spans="1:2" hidden="1">
      <c r="A6304" s="190" t="str">
        <f t="shared" si="41"/>
        <v/>
      </c>
      <c r="B6304" s="190" t="str">
        <f t="shared" si="42"/>
        <v/>
      </c>
    </row>
    <row r="6305" spans="1:2" hidden="1">
      <c r="A6305" s="190" t="str">
        <f t="shared" si="41"/>
        <v/>
      </c>
      <c r="B6305" s="190" t="str">
        <f t="shared" si="42"/>
        <v/>
      </c>
    </row>
    <row r="6306" spans="1:2" hidden="1">
      <c r="A6306" s="190" t="str">
        <f t="shared" si="41"/>
        <v/>
      </c>
      <c r="B6306" s="190" t="str">
        <f t="shared" si="42"/>
        <v/>
      </c>
    </row>
    <row r="6307" spans="1:2" hidden="1">
      <c r="A6307" s="190" t="str">
        <f t="shared" si="41"/>
        <v/>
      </c>
      <c r="B6307" s="190" t="str">
        <f t="shared" si="42"/>
        <v/>
      </c>
    </row>
    <row r="6308" spans="1:2" hidden="1">
      <c r="A6308" s="190" t="str">
        <f t="shared" si="41"/>
        <v/>
      </c>
      <c r="B6308" s="190" t="str">
        <f t="shared" si="42"/>
        <v/>
      </c>
    </row>
    <row r="6309" spans="1:2" hidden="1">
      <c r="A6309" s="190" t="str">
        <f t="shared" si="41"/>
        <v/>
      </c>
      <c r="B6309" s="190" t="str">
        <f t="shared" si="42"/>
        <v/>
      </c>
    </row>
    <row r="6310" spans="1:2" hidden="1">
      <c r="A6310" s="190" t="str">
        <f t="shared" si="41"/>
        <v/>
      </c>
      <c r="B6310" s="190" t="str">
        <f t="shared" si="42"/>
        <v/>
      </c>
    </row>
    <row r="6311" spans="1:2" hidden="1">
      <c r="A6311" s="190" t="str">
        <f t="shared" si="41"/>
        <v/>
      </c>
      <c r="B6311" s="190" t="str">
        <f t="shared" si="42"/>
        <v/>
      </c>
    </row>
    <row r="6312" spans="1:2" hidden="1">
      <c r="A6312" s="190" t="str">
        <f t="shared" si="41"/>
        <v/>
      </c>
      <c r="B6312" s="190" t="str">
        <f t="shared" si="42"/>
        <v/>
      </c>
    </row>
    <row r="6313" spans="1:2" hidden="1">
      <c r="A6313" s="190" t="str">
        <f t="shared" si="41"/>
        <v/>
      </c>
      <c r="B6313" s="190" t="str">
        <f t="shared" si="42"/>
        <v/>
      </c>
    </row>
    <row r="6314" spans="1:2" hidden="1">
      <c r="A6314" s="190" t="str">
        <f t="shared" si="41"/>
        <v/>
      </c>
      <c r="B6314" s="190" t="str">
        <f t="shared" si="42"/>
        <v/>
      </c>
    </row>
    <row r="6315" spans="1:2" hidden="1">
      <c r="A6315" s="190" t="str">
        <f t="shared" si="41"/>
        <v/>
      </c>
      <c r="B6315" s="190" t="str">
        <f t="shared" si="42"/>
        <v/>
      </c>
    </row>
    <row r="6316" spans="1:2" hidden="1">
      <c r="A6316" s="190" t="str">
        <f t="shared" si="41"/>
        <v/>
      </c>
      <c r="B6316" s="190" t="str">
        <f t="shared" si="42"/>
        <v/>
      </c>
    </row>
    <row r="6317" spans="1:2" hidden="1">
      <c r="A6317" s="190" t="str">
        <f t="shared" si="41"/>
        <v/>
      </c>
      <c r="B6317" s="190" t="str">
        <f t="shared" si="42"/>
        <v/>
      </c>
    </row>
    <row r="6318" spans="1:2" hidden="1">
      <c r="A6318" s="190" t="str">
        <f t="shared" si="41"/>
        <v/>
      </c>
      <c r="B6318" s="190" t="str">
        <f t="shared" si="42"/>
        <v/>
      </c>
    </row>
    <row r="6319" spans="1:2" hidden="1">
      <c r="A6319" s="190" t="str">
        <f t="shared" si="41"/>
        <v/>
      </c>
      <c r="B6319" s="190" t="str">
        <f t="shared" si="42"/>
        <v/>
      </c>
    </row>
    <row r="6320" spans="1:2" hidden="1">
      <c r="A6320" s="190" t="str">
        <f t="shared" si="41"/>
        <v/>
      </c>
      <c r="B6320" s="190" t="str">
        <f t="shared" si="42"/>
        <v/>
      </c>
    </row>
    <row r="6321" spans="1:2" hidden="1">
      <c r="A6321" s="190" t="str">
        <f t="shared" si="41"/>
        <v/>
      </c>
      <c r="B6321" s="190" t="str">
        <f t="shared" si="42"/>
        <v/>
      </c>
    </row>
    <row r="6322" spans="1:2" hidden="1">
      <c r="A6322" s="190" t="str">
        <f t="shared" si="41"/>
        <v/>
      </c>
      <c r="B6322" s="190" t="str">
        <f t="shared" si="42"/>
        <v/>
      </c>
    </row>
    <row r="6323" spans="1:2" hidden="1">
      <c r="A6323" s="190" t="str">
        <f t="shared" si="41"/>
        <v/>
      </c>
      <c r="B6323" s="190" t="str">
        <f t="shared" si="42"/>
        <v/>
      </c>
    </row>
    <row r="6324" spans="1:2" hidden="1">
      <c r="A6324" s="190" t="str">
        <f t="shared" si="41"/>
        <v/>
      </c>
      <c r="B6324" s="190" t="str">
        <f t="shared" si="42"/>
        <v/>
      </c>
    </row>
    <row r="6325" spans="1:2" hidden="1">
      <c r="A6325" s="190" t="str">
        <f t="shared" si="41"/>
        <v/>
      </c>
      <c r="B6325" s="190" t="str">
        <f t="shared" si="42"/>
        <v/>
      </c>
    </row>
    <row r="6326" spans="1:2" hidden="1">
      <c r="A6326" s="190" t="str">
        <f t="shared" si="41"/>
        <v/>
      </c>
      <c r="B6326" s="190" t="str">
        <f t="shared" si="42"/>
        <v/>
      </c>
    </row>
    <row r="6327" spans="1:2" hidden="1">
      <c r="A6327" s="190" t="str">
        <f t="shared" si="41"/>
        <v/>
      </c>
      <c r="B6327" s="190" t="str">
        <f t="shared" si="42"/>
        <v/>
      </c>
    </row>
    <row r="6328" spans="1:2" hidden="1">
      <c r="A6328" s="190" t="str">
        <f t="shared" si="41"/>
        <v/>
      </c>
      <c r="B6328" s="190" t="str">
        <f t="shared" si="42"/>
        <v/>
      </c>
    </row>
    <row r="6329" spans="1:2" hidden="1">
      <c r="A6329" s="190" t="str">
        <f t="shared" si="41"/>
        <v/>
      </c>
      <c r="B6329" s="190" t="str">
        <f t="shared" si="42"/>
        <v/>
      </c>
    </row>
    <row r="6330" spans="1:2" hidden="1">
      <c r="A6330" s="190" t="str">
        <f t="shared" si="41"/>
        <v/>
      </c>
      <c r="B6330" s="190" t="str">
        <f t="shared" si="42"/>
        <v/>
      </c>
    </row>
    <row r="6331" spans="1:2" hidden="1">
      <c r="A6331" s="190" t="str">
        <f t="shared" si="41"/>
        <v/>
      </c>
      <c r="B6331" s="190" t="str">
        <f t="shared" si="42"/>
        <v/>
      </c>
    </row>
    <row r="6332" spans="1:2" hidden="1">
      <c r="A6332" s="190" t="str">
        <f t="shared" si="41"/>
        <v/>
      </c>
      <c r="B6332" s="190" t="str">
        <f t="shared" si="42"/>
        <v/>
      </c>
    </row>
    <row r="6333" spans="1:2" hidden="1">
      <c r="A6333" s="190" t="str">
        <f t="shared" si="41"/>
        <v/>
      </c>
      <c r="B6333" s="190" t="str">
        <f t="shared" si="42"/>
        <v/>
      </c>
    </row>
    <row r="6334" spans="1:2" hidden="1">
      <c r="A6334" s="190" t="str">
        <f t="shared" si="41"/>
        <v/>
      </c>
      <c r="B6334" s="190" t="str">
        <f t="shared" si="42"/>
        <v/>
      </c>
    </row>
    <row r="6335" spans="1:2" hidden="1">
      <c r="A6335" s="190" t="str">
        <f t="shared" ref="A6335:A6398" si="43">HYPERLINK("http://tw.stock.yahoo.com/q/ta?s=","")</f>
        <v/>
      </c>
      <c r="B6335" s="190" t="str">
        <f t="shared" si="42"/>
        <v/>
      </c>
    </row>
    <row r="6336" spans="1:2" hidden="1">
      <c r="A6336" s="190" t="str">
        <f t="shared" si="43"/>
        <v/>
      </c>
      <c r="B6336" s="190" t="str">
        <f t="shared" si="42"/>
        <v/>
      </c>
    </row>
    <row r="6337" spans="1:2" hidden="1">
      <c r="A6337" s="190" t="str">
        <f t="shared" si="43"/>
        <v/>
      </c>
      <c r="B6337" s="190" t="str">
        <f t="shared" si="42"/>
        <v/>
      </c>
    </row>
    <row r="6338" spans="1:2" hidden="1">
      <c r="A6338" s="190" t="str">
        <f t="shared" si="43"/>
        <v/>
      </c>
      <c r="B6338" s="190" t="str">
        <f t="shared" si="42"/>
        <v/>
      </c>
    </row>
    <row r="6339" spans="1:2" hidden="1">
      <c r="A6339" s="190" t="str">
        <f t="shared" si="43"/>
        <v/>
      </c>
      <c r="B6339" s="190" t="str">
        <f t="shared" si="42"/>
        <v/>
      </c>
    </row>
    <row r="6340" spans="1:2" hidden="1">
      <c r="A6340" s="190" t="str">
        <f t="shared" si="43"/>
        <v/>
      </c>
      <c r="B6340" s="190" t="str">
        <f t="shared" si="42"/>
        <v/>
      </c>
    </row>
    <row r="6341" spans="1:2" hidden="1">
      <c r="A6341" s="190" t="str">
        <f t="shared" si="43"/>
        <v/>
      </c>
      <c r="B6341" s="190" t="str">
        <f t="shared" si="42"/>
        <v/>
      </c>
    </row>
    <row r="6342" spans="1:2" hidden="1">
      <c r="A6342" s="190" t="str">
        <f t="shared" si="43"/>
        <v/>
      </c>
      <c r="B6342" s="190" t="str">
        <f t="shared" si="42"/>
        <v/>
      </c>
    </row>
    <row r="6343" spans="1:2" hidden="1">
      <c r="A6343" s="190" t="str">
        <f t="shared" si="43"/>
        <v/>
      </c>
      <c r="B6343" s="190" t="str">
        <f t="shared" si="42"/>
        <v/>
      </c>
    </row>
    <row r="6344" spans="1:2" hidden="1">
      <c r="A6344" s="190" t="str">
        <f t="shared" si="43"/>
        <v/>
      </c>
      <c r="B6344" s="190" t="str">
        <f t="shared" si="42"/>
        <v/>
      </c>
    </row>
    <row r="6345" spans="1:2" hidden="1">
      <c r="A6345" s="190" t="str">
        <f t="shared" si="43"/>
        <v/>
      </c>
      <c r="B6345" s="190" t="str">
        <f t="shared" si="42"/>
        <v/>
      </c>
    </row>
    <row r="6346" spans="1:2" hidden="1">
      <c r="A6346" s="190" t="str">
        <f t="shared" si="43"/>
        <v/>
      </c>
      <c r="B6346" s="190" t="str">
        <f t="shared" si="42"/>
        <v/>
      </c>
    </row>
    <row r="6347" spans="1:2" hidden="1">
      <c r="A6347" s="190" t="str">
        <f t="shared" si="43"/>
        <v/>
      </c>
      <c r="B6347" s="190" t="str">
        <f t="shared" si="42"/>
        <v/>
      </c>
    </row>
    <row r="6348" spans="1:2" hidden="1">
      <c r="A6348" s="190" t="str">
        <f t="shared" si="43"/>
        <v/>
      </c>
      <c r="B6348" s="190" t="str">
        <f t="shared" si="42"/>
        <v/>
      </c>
    </row>
    <row r="6349" spans="1:2" hidden="1">
      <c r="A6349" s="190" t="str">
        <f t="shared" si="43"/>
        <v/>
      </c>
      <c r="B6349" s="190" t="str">
        <f t="shared" si="42"/>
        <v/>
      </c>
    </row>
    <row r="6350" spans="1:2" hidden="1">
      <c r="A6350" s="190" t="str">
        <f t="shared" si="43"/>
        <v/>
      </c>
      <c r="B6350" s="190" t="str">
        <f t="shared" si="42"/>
        <v/>
      </c>
    </row>
    <row r="6351" spans="1:2" hidden="1">
      <c r="A6351" s="190" t="str">
        <f t="shared" si="43"/>
        <v/>
      </c>
      <c r="B6351" s="190" t="str">
        <f t="shared" si="42"/>
        <v/>
      </c>
    </row>
    <row r="6352" spans="1:2" hidden="1">
      <c r="A6352" s="190" t="str">
        <f t="shared" si="43"/>
        <v/>
      </c>
      <c r="B6352" s="190" t="str">
        <f t="shared" si="42"/>
        <v/>
      </c>
    </row>
    <row r="6353" spans="1:2" hidden="1">
      <c r="A6353" s="190" t="str">
        <f t="shared" si="43"/>
        <v/>
      </c>
      <c r="B6353" s="190" t="str">
        <f t="shared" si="42"/>
        <v/>
      </c>
    </row>
    <row r="6354" spans="1:2" hidden="1">
      <c r="A6354" s="190" t="str">
        <f t="shared" si="43"/>
        <v/>
      </c>
      <c r="B6354" s="190" t="str">
        <f t="shared" si="42"/>
        <v/>
      </c>
    </row>
    <row r="6355" spans="1:2" hidden="1">
      <c r="A6355" s="190" t="str">
        <f t="shared" si="43"/>
        <v/>
      </c>
      <c r="B6355" s="190" t="str">
        <f t="shared" si="42"/>
        <v/>
      </c>
    </row>
    <row r="6356" spans="1:2" hidden="1">
      <c r="A6356" s="190" t="str">
        <f t="shared" si="43"/>
        <v/>
      </c>
      <c r="B6356" s="190" t="str">
        <f t="shared" si="42"/>
        <v/>
      </c>
    </row>
    <row r="6357" spans="1:2" hidden="1">
      <c r="A6357" s="190" t="str">
        <f t="shared" si="43"/>
        <v/>
      </c>
      <c r="B6357" s="190" t="str">
        <f t="shared" si="42"/>
        <v/>
      </c>
    </row>
    <row r="6358" spans="1:2" hidden="1">
      <c r="A6358" s="190" t="str">
        <f t="shared" si="43"/>
        <v/>
      </c>
      <c r="B6358" s="190" t="str">
        <f t="shared" si="42"/>
        <v/>
      </c>
    </row>
    <row r="6359" spans="1:2" hidden="1">
      <c r="A6359" s="190" t="str">
        <f t="shared" si="43"/>
        <v/>
      </c>
      <c r="B6359" s="190" t="str">
        <f t="shared" si="42"/>
        <v/>
      </c>
    </row>
    <row r="6360" spans="1:2" hidden="1">
      <c r="A6360" s="190" t="str">
        <f t="shared" si="43"/>
        <v/>
      </c>
      <c r="B6360" s="190" t="str">
        <f t="shared" si="42"/>
        <v/>
      </c>
    </row>
    <row r="6361" spans="1:2" hidden="1">
      <c r="A6361" s="190" t="str">
        <f t="shared" si="43"/>
        <v/>
      </c>
      <c r="B6361" s="190" t="str">
        <f t="shared" si="42"/>
        <v/>
      </c>
    </row>
    <row r="6362" spans="1:2" hidden="1">
      <c r="A6362" s="190" t="str">
        <f t="shared" si="43"/>
        <v/>
      </c>
      <c r="B6362" s="190" t="str">
        <f t="shared" si="42"/>
        <v/>
      </c>
    </row>
    <row r="6363" spans="1:2" hidden="1">
      <c r="A6363" s="190" t="str">
        <f t="shared" si="43"/>
        <v/>
      </c>
      <c r="B6363" s="190" t="str">
        <f t="shared" ref="B6363:B6394" si="44">HYPERLINK("http://tw.stock.yahoo.com/d/s/earning_.html","")</f>
        <v/>
      </c>
    </row>
    <row r="6364" spans="1:2" hidden="1">
      <c r="A6364" s="190" t="str">
        <f t="shared" si="43"/>
        <v/>
      </c>
      <c r="B6364" s="190" t="str">
        <f t="shared" si="44"/>
        <v/>
      </c>
    </row>
    <row r="6365" spans="1:2" hidden="1">
      <c r="A6365" s="190" t="str">
        <f t="shared" si="43"/>
        <v/>
      </c>
      <c r="B6365" s="190" t="str">
        <f t="shared" si="44"/>
        <v/>
      </c>
    </row>
    <row r="6366" spans="1:2" hidden="1">
      <c r="A6366" s="190" t="str">
        <f t="shared" si="43"/>
        <v/>
      </c>
      <c r="B6366" s="190" t="str">
        <f t="shared" si="44"/>
        <v/>
      </c>
    </row>
    <row r="6367" spans="1:2" hidden="1">
      <c r="A6367" s="190" t="str">
        <f t="shared" si="43"/>
        <v/>
      </c>
      <c r="B6367" s="190" t="str">
        <f t="shared" si="44"/>
        <v/>
      </c>
    </row>
    <row r="6368" spans="1:2" hidden="1">
      <c r="A6368" s="190" t="str">
        <f t="shared" si="43"/>
        <v/>
      </c>
      <c r="B6368" s="190" t="str">
        <f t="shared" si="44"/>
        <v/>
      </c>
    </row>
    <row r="6369" spans="1:2" hidden="1">
      <c r="A6369" s="190" t="str">
        <f t="shared" si="43"/>
        <v/>
      </c>
      <c r="B6369" s="190" t="str">
        <f t="shared" si="44"/>
        <v/>
      </c>
    </row>
    <row r="6370" spans="1:2" hidden="1">
      <c r="A6370" s="190" t="str">
        <f t="shared" si="43"/>
        <v/>
      </c>
      <c r="B6370" s="190" t="str">
        <f t="shared" si="44"/>
        <v/>
      </c>
    </row>
    <row r="6371" spans="1:2" hidden="1">
      <c r="A6371" s="190" t="str">
        <f t="shared" si="43"/>
        <v/>
      </c>
      <c r="B6371" s="190" t="str">
        <f t="shared" si="44"/>
        <v/>
      </c>
    </row>
    <row r="6372" spans="1:2" hidden="1">
      <c r="A6372" s="190" t="str">
        <f t="shared" si="43"/>
        <v/>
      </c>
      <c r="B6372" s="190" t="str">
        <f t="shared" si="44"/>
        <v/>
      </c>
    </row>
    <row r="6373" spans="1:2" hidden="1">
      <c r="A6373" s="190" t="str">
        <f t="shared" si="43"/>
        <v/>
      </c>
      <c r="B6373" s="190" t="str">
        <f t="shared" si="44"/>
        <v/>
      </c>
    </row>
    <row r="6374" spans="1:2" hidden="1">
      <c r="A6374" s="190" t="str">
        <f t="shared" si="43"/>
        <v/>
      </c>
      <c r="B6374" s="190" t="str">
        <f t="shared" si="44"/>
        <v/>
      </c>
    </row>
    <row r="6375" spans="1:2" hidden="1">
      <c r="A6375" s="190" t="str">
        <f t="shared" si="43"/>
        <v/>
      </c>
      <c r="B6375" s="190" t="str">
        <f t="shared" si="44"/>
        <v/>
      </c>
    </row>
    <row r="6376" spans="1:2" hidden="1">
      <c r="A6376" s="190" t="str">
        <f t="shared" si="43"/>
        <v/>
      </c>
      <c r="B6376" s="190" t="str">
        <f t="shared" si="44"/>
        <v/>
      </c>
    </row>
    <row r="6377" spans="1:2" hidden="1">
      <c r="A6377" s="190" t="str">
        <f t="shared" si="43"/>
        <v/>
      </c>
      <c r="B6377" s="190" t="str">
        <f t="shared" si="44"/>
        <v/>
      </c>
    </row>
    <row r="6378" spans="1:2" hidden="1">
      <c r="A6378" s="190" t="str">
        <f t="shared" si="43"/>
        <v/>
      </c>
      <c r="B6378" s="190" t="str">
        <f t="shared" si="44"/>
        <v/>
      </c>
    </row>
    <row r="6379" spans="1:2" hidden="1">
      <c r="A6379" s="190" t="str">
        <f t="shared" si="43"/>
        <v/>
      </c>
      <c r="B6379" s="190" t="str">
        <f t="shared" si="44"/>
        <v/>
      </c>
    </row>
    <row r="6380" spans="1:2" hidden="1">
      <c r="A6380" s="190" t="str">
        <f t="shared" si="43"/>
        <v/>
      </c>
      <c r="B6380" s="190" t="str">
        <f t="shared" si="44"/>
        <v/>
      </c>
    </row>
    <row r="6381" spans="1:2" hidden="1">
      <c r="A6381" s="190" t="str">
        <f t="shared" si="43"/>
        <v/>
      </c>
      <c r="B6381" s="190" t="str">
        <f t="shared" si="44"/>
        <v/>
      </c>
    </row>
    <row r="6382" spans="1:2" hidden="1">
      <c r="A6382" s="190" t="str">
        <f t="shared" si="43"/>
        <v/>
      </c>
      <c r="B6382" s="190" t="str">
        <f t="shared" si="44"/>
        <v/>
      </c>
    </row>
    <row r="6383" spans="1:2" hidden="1">
      <c r="A6383" s="190" t="str">
        <f t="shared" si="43"/>
        <v/>
      </c>
      <c r="B6383" s="190" t="str">
        <f t="shared" si="44"/>
        <v/>
      </c>
    </row>
    <row r="6384" spans="1:2" hidden="1">
      <c r="A6384" s="190" t="str">
        <f t="shared" si="43"/>
        <v/>
      </c>
      <c r="B6384" s="190" t="str">
        <f t="shared" si="44"/>
        <v/>
      </c>
    </row>
    <row r="6385" spans="1:2" hidden="1">
      <c r="A6385" s="190" t="str">
        <f t="shared" si="43"/>
        <v/>
      </c>
      <c r="B6385" s="190" t="str">
        <f t="shared" si="44"/>
        <v/>
      </c>
    </row>
    <row r="6386" spans="1:2" hidden="1">
      <c r="A6386" s="190" t="str">
        <f t="shared" si="43"/>
        <v/>
      </c>
      <c r="B6386" s="190" t="str">
        <f t="shared" si="44"/>
        <v/>
      </c>
    </row>
    <row r="6387" spans="1:2" hidden="1">
      <c r="A6387" s="190" t="str">
        <f t="shared" si="43"/>
        <v/>
      </c>
      <c r="B6387" s="190" t="str">
        <f t="shared" si="44"/>
        <v/>
      </c>
    </row>
    <row r="6388" spans="1:2" hidden="1">
      <c r="A6388" s="190" t="str">
        <f t="shared" si="43"/>
        <v/>
      </c>
      <c r="B6388" s="190" t="str">
        <f t="shared" si="44"/>
        <v/>
      </c>
    </row>
    <row r="6389" spans="1:2" hidden="1">
      <c r="A6389" s="190" t="str">
        <f t="shared" si="43"/>
        <v/>
      </c>
      <c r="B6389" s="190" t="str">
        <f t="shared" si="44"/>
        <v/>
      </c>
    </row>
    <row r="6390" spans="1:2" hidden="1">
      <c r="A6390" s="190" t="str">
        <f t="shared" si="43"/>
        <v/>
      </c>
      <c r="B6390" s="190" t="str">
        <f t="shared" si="44"/>
        <v/>
      </c>
    </row>
    <row r="6391" spans="1:2" hidden="1">
      <c r="A6391" s="190" t="str">
        <f t="shared" si="43"/>
        <v/>
      </c>
      <c r="B6391" s="190" t="str">
        <f t="shared" si="44"/>
        <v/>
      </c>
    </row>
    <row r="6392" spans="1:2" hidden="1">
      <c r="A6392" s="190" t="str">
        <f t="shared" si="43"/>
        <v/>
      </c>
      <c r="B6392" s="190" t="str">
        <f t="shared" si="44"/>
        <v/>
      </c>
    </row>
    <row r="6393" spans="1:2" hidden="1">
      <c r="A6393" s="190" t="str">
        <f t="shared" si="43"/>
        <v/>
      </c>
      <c r="B6393" s="190" t="str">
        <f t="shared" si="44"/>
        <v/>
      </c>
    </row>
    <row r="6394" spans="1:2" hidden="1">
      <c r="A6394" s="190" t="str">
        <f t="shared" si="43"/>
        <v/>
      </c>
      <c r="B6394" s="190" t="str">
        <f t="shared" si="44"/>
        <v/>
      </c>
    </row>
    <row r="6395" spans="1:2" hidden="1">
      <c r="A6395" s="190" t="str">
        <f t="shared" si="43"/>
        <v/>
      </c>
    </row>
    <row r="6396" spans="1:2" hidden="1">
      <c r="A6396" s="190" t="str">
        <f t="shared" si="43"/>
        <v/>
      </c>
      <c r="B6396" s="190" t="str">
        <f t="shared" ref="B6396:B6459" si="45">HYPERLINK("http://tw.stock.yahoo.com/d/s/earning_.html","")</f>
        <v/>
      </c>
    </row>
    <row r="6397" spans="1:2" hidden="1">
      <c r="A6397" s="190" t="str">
        <f t="shared" si="43"/>
        <v/>
      </c>
      <c r="B6397" s="190" t="str">
        <f t="shared" si="45"/>
        <v/>
      </c>
    </row>
    <row r="6398" spans="1:2" hidden="1">
      <c r="A6398" s="190" t="str">
        <f t="shared" si="43"/>
        <v/>
      </c>
      <c r="B6398" s="190" t="str">
        <f t="shared" si="45"/>
        <v/>
      </c>
    </row>
    <row r="6399" spans="1:2" hidden="1">
      <c r="A6399" s="190" t="str">
        <f t="shared" ref="A6399:A6462" si="46">HYPERLINK("http://tw.stock.yahoo.com/q/ta?s=","")</f>
        <v/>
      </c>
      <c r="B6399" s="190" t="str">
        <f t="shared" si="45"/>
        <v/>
      </c>
    </row>
    <row r="6400" spans="1:2" hidden="1">
      <c r="A6400" s="190" t="str">
        <f t="shared" si="46"/>
        <v/>
      </c>
      <c r="B6400" s="190" t="str">
        <f t="shared" si="45"/>
        <v/>
      </c>
    </row>
    <row r="6401" spans="1:2" hidden="1">
      <c r="A6401" s="190" t="str">
        <f t="shared" si="46"/>
        <v/>
      </c>
      <c r="B6401" s="190" t="str">
        <f t="shared" si="45"/>
        <v/>
      </c>
    </row>
    <row r="6402" spans="1:2" hidden="1">
      <c r="A6402" s="190" t="str">
        <f t="shared" si="46"/>
        <v/>
      </c>
      <c r="B6402" s="190" t="str">
        <f t="shared" si="45"/>
        <v/>
      </c>
    </row>
    <row r="6403" spans="1:2" hidden="1">
      <c r="A6403" s="190" t="str">
        <f t="shared" si="46"/>
        <v/>
      </c>
      <c r="B6403" s="190" t="str">
        <f t="shared" si="45"/>
        <v/>
      </c>
    </row>
    <row r="6404" spans="1:2" hidden="1">
      <c r="A6404" s="190" t="str">
        <f t="shared" si="46"/>
        <v/>
      </c>
      <c r="B6404" s="190" t="str">
        <f t="shared" si="45"/>
        <v/>
      </c>
    </row>
    <row r="6405" spans="1:2" hidden="1">
      <c r="A6405" s="190" t="str">
        <f t="shared" si="46"/>
        <v/>
      </c>
      <c r="B6405" s="190" t="str">
        <f t="shared" si="45"/>
        <v/>
      </c>
    </row>
    <row r="6406" spans="1:2" hidden="1">
      <c r="A6406" s="190" t="str">
        <f t="shared" si="46"/>
        <v/>
      </c>
      <c r="B6406" s="190" t="str">
        <f t="shared" si="45"/>
        <v/>
      </c>
    </row>
    <row r="6407" spans="1:2" hidden="1">
      <c r="A6407" s="190" t="str">
        <f t="shared" si="46"/>
        <v/>
      </c>
      <c r="B6407" s="190" t="str">
        <f t="shared" si="45"/>
        <v/>
      </c>
    </row>
    <row r="6408" spans="1:2" hidden="1">
      <c r="A6408" s="190" t="str">
        <f t="shared" si="46"/>
        <v/>
      </c>
      <c r="B6408" s="190" t="str">
        <f t="shared" si="45"/>
        <v/>
      </c>
    </row>
    <row r="6409" spans="1:2" hidden="1">
      <c r="A6409" s="190" t="str">
        <f t="shared" si="46"/>
        <v/>
      </c>
      <c r="B6409" s="190" t="str">
        <f t="shared" si="45"/>
        <v/>
      </c>
    </row>
    <row r="6410" spans="1:2" hidden="1">
      <c r="A6410" s="190" t="str">
        <f t="shared" si="46"/>
        <v/>
      </c>
      <c r="B6410" s="190" t="str">
        <f t="shared" si="45"/>
        <v/>
      </c>
    </row>
    <row r="6411" spans="1:2" hidden="1">
      <c r="A6411" s="190" t="str">
        <f t="shared" si="46"/>
        <v/>
      </c>
      <c r="B6411" s="190" t="str">
        <f t="shared" si="45"/>
        <v/>
      </c>
    </row>
    <row r="6412" spans="1:2" hidden="1">
      <c r="A6412" s="190" t="str">
        <f t="shared" si="46"/>
        <v/>
      </c>
      <c r="B6412" s="190" t="str">
        <f t="shared" si="45"/>
        <v/>
      </c>
    </row>
    <row r="6413" spans="1:2" hidden="1">
      <c r="A6413" s="190" t="str">
        <f t="shared" si="46"/>
        <v/>
      </c>
      <c r="B6413" s="190" t="str">
        <f t="shared" si="45"/>
        <v/>
      </c>
    </row>
    <row r="6414" spans="1:2" hidden="1">
      <c r="A6414" s="190" t="str">
        <f t="shared" si="46"/>
        <v/>
      </c>
      <c r="B6414" s="190" t="str">
        <f t="shared" si="45"/>
        <v/>
      </c>
    </row>
    <row r="6415" spans="1:2" hidden="1">
      <c r="A6415" s="190" t="str">
        <f t="shared" si="46"/>
        <v/>
      </c>
      <c r="B6415" s="190" t="str">
        <f t="shared" si="45"/>
        <v/>
      </c>
    </row>
    <row r="6416" spans="1:2" hidden="1">
      <c r="A6416" s="190" t="str">
        <f t="shared" si="46"/>
        <v/>
      </c>
      <c r="B6416" s="190" t="str">
        <f t="shared" si="45"/>
        <v/>
      </c>
    </row>
    <row r="6417" spans="1:2" hidden="1">
      <c r="A6417" s="190" t="str">
        <f t="shared" si="46"/>
        <v/>
      </c>
      <c r="B6417" s="190" t="str">
        <f t="shared" si="45"/>
        <v/>
      </c>
    </row>
    <row r="6418" spans="1:2" hidden="1">
      <c r="A6418" s="190" t="str">
        <f t="shared" si="46"/>
        <v/>
      </c>
      <c r="B6418" s="190" t="str">
        <f t="shared" si="45"/>
        <v/>
      </c>
    </row>
    <row r="6419" spans="1:2" hidden="1">
      <c r="A6419" s="190" t="str">
        <f t="shared" si="46"/>
        <v/>
      </c>
      <c r="B6419" s="190" t="str">
        <f t="shared" si="45"/>
        <v/>
      </c>
    </row>
    <row r="6420" spans="1:2" hidden="1">
      <c r="A6420" s="190" t="str">
        <f t="shared" si="46"/>
        <v/>
      </c>
      <c r="B6420" s="190" t="str">
        <f t="shared" si="45"/>
        <v/>
      </c>
    </row>
    <row r="6421" spans="1:2" hidden="1">
      <c r="A6421" s="190" t="str">
        <f t="shared" si="46"/>
        <v/>
      </c>
      <c r="B6421" s="190" t="str">
        <f t="shared" si="45"/>
        <v/>
      </c>
    </row>
    <row r="6422" spans="1:2" hidden="1">
      <c r="A6422" s="190" t="str">
        <f t="shared" si="46"/>
        <v/>
      </c>
      <c r="B6422" s="190" t="str">
        <f t="shared" si="45"/>
        <v/>
      </c>
    </row>
    <row r="6423" spans="1:2" hidden="1">
      <c r="A6423" s="190" t="str">
        <f t="shared" si="46"/>
        <v/>
      </c>
      <c r="B6423" s="190" t="str">
        <f t="shared" si="45"/>
        <v/>
      </c>
    </row>
    <row r="6424" spans="1:2" hidden="1">
      <c r="A6424" s="190" t="str">
        <f t="shared" si="46"/>
        <v/>
      </c>
      <c r="B6424" s="190" t="str">
        <f t="shared" si="45"/>
        <v/>
      </c>
    </row>
    <row r="6425" spans="1:2" hidden="1">
      <c r="A6425" s="190" t="str">
        <f t="shared" si="46"/>
        <v/>
      </c>
      <c r="B6425" s="190" t="str">
        <f t="shared" si="45"/>
        <v/>
      </c>
    </row>
    <row r="6426" spans="1:2" hidden="1">
      <c r="A6426" s="190" t="str">
        <f t="shared" si="46"/>
        <v/>
      </c>
      <c r="B6426" s="190" t="str">
        <f t="shared" si="45"/>
        <v/>
      </c>
    </row>
    <row r="6427" spans="1:2" hidden="1">
      <c r="A6427" s="190" t="str">
        <f t="shared" si="46"/>
        <v/>
      </c>
      <c r="B6427" s="190" t="str">
        <f t="shared" si="45"/>
        <v/>
      </c>
    </row>
    <row r="6428" spans="1:2" hidden="1">
      <c r="A6428" s="190" t="str">
        <f t="shared" si="46"/>
        <v/>
      </c>
      <c r="B6428" s="190" t="str">
        <f t="shared" si="45"/>
        <v/>
      </c>
    </row>
    <row r="6429" spans="1:2" hidden="1">
      <c r="A6429" s="190" t="str">
        <f t="shared" si="46"/>
        <v/>
      </c>
      <c r="B6429" s="190" t="str">
        <f t="shared" si="45"/>
        <v/>
      </c>
    </row>
    <row r="6430" spans="1:2" hidden="1">
      <c r="A6430" s="190" t="str">
        <f t="shared" si="46"/>
        <v/>
      </c>
      <c r="B6430" s="190" t="str">
        <f t="shared" si="45"/>
        <v/>
      </c>
    </row>
    <row r="6431" spans="1:2" hidden="1">
      <c r="A6431" s="190" t="str">
        <f t="shared" si="46"/>
        <v/>
      </c>
      <c r="B6431" s="190" t="str">
        <f t="shared" si="45"/>
        <v/>
      </c>
    </row>
    <row r="6432" spans="1:2" hidden="1">
      <c r="A6432" s="190" t="str">
        <f t="shared" si="46"/>
        <v/>
      </c>
      <c r="B6432" s="190" t="str">
        <f t="shared" si="45"/>
        <v/>
      </c>
    </row>
    <row r="6433" spans="1:2" hidden="1">
      <c r="A6433" s="190" t="str">
        <f t="shared" si="46"/>
        <v/>
      </c>
      <c r="B6433" s="190" t="str">
        <f t="shared" si="45"/>
        <v/>
      </c>
    </row>
    <row r="6434" spans="1:2" hidden="1">
      <c r="A6434" s="190" t="str">
        <f t="shared" si="46"/>
        <v/>
      </c>
      <c r="B6434" s="190" t="str">
        <f t="shared" si="45"/>
        <v/>
      </c>
    </row>
    <row r="6435" spans="1:2" hidden="1">
      <c r="A6435" s="190" t="str">
        <f t="shared" si="46"/>
        <v/>
      </c>
      <c r="B6435" s="190" t="str">
        <f t="shared" si="45"/>
        <v/>
      </c>
    </row>
    <row r="6436" spans="1:2" hidden="1">
      <c r="A6436" s="190" t="str">
        <f t="shared" si="46"/>
        <v/>
      </c>
      <c r="B6436" s="190" t="str">
        <f t="shared" si="45"/>
        <v/>
      </c>
    </row>
    <row r="6437" spans="1:2" hidden="1">
      <c r="A6437" s="190" t="str">
        <f t="shared" si="46"/>
        <v/>
      </c>
      <c r="B6437" s="190" t="str">
        <f t="shared" si="45"/>
        <v/>
      </c>
    </row>
    <row r="6438" spans="1:2" hidden="1">
      <c r="A6438" s="190" t="str">
        <f t="shared" si="46"/>
        <v/>
      </c>
      <c r="B6438" s="190" t="str">
        <f t="shared" si="45"/>
        <v/>
      </c>
    </row>
    <row r="6439" spans="1:2" hidden="1">
      <c r="A6439" s="190" t="str">
        <f t="shared" si="46"/>
        <v/>
      </c>
      <c r="B6439" s="190" t="str">
        <f t="shared" si="45"/>
        <v/>
      </c>
    </row>
    <row r="6440" spans="1:2" hidden="1">
      <c r="A6440" s="190" t="str">
        <f t="shared" si="46"/>
        <v/>
      </c>
      <c r="B6440" s="190" t="str">
        <f t="shared" si="45"/>
        <v/>
      </c>
    </row>
    <row r="6441" spans="1:2" hidden="1">
      <c r="A6441" s="190" t="str">
        <f t="shared" si="46"/>
        <v/>
      </c>
      <c r="B6441" s="190" t="str">
        <f t="shared" si="45"/>
        <v/>
      </c>
    </row>
    <row r="6442" spans="1:2" hidden="1">
      <c r="A6442" s="190" t="str">
        <f t="shared" si="46"/>
        <v/>
      </c>
      <c r="B6442" s="190" t="str">
        <f t="shared" si="45"/>
        <v/>
      </c>
    </row>
    <row r="6443" spans="1:2" hidden="1">
      <c r="A6443" s="190" t="str">
        <f t="shared" si="46"/>
        <v/>
      </c>
      <c r="B6443" s="190" t="str">
        <f t="shared" si="45"/>
        <v/>
      </c>
    </row>
    <row r="6444" spans="1:2" hidden="1">
      <c r="A6444" s="190" t="str">
        <f t="shared" si="46"/>
        <v/>
      </c>
      <c r="B6444" s="190" t="str">
        <f t="shared" si="45"/>
        <v/>
      </c>
    </row>
    <row r="6445" spans="1:2" hidden="1">
      <c r="A6445" s="190" t="str">
        <f t="shared" si="46"/>
        <v/>
      </c>
      <c r="B6445" s="190" t="str">
        <f t="shared" si="45"/>
        <v/>
      </c>
    </row>
    <row r="6446" spans="1:2" hidden="1">
      <c r="A6446" s="190" t="str">
        <f t="shared" si="46"/>
        <v/>
      </c>
      <c r="B6446" s="190" t="str">
        <f t="shared" si="45"/>
        <v/>
      </c>
    </row>
    <row r="6447" spans="1:2" hidden="1">
      <c r="A6447" s="190" t="str">
        <f t="shared" si="46"/>
        <v/>
      </c>
      <c r="B6447" s="190" t="str">
        <f t="shared" si="45"/>
        <v/>
      </c>
    </row>
    <row r="6448" spans="1:2" hidden="1">
      <c r="A6448" s="190" t="str">
        <f t="shared" si="46"/>
        <v/>
      </c>
      <c r="B6448" s="190" t="str">
        <f t="shared" si="45"/>
        <v/>
      </c>
    </row>
    <row r="6449" spans="1:2" hidden="1">
      <c r="A6449" s="190" t="str">
        <f t="shared" si="46"/>
        <v/>
      </c>
      <c r="B6449" s="190" t="str">
        <f t="shared" si="45"/>
        <v/>
      </c>
    </row>
    <row r="6450" spans="1:2" hidden="1">
      <c r="A6450" s="190" t="str">
        <f t="shared" si="46"/>
        <v/>
      </c>
      <c r="B6450" s="190" t="str">
        <f t="shared" si="45"/>
        <v/>
      </c>
    </row>
    <row r="6451" spans="1:2" hidden="1">
      <c r="A6451" s="190" t="str">
        <f t="shared" si="46"/>
        <v/>
      </c>
      <c r="B6451" s="190" t="str">
        <f t="shared" si="45"/>
        <v/>
      </c>
    </row>
    <row r="6452" spans="1:2" hidden="1">
      <c r="A6452" s="190" t="str">
        <f t="shared" si="46"/>
        <v/>
      </c>
      <c r="B6452" s="190" t="str">
        <f t="shared" si="45"/>
        <v/>
      </c>
    </row>
    <row r="6453" spans="1:2" hidden="1">
      <c r="A6453" s="190" t="str">
        <f t="shared" si="46"/>
        <v/>
      </c>
      <c r="B6453" s="190" t="str">
        <f t="shared" si="45"/>
        <v/>
      </c>
    </row>
    <row r="6454" spans="1:2" hidden="1">
      <c r="A6454" s="190" t="str">
        <f t="shared" si="46"/>
        <v/>
      </c>
      <c r="B6454" s="190" t="str">
        <f t="shared" si="45"/>
        <v/>
      </c>
    </row>
    <row r="6455" spans="1:2" hidden="1">
      <c r="A6455" s="190" t="str">
        <f t="shared" si="46"/>
        <v/>
      </c>
      <c r="B6455" s="190" t="str">
        <f t="shared" si="45"/>
        <v/>
      </c>
    </row>
    <row r="6456" spans="1:2" hidden="1">
      <c r="A6456" s="190" t="str">
        <f t="shared" si="46"/>
        <v/>
      </c>
      <c r="B6456" s="190" t="str">
        <f t="shared" si="45"/>
        <v/>
      </c>
    </row>
    <row r="6457" spans="1:2" hidden="1">
      <c r="A6457" s="190" t="str">
        <f t="shared" si="46"/>
        <v/>
      </c>
      <c r="B6457" s="190" t="str">
        <f t="shared" si="45"/>
        <v/>
      </c>
    </row>
    <row r="6458" spans="1:2" hidden="1">
      <c r="A6458" s="190" t="str">
        <f t="shared" si="46"/>
        <v/>
      </c>
      <c r="B6458" s="190" t="str">
        <f t="shared" si="45"/>
        <v/>
      </c>
    </row>
    <row r="6459" spans="1:2" hidden="1">
      <c r="A6459" s="190" t="str">
        <f t="shared" si="46"/>
        <v/>
      </c>
      <c r="B6459" s="190" t="str">
        <f t="shared" si="45"/>
        <v/>
      </c>
    </row>
    <row r="6460" spans="1:2" hidden="1">
      <c r="A6460" s="190" t="str">
        <f t="shared" si="46"/>
        <v/>
      </c>
      <c r="B6460" s="190" t="str">
        <f t="shared" ref="B6460:B6523" si="47">HYPERLINK("http://tw.stock.yahoo.com/d/s/earning_.html","")</f>
        <v/>
      </c>
    </row>
    <row r="6461" spans="1:2" hidden="1">
      <c r="A6461" s="190" t="str">
        <f t="shared" si="46"/>
        <v/>
      </c>
      <c r="B6461" s="190" t="str">
        <f t="shared" si="47"/>
        <v/>
      </c>
    </row>
    <row r="6462" spans="1:2" hidden="1">
      <c r="A6462" s="190" t="str">
        <f t="shared" si="46"/>
        <v/>
      </c>
      <c r="B6462" s="190" t="str">
        <f t="shared" si="47"/>
        <v/>
      </c>
    </row>
    <row r="6463" spans="1:2" hidden="1">
      <c r="A6463" s="190" t="str">
        <f t="shared" ref="A6463:A6526" si="48">HYPERLINK("http://tw.stock.yahoo.com/q/ta?s=","")</f>
        <v/>
      </c>
      <c r="B6463" s="190" t="str">
        <f t="shared" si="47"/>
        <v/>
      </c>
    </row>
    <row r="6464" spans="1:2" hidden="1">
      <c r="A6464" s="190" t="str">
        <f t="shared" si="48"/>
        <v/>
      </c>
      <c r="B6464" s="190" t="str">
        <f t="shared" si="47"/>
        <v/>
      </c>
    </row>
    <row r="6465" spans="1:2" hidden="1">
      <c r="A6465" s="190" t="str">
        <f t="shared" si="48"/>
        <v/>
      </c>
      <c r="B6465" s="190" t="str">
        <f t="shared" si="47"/>
        <v/>
      </c>
    </row>
    <row r="6466" spans="1:2" hidden="1">
      <c r="A6466" s="190" t="str">
        <f t="shared" si="48"/>
        <v/>
      </c>
      <c r="B6466" s="190" t="str">
        <f t="shared" si="47"/>
        <v/>
      </c>
    </row>
    <row r="6467" spans="1:2" hidden="1">
      <c r="A6467" s="190" t="str">
        <f t="shared" si="48"/>
        <v/>
      </c>
      <c r="B6467" s="190" t="str">
        <f t="shared" si="47"/>
        <v/>
      </c>
    </row>
    <row r="6468" spans="1:2" hidden="1">
      <c r="A6468" s="190" t="str">
        <f t="shared" si="48"/>
        <v/>
      </c>
      <c r="B6468" s="190" t="str">
        <f t="shared" si="47"/>
        <v/>
      </c>
    </row>
    <row r="6469" spans="1:2" hidden="1">
      <c r="A6469" s="190" t="str">
        <f t="shared" si="48"/>
        <v/>
      </c>
      <c r="B6469" s="190" t="str">
        <f t="shared" si="47"/>
        <v/>
      </c>
    </row>
    <row r="6470" spans="1:2" hidden="1">
      <c r="A6470" s="190" t="str">
        <f t="shared" si="48"/>
        <v/>
      </c>
      <c r="B6470" s="190" t="str">
        <f t="shared" si="47"/>
        <v/>
      </c>
    </row>
    <row r="6471" spans="1:2" hidden="1">
      <c r="A6471" s="190" t="str">
        <f t="shared" si="48"/>
        <v/>
      </c>
      <c r="B6471" s="190" t="str">
        <f t="shared" si="47"/>
        <v/>
      </c>
    </row>
    <row r="6472" spans="1:2" hidden="1">
      <c r="A6472" s="190" t="str">
        <f t="shared" si="48"/>
        <v/>
      </c>
      <c r="B6472" s="190" t="str">
        <f t="shared" si="47"/>
        <v/>
      </c>
    </row>
    <row r="6473" spans="1:2" hidden="1">
      <c r="A6473" s="190" t="str">
        <f t="shared" si="48"/>
        <v/>
      </c>
      <c r="B6473" s="190" t="str">
        <f t="shared" si="47"/>
        <v/>
      </c>
    </row>
    <row r="6474" spans="1:2" hidden="1">
      <c r="A6474" s="190" t="str">
        <f t="shared" si="48"/>
        <v/>
      </c>
      <c r="B6474" s="190" t="str">
        <f t="shared" si="47"/>
        <v/>
      </c>
    </row>
    <row r="6475" spans="1:2" hidden="1">
      <c r="A6475" s="190" t="str">
        <f t="shared" si="48"/>
        <v/>
      </c>
      <c r="B6475" s="190" t="str">
        <f t="shared" si="47"/>
        <v/>
      </c>
    </row>
    <row r="6476" spans="1:2" hidden="1">
      <c r="A6476" s="190" t="str">
        <f t="shared" si="48"/>
        <v/>
      </c>
      <c r="B6476" s="190" t="str">
        <f t="shared" si="47"/>
        <v/>
      </c>
    </row>
    <row r="6477" spans="1:2" hidden="1">
      <c r="A6477" s="190" t="str">
        <f t="shared" si="48"/>
        <v/>
      </c>
      <c r="B6477" s="190" t="str">
        <f t="shared" si="47"/>
        <v/>
      </c>
    </row>
    <row r="6478" spans="1:2" hidden="1">
      <c r="A6478" s="190" t="str">
        <f t="shared" si="48"/>
        <v/>
      </c>
      <c r="B6478" s="190" t="str">
        <f t="shared" si="47"/>
        <v/>
      </c>
    </row>
    <row r="6479" spans="1:2" hidden="1">
      <c r="A6479" s="190" t="str">
        <f t="shared" si="48"/>
        <v/>
      </c>
      <c r="B6479" s="190" t="str">
        <f t="shared" si="47"/>
        <v/>
      </c>
    </row>
    <row r="6480" spans="1:2" hidden="1">
      <c r="A6480" s="190" t="str">
        <f t="shared" si="48"/>
        <v/>
      </c>
      <c r="B6480" s="190" t="str">
        <f t="shared" si="47"/>
        <v/>
      </c>
    </row>
    <row r="6481" spans="1:2" hidden="1">
      <c r="A6481" s="190" t="str">
        <f t="shared" si="48"/>
        <v/>
      </c>
      <c r="B6481" s="190" t="str">
        <f t="shared" si="47"/>
        <v/>
      </c>
    </row>
    <row r="6482" spans="1:2" hidden="1">
      <c r="A6482" s="190" t="str">
        <f t="shared" si="48"/>
        <v/>
      </c>
      <c r="B6482" s="190" t="str">
        <f t="shared" si="47"/>
        <v/>
      </c>
    </row>
    <row r="6483" spans="1:2" hidden="1">
      <c r="A6483" s="190" t="str">
        <f t="shared" si="48"/>
        <v/>
      </c>
      <c r="B6483" s="190" t="str">
        <f t="shared" si="47"/>
        <v/>
      </c>
    </row>
    <row r="6484" spans="1:2" hidden="1">
      <c r="A6484" s="190" t="str">
        <f t="shared" si="48"/>
        <v/>
      </c>
      <c r="B6484" s="190" t="str">
        <f t="shared" si="47"/>
        <v/>
      </c>
    </row>
    <row r="6485" spans="1:2" hidden="1">
      <c r="A6485" s="190" t="str">
        <f t="shared" si="48"/>
        <v/>
      </c>
      <c r="B6485" s="190" t="str">
        <f t="shared" si="47"/>
        <v/>
      </c>
    </row>
    <row r="6486" spans="1:2" hidden="1">
      <c r="A6486" s="190" t="str">
        <f t="shared" si="48"/>
        <v/>
      </c>
      <c r="B6486" s="190" t="str">
        <f t="shared" si="47"/>
        <v/>
      </c>
    </row>
    <row r="6487" spans="1:2" hidden="1">
      <c r="A6487" s="190" t="str">
        <f t="shared" si="48"/>
        <v/>
      </c>
      <c r="B6487" s="190" t="str">
        <f t="shared" si="47"/>
        <v/>
      </c>
    </row>
    <row r="6488" spans="1:2" hidden="1">
      <c r="A6488" s="190" t="str">
        <f t="shared" si="48"/>
        <v/>
      </c>
      <c r="B6488" s="190" t="str">
        <f t="shared" si="47"/>
        <v/>
      </c>
    </row>
    <row r="6489" spans="1:2" hidden="1">
      <c r="A6489" s="190" t="str">
        <f t="shared" si="48"/>
        <v/>
      </c>
      <c r="B6489" s="190" t="str">
        <f t="shared" si="47"/>
        <v/>
      </c>
    </row>
    <row r="6490" spans="1:2" hidden="1">
      <c r="A6490" s="190" t="str">
        <f t="shared" si="48"/>
        <v/>
      </c>
      <c r="B6490" s="190" t="str">
        <f t="shared" si="47"/>
        <v/>
      </c>
    </row>
    <row r="6491" spans="1:2" hidden="1">
      <c r="A6491" s="190" t="str">
        <f t="shared" si="48"/>
        <v/>
      </c>
      <c r="B6491" s="190" t="str">
        <f t="shared" si="47"/>
        <v/>
      </c>
    </row>
    <row r="6492" spans="1:2" hidden="1">
      <c r="A6492" s="190" t="str">
        <f t="shared" si="48"/>
        <v/>
      </c>
      <c r="B6492" s="190" t="str">
        <f t="shared" si="47"/>
        <v/>
      </c>
    </row>
    <row r="6493" spans="1:2" hidden="1">
      <c r="A6493" s="190" t="str">
        <f t="shared" si="48"/>
        <v/>
      </c>
      <c r="B6493" s="190" t="str">
        <f t="shared" si="47"/>
        <v/>
      </c>
    </row>
    <row r="6494" spans="1:2" hidden="1">
      <c r="A6494" s="190" t="str">
        <f t="shared" si="48"/>
        <v/>
      </c>
      <c r="B6494" s="190" t="str">
        <f t="shared" si="47"/>
        <v/>
      </c>
    </row>
    <row r="6495" spans="1:2" hidden="1">
      <c r="A6495" s="190" t="str">
        <f t="shared" si="48"/>
        <v/>
      </c>
      <c r="B6495" s="190" t="str">
        <f t="shared" si="47"/>
        <v/>
      </c>
    </row>
    <row r="6496" spans="1:2" hidden="1">
      <c r="A6496" s="190" t="str">
        <f t="shared" si="48"/>
        <v/>
      </c>
      <c r="B6496" s="190" t="str">
        <f t="shared" si="47"/>
        <v/>
      </c>
    </row>
    <row r="6497" spans="1:2" hidden="1">
      <c r="A6497" s="190" t="str">
        <f t="shared" si="48"/>
        <v/>
      </c>
      <c r="B6497" s="190" t="str">
        <f t="shared" si="47"/>
        <v/>
      </c>
    </row>
    <row r="6498" spans="1:2" hidden="1">
      <c r="A6498" s="190" t="str">
        <f t="shared" si="48"/>
        <v/>
      </c>
      <c r="B6498" s="190" t="str">
        <f t="shared" si="47"/>
        <v/>
      </c>
    </row>
    <row r="6499" spans="1:2" hidden="1">
      <c r="A6499" s="190" t="str">
        <f t="shared" si="48"/>
        <v/>
      </c>
      <c r="B6499" s="190" t="str">
        <f t="shared" si="47"/>
        <v/>
      </c>
    </row>
    <row r="6500" spans="1:2" hidden="1">
      <c r="A6500" s="190" t="str">
        <f t="shared" si="48"/>
        <v/>
      </c>
      <c r="B6500" s="190" t="str">
        <f t="shared" si="47"/>
        <v/>
      </c>
    </row>
    <row r="6501" spans="1:2" hidden="1">
      <c r="A6501" s="190" t="str">
        <f t="shared" si="48"/>
        <v/>
      </c>
      <c r="B6501" s="190" t="str">
        <f t="shared" si="47"/>
        <v/>
      </c>
    </row>
    <row r="6502" spans="1:2" hidden="1">
      <c r="A6502" s="190" t="str">
        <f t="shared" si="48"/>
        <v/>
      </c>
      <c r="B6502" s="190" t="str">
        <f t="shared" si="47"/>
        <v/>
      </c>
    </row>
    <row r="6503" spans="1:2" hidden="1">
      <c r="A6503" s="190" t="str">
        <f t="shared" si="48"/>
        <v/>
      </c>
      <c r="B6503" s="190" t="str">
        <f t="shared" si="47"/>
        <v/>
      </c>
    </row>
    <row r="6504" spans="1:2" hidden="1">
      <c r="A6504" s="190" t="str">
        <f t="shared" si="48"/>
        <v/>
      </c>
      <c r="B6504" s="190" t="str">
        <f t="shared" si="47"/>
        <v/>
      </c>
    </row>
    <row r="6505" spans="1:2" hidden="1">
      <c r="A6505" s="190" t="str">
        <f t="shared" si="48"/>
        <v/>
      </c>
      <c r="B6505" s="190" t="str">
        <f t="shared" si="47"/>
        <v/>
      </c>
    </row>
    <row r="6506" spans="1:2" hidden="1">
      <c r="A6506" s="190" t="str">
        <f t="shared" si="48"/>
        <v/>
      </c>
      <c r="B6506" s="190" t="str">
        <f t="shared" si="47"/>
        <v/>
      </c>
    </row>
    <row r="6507" spans="1:2" hidden="1">
      <c r="A6507" s="190" t="str">
        <f t="shared" si="48"/>
        <v/>
      </c>
      <c r="B6507" s="190" t="str">
        <f t="shared" si="47"/>
        <v/>
      </c>
    </row>
    <row r="6508" spans="1:2" hidden="1">
      <c r="A6508" s="190" t="str">
        <f t="shared" si="48"/>
        <v/>
      </c>
      <c r="B6508" s="190" t="str">
        <f t="shared" si="47"/>
        <v/>
      </c>
    </row>
    <row r="6509" spans="1:2" hidden="1">
      <c r="A6509" s="190" t="str">
        <f t="shared" si="48"/>
        <v/>
      </c>
      <c r="B6509" s="190" t="str">
        <f t="shared" si="47"/>
        <v/>
      </c>
    </row>
    <row r="6510" spans="1:2" hidden="1">
      <c r="A6510" s="190" t="str">
        <f t="shared" si="48"/>
        <v/>
      </c>
      <c r="B6510" s="190" t="str">
        <f t="shared" si="47"/>
        <v/>
      </c>
    </row>
    <row r="6511" spans="1:2" hidden="1">
      <c r="A6511" s="190" t="str">
        <f t="shared" si="48"/>
        <v/>
      </c>
      <c r="B6511" s="190" t="str">
        <f t="shared" si="47"/>
        <v/>
      </c>
    </row>
    <row r="6512" spans="1:2" hidden="1">
      <c r="A6512" s="190" t="str">
        <f t="shared" si="48"/>
        <v/>
      </c>
      <c r="B6512" s="190" t="str">
        <f t="shared" si="47"/>
        <v/>
      </c>
    </row>
    <row r="6513" spans="1:2" hidden="1">
      <c r="A6513" s="190" t="str">
        <f t="shared" si="48"/>
        <v/>
      </c>
      <c r="B6513" s="190" t="str">
        <f t="shared" si="47"/>
        <v/>
      </c>
    </row>
    <row r="6514" spans="1:2" hidden="1">
      <c r="A6514" s="190" t="str">
        <f t="shared" si="48"/>
        <v/>
      </c>
      <c r="B6514" s="190" t="str">
        <f t="shared" si="47"/>
        <v/>
      </c>
    </row>
    <row r="6515" spans="1:2" hidden="1">
      <c r="A6515" s="190" t="str">
        <f t="shared" si="48"/>
        <v/>
      </c>
      <c r="B6515" s="190" t="str">
        <f t="shared" si="47"/>
        <v/>
      </c>
    </row>
    <row r="6516" spans="1:2" hidden="1">
      <c r="A6516" s="190" t="str">
        <f t="shared" si="48"/>
        <v/>
      </c>
      <c r="B6516" s="190" t="str">
        <f t="shared" si="47"/>
        <v/>
      </c>
    </row>
    <row r="6517" spans="1:2" hidden="1">
      <c r="A6517" s="190" t="str">
        <f t="shared" si="48"/>
        <v/>
      </c>
      <c r="B6517" s="190" t="str">
        <f t="shared" si="47"/>
        <v/>
      </c>
    </row>
    <row r="6518" spans="1:2" hidden="1">
      <c r="A6518" s="190" t="str">
        <f t="shared" si="48"/>
        <v/>
      </c>
      <c r="B6518" s="190" t="str">
        <f t="shared" si="47"/>
        <v/>
      </c>
    </row>
    <row r="6519" spans="1:2" hidden="1">
      <c r="A6519" s="190" t="str">
        <f t="shared" si="48"/>
        <v/>
      </c>
      <c r="B6519" s="190" t="str">
        <f t="shared" si="47"/>
        <v/>
      </c>
    </row>
    <row r="6520" spans="1:2" hidden="1">
      <c r="A6520" s="190" t="str">
        <f t="shared" si="48"/>
        <v/>
      </c>
      <c r="B6520" s="190" t="str">
        <f t="shared" si="47"/>
        <v/>
      </c>
    </row>
    <row r="6521" spans="1:2" hidden="1">
      <c r="A6521" s="190" t="str">
        <f t="shared" si="48"/>
        <v/>
      </c>
      <c r="B6521" s="190" t="str">
        <f t="shared" si="47"/>
        <v/>
      </c>
    </row>
    <row r="6522" spans="1:2" hidden="1">
      <c r="A6522" s="190" t="str">
        <f t="shared" si="48"/>
        <v/>
      </c>
      <c r="B6522" s="190" t="str">
        <f t="shared" si="47"/>
        <v/>
      </c>
    </row>
    <row r="6523" spans="1:2" hidden="1">
      <c r="A6523" s="190" t="str">
        <f t="shared" si="48"/>
        <v/>
      </c>
      <c r="B6523" s="190" t="str">
        <f t="shared" si="47"/>
        <v/>
      </c>
    </row>
    <row r="6524" spans="1:2" hidden="1">
      <c r="A6524" s="190" t="str">
        <f t="shared" si="48"/>
        <v/>
      </c>
      <c r="B6524" s="190" t="str">
        <f t="shared" ref="B6524:B6587" si="49">HYPERLINK("http://tw.stock.yahoo.com/d/s/earning_.html","")</f>
        <v/>
      </c>
    </row>
    <row r="6525" spans="1:2" hidden="1">
      <c r="A6525" s="190" t="str">
        <f t="shared" si="48"/>
        <v/>
      </c>
      <c r="B6525" s="190" t="str">
        <f t="shared" si="49"/>
        <v/>
      </c>
    </row>
    <row r="6526" spans="1:2" hidden="1">
      <c r="A6526" s="190" t="str">
        <f t="shared" si="48"/>
        <v/>
      </c>
      <c r="B6526" s="190" t="str">
        <f t="shared" si="49"/>
        <v/>
      </c>
    </row>
    <row r="6527" spans="1:2" hidden="1">
      <c r="A6527" s="190" t="str">
        <f t="shared" ref="A6527:A6590" si="50">HYPERLINK("http://tw.stock.yahoo.com/q/ta?s=","")</f>
        <v/>
      </c>
      <c r="B6527" s="190" t="str">
        <f t="shared" si="49"/>
        <v/>
      </c>
    </row>
    <row r="6528" spans="1:2" hidden="1">
      <c r="A6528" s="190" t="str">
        <f t="shared" si="50"/>
        <v/>
      </c>
      <c r="B6528" s="190" t="str">
        <f t="shared" si="49"/>
        <v/>
      </c>
    </row>
    <row r="6529" spans="1:2" hidden="1">
      <c r="A6529" s="190" t="str">
        <f t="shared" si="50"/>
        <v/>
      </c>
      <c r="B6529" s="190" t="str">
        <f t="shared" si="49"/>
        <v/>
      </c>
    </row>
    <row r="6530" spans="1:2" hidden="1">
      <c r="A6530" s="190" t="str">
        <f t="shared" si="50"/>
        <v/>
      </c>
      <c r="B6530" s="190" t="str">
        <f t="shared" si="49"/>
        <v/>
      </c>
    </row>
    <row r="6531" spans="1:2" hidden="1">
      <c r="A6531" s="190" t="str">
        <f t="shared" si="50"/>
        <v/>
      </c>
      <c r="B6531" s="190" t="str">
        <f t="shared" si="49"/>
        <v/>
      </c>
    </row>
    <row r="6532" spans="1:2" hidden="1">
      <c r="A6532" s="190" t="str">
        <f t="shared" si="50"/>
        <v/>
      </c>
      <c r="B6532" s="190" t="str">
        <f t="shared" si="49"/>
        <v/>
      </c>
    </row>
    <row r="6533" spans="1:2" hidden="1">
      <c r="A6533" s="190" t="str">
        <f t="shared" si="50"/>
        <v/>
      </c>
      <c r="B6533" s="190" t="str">
        <f t="shared" si="49"/>
        <v/>
      </c>
    </row>
    <row r="6534" spans="1:2" hidden="1">
      <c r="A6534" s="190" t="str">
        <f t="shared" si="50"/>
        <v/>
      </c>
      <c r="B6534" s="190" t="str">
        <f t="shared" si="49"/>
        <v/>
      </c>
    </row>
    <row r="6535" spans="1:2" hidden="1">
      <c r="A6535" s="190" t="str">
        <f t="shared" si="50"/>
        <v/>
      </c>
      <c r="B6535" s="190" t="str">
        <f t="shared" si="49"/>
        <v/>
      </c>
    </row>
    <row r="6536" spans="1:2" hidden="1">
      <c r="A6536" s="190" t="str">
        <f t="shared" si="50"/>
        <v/>
      </c>
      <c r="B6536" s="190" t="str">
        <f t="shared" si="49"/>
        <v/>
      </c>
    </row>
    <row r="6537" spans="1:2" hidden="1">
      <c r="A6537" s="190" t="str">
        <f t="shared" si="50"/>
        <v/>
      </c>
      <c r="B6537" s="190" t="str">
        <f t="shared" si="49"/>
        <v/>
      </c>
    </row>
    <row r="6538" spans="1:2" hidden="1">
      <c r="A6538" s="190" t="str">
        <f t="shared" si="50"/>
        <v/>
      </c>
      <c r="B6538" s="190" t="str">
        <f t="shared" si="49"/>
        <v/>
      </c>
    </row>
    <row r="6539" spans="1:2" hidden="1">
      <c r="A6539" s="190" t="str">
        <f t="shared" si="50"/>
        <v/>
      </c>
      <c r="B6539" s="190" t="str">
        <f t="shared" si="49"/>
        <v/>
      </c>
    </row>
    <row r="6540" spans="1:2" hidden="1">
      <c r="A6540" s="190" t="str">
        <f t="shared" si="50"/>
        <v/>
      </c>
      <c r="B6540" s="190" t="str">
        <f t="shared" si="49"/>
        <v/>
      </c>
    </row>
    <row r="6541" spans="1:2" hidden="1">
      <c r="A6541" s="190" t="str">
        <f t="shared" si="50"/>
        <v/>
      </c>
      <c r="B6541" s="190" t="str">
        <f t="shared" si="49"/>
        <v/>
      </c>
    </row>
    <row r="6542" spans="1:2" hidden="1">
      <c r="A6542" s="190" t="str">
        <f t="shared" si="50"/>
        <v/>
      </c>
      <c r="B6542" s="190" t="str">
        <f t="shared" si="49"/>
        <v/>
      </c>
    </row>
    <row r="6543" spans="1:2" hidden="1">
      <c r="A6543" s="190" t="str">
        <f t="shared" si="50"/>
        <v/>
      </c>
      <c r="B6543" s="190" t="str">
        <f t="shared" si="49"/>
        <v/>
      </c>
    </row>
    <row r="6544" spans="1:2" hidden="1">
      <c r="A6544" s="190" t="str">
        <f t="shared" si="50"/>
        <v/>
      </c>
      <c r="B6544" s="190" t="str">
        <f t="shared" si="49"/>
        <v/>
      </c>
    </row>
    <row r="6545" spans="1:2" hidden="1">
      <c r="A6545" s="190" t="str">
        <f t="shared" si="50"/>
        <v/>
      </c>
      <c r="B6545" s="190" t="str">
        <f t="shared" si="49"/>
        <v/>
      </c>
    </row>
    <row r="6546" spans="1:2" hidden="1">
      <c r="A6546" s="190" t="str">
        <f t="shared" si="50"/>
        <v/>
      </c>
      <c r="B6546" s="190" t="str">
        <f t="shared" si="49"/>
        <v/>
      </c>
    </row>
    <row r="6547" spans="1:2" hidden="1">
      <c r="A6547" s="190" t="str">
        <f t="shared" si="50"/>
        <v/>
      </c>
      <c r="B6547" s="190" t="str">
        <f t="shared" si="49"/>
        <v/>
      </c>
    </row>
    <row r="6548" spans="1:2" hidden="1">
      <c r="A6548" s="190" t="str">
        <f t="shared" si="50"/>
        <v/>
      </c>
      <c r="B6548" s="190" t="str">
        <f t="shared" si="49"/>
        <v/>
      </c>
    </row>
    <row r="6549" spans="1:2" hidden="1">
      <c r="A6549" s="190" t="str">
        <f t="shared" si="50"/>
        <v/>
      </c>
      <c r="B6549" s="190" t="str">
        <f t="shared" si="49"/>
        <v/>
      </c>
    </row>
    <row r="6550" spans="1:2" hidden="1">
      <c r="A6550" s="190" t="str">
        <f t="shared" si="50"/>
        <v/>
      </c>
      <c r="B6550" s="190" t="str">
        <f t="shared" si="49"/>
        <v/>
      </c>
    </row>
    <row r="6551" spans="1:2" hidden="1">
      <c r="A6551" s="190" t="str">
        <f t="shared" si="50"/>
        <v/>
      </c>
      <c r="B6551" s="190" t="str">
        <f t="shared" si="49"/>
        <v/>
      </c>
    </row>
    <row r="6552" spans="1:2" hidden="1">
      <c r="A6552" s="190" t="str">
        <f t="shared" si="50"/>
        <v/>
      </c>
      <c r="B6552" s="190" t="str">
        <f t="shared" si="49"/>
        <v/>
      </c>
    </row>
    <row r="6553" spans="1:2" hidden="1">
      <c r="A6553" s="190" t="str">
        <f t="shared" si="50"/>
        <v/>
      </c>
      <c r="B6553" s="190" t="str">
        <f t="shared" si="49"/>
        <v/>
      </c>
    </row>
    <row r="6554" spans="1:2" hidden="1">
      <c r="A6554" s="190" t="str">
        <f t="shared" si="50"/>
        <v/>
      </c>
      <c r="B6554" s="190" t="str">
        <f t="shared" si="49"/>
        <v/>
      </c>
    </row>
    <row r="6555" spans="1:2" hidden="1">
      <c r="A6555" s="190" t="str">
        <f t="shared" si="50"/>
        <v/>
      </c>
      <c r="B6555" s="190" t="str">
        <f t="shared" si="49"/>
        <v/>
      </c>
    </row>
    <row r="6556" spans="1:2" hidden="1">
      <c r="A6556" s="190" t="str">
        <f t="shared" si="50"/>
        <v/>
      </c>
      <c r="B6556" s="190" t="str">
        <f t="shared" si="49"/>
        <v/>
      </c>
    </row>
    <row r="6557" spans="1:2" hidden="1">
      <c r="A6557" s="190" t="str">
        <f t="shared" si="50"/>
        <v/>
      </c>
      <c r="B6557" s="190" t="str">
        <f t="shared" si="49"/>
        <v/>
      </c>
    </row>
    <row r="6558" spans="1:2" hidden="1">
      <c r="A6558" s="190" t="str">
        <f t="shared" si="50"/>
        <v/>
      </c>
      <c r="B6558" s="190" t="str">
        <f t="shared" si="49"/>
        <v/>
      </c>
    </row>
    <row r="6559" spans="1:2" hidden="1">
      <c r="A6559" s="190" t="str">
        <f t="shared" si="50"/>
        <v/>
      </c>
      <c r="B6559" s="190" t="str">
        <f t="shared" si="49"/>
        <v/>
      </c>
    </row>
    <row r="6560" spans="1:2" hidden="1">
      <c r="A6560" s="190" t="str">
        <f t="shared" si="50"/>
        <v/>
      </c>
      <c r="B6560" s="190" t="str">
        <f t="shared" si="49"/>
        <v/>
      </c>
    </row>
    <row r="6561" spans="1:2" hidden="1">
      <c r="A6561" s="190" t="str">
        <f t="shared" si="50"/>
        <v/>
      </c>
      <c r="B6561" s="190" t="str">
        <f t="shared" si="49"/>
        <v/>
      </c>
    </row>
    <row r="6562" spans="1:2" hidden="1">
      <c r="A6562" s="190" t="str">
        <f t="shared" si="50"/>
        <v/>
      </c>
      <c r="B6562" s="190" t="str">
        <f t="shared" si="49"/>
        <v/>
      </c>
    </row>
    <row r="6563" spans="1:2" hidden="1">
      <c r="A6563" s="190" t="str">
        <f t="shared" si="50"/>
        <v/>
      </c>
      <c r="B6563" s="190" t="str">
        <f t="shared" si="49"/>
        <v/>
      </c>
    </row>
    <row r="6564" spans="1:2" hidden="1">
      <c r="A6564" s="190" t="str">
        <f t="shared" si="50"/>
        <v/>
      </c>
      <c r="B6564" s="190" t="str">
        <f t="shared" si="49"/>
        <v/>
      </c>
    </row>
    <row r="6565" spans="1:2" hidden="1">
      <c r="A6565" s="190" t="str">
        <f t="shared" si="50"/>
        <v/>
      </c>
      <c r="B6565" s="190" t="str">
        <f t="shared" si="49"/>
        <v/>
      </c>
    </row>
    <row r="6566" spans="1:2" hidden="1">
      <c r="A6566" s="190" t="str">
        <f t="shared" si="50"/>
        <v/>
      </c>
      <c r="B6566" s="190" t="str">
        <f t="shared" si="49"/>
        <v/>
      </c>
    </row>
    <row r="6567" spans="1:2" hidden="1">
      <c r="A6567" s="190" t="str">
        <f t="shared" si="50"/>
        <v/>
      </c>
      <c r="B6567" s="190" t="str">
        <f t="shared" si="49"/>
        <v/>
      </c>
    </row>
    <row r="6568" spans="1:2" hidden="1">
      <c r="A6568" s="190" t="str">
        <f t="shared" si="50"/>
        <v/>
      </c>
      <c r="B6568" s="190" t="str">
        <f t="shared" si="49"/>
        <v/>
      </c>
    </row>
    <row r="6569" spans="1:2" hidden="1">
      <c r="A6569" s="190" t="str">
        <f t="shared" si="50"/>
        <v/>
      </c>
      <c r="B6569" s="190" t="str">
        <f t="shared" si="49"/>
        <v/>
      </c>
    </row>
    <row r="6570" spans="1:2" hidden="1">
      <c r="A6570" s="190" t="str">
        <f t="shared" si="50"/>
        <v/>
      </c>
      <c r="B6570" s="190" t="str">
        <f t="shared" si="49"/>
        <v/>
      </c>
    </row>
    <row r="6571" spans="1:2" hidden="1">
      <c r="A6571" s="190" t="str">
        <f t="shared" si="50"/>
        <v/>
      </c>
      <c r="B6571" s="190" t="str">
        <f t="shared" si="49"/>
        <v/>
      </c>
    </row>
    <row r="6572" spans="1:2" hidden="1">
      <c r="A6572" s="190" t="str">
        <f t="shared" si="50"/>
        <v/>
      </c>
      <c r="B6572" s="190" t="str">
        <f t="shared" si="49"/>
        <v/>
      </c>
    </row>
    <row r="6573" spans="1:2" hidden="1">
      <c r="A6573" s="190" t="str">
        <f t="shared" si="50"/>
        <v/>
      </c>
      <c r="B6573" s="190" t="str">
        <f t="shared" si="49"/>
        <v/>
      </c>
    </row>
    <row r="6574" spans="1:2" hidden="1">
      <c r="A6574" s="190" t="str">
        <f t="shared" si="50"/>
        <v/>
      </c>
      <c r="B6574" s="190" t="str">
        <f t="shared" si="49"/>
        <v/>
      </c>
    </row>
    <row r="6575" spans="1:2" hidden="1">
      <c r="A6575" s="190" t="str">
        <f t="shared" si="50"/>
        <v/>
      </c>
      <c r="B6575" s="190" t="str">
        <f t="shared" si="49"/>
        <v/>
      </c>
    </row>
    <row r="6576" spans="1:2" hidden="1">
      <c r="A6576" s="190" t="str">
        <f t="shared" si="50"/>
        <v/>
      </c>
      <c r="B6576" s="190" t="str">
        <f t="shared" si="49"/>
        <v/>
      </c>
    </row>
    <row r="6577" spans="1:2" hidden="1">
      <c r="A6577" s="190" t="str">
        <f t="shared" si="50"/>
        <v/>
      </c>
      <c r="B6577" s="190" t="str">
        <f t="shared" si="49"/>
        <v/>
      </c>
    </row>
    <row r="6578" spans="1:2" hidden="1">
      <c r="A6578" s="190" t="str">
        <f t="shared" si="50"/>
        <v/>
      </c>
      <c r="B6578" s="190" t="str">
        <f t="shared" si="49"/>
        <v/>
      </c>
    </row>
    <row r="6579" spans="1:2" hidden="1">
      <c r="A6579" s="190" t="str">
        <f t="shared" si="50"/>
        <v/>
      </c>
      <c r="B6579" s="190" t="str">
        <f t="shared" si="49"/>
        <v/>
      </c>
    </row>
    <row r="6580" spans="1:2" hidden="1">
      <c r="A6580" s="190" t="str">
        <f t="shared" si="50"/>
        <v/>
      </c>
      <c r="B6580" s="190" t="str">
        <f t="shared" si="49"/>
        <v/>
      </c>
    </row>
    <row r="6581" spans="1:2" hidden="1">
      <c r="A6581" s="190" t="str">
        <f t="shared" si="50"/>
        <v/>
      </c>
      <c r="B6581" s="190" t="str">
        <f t="shared" si="49"/>
        <v/>
      </c>
    </row>
    <row r="6582" spans="1:2" hidden="1">
      <c r="A6582" s="190" t="str">
        <f t="shared" si="50"/>
        <v/>
      </c>
      <c r="B6582" s="190" t="str">
        <f t="shared" si="49"/>
        <v/>
      </c>
    </row>
    <row r="6583" spans="1:2" hidden="1">
      <c r="A6583" s="190" t="str">
        <f t="shared" si="50"/>
        <v/>
      </c>
      <c r="B6583" s="190" t="str">
        <f t="shared" si="49"/>
        <v/>
      </c>
    </row>
    <row r="6584" spans="1:2" hidden="1">
      <c r="A6584" s="190" t="str">
        <f t="shared" si="50"/>
        <v/>
      </c>
      <c r="B6584" s="190" t="str">
        <f t="shared" si="49"/>
        <v/>
      </c>
    </row>
    <row r="6585" spans="1:2" hidden="1">
      <c r="A6585" s="190" t="str">
        <f t="shared" si="50"/>
        <v/>
      </c>
      <c r="B6585" s="190" t="str">
        <f t="shared" si="49"/>
        <v/>
      </c>
    </row>
    <row r="6586" spans="1:2" hidden="1">
      <c r="A6586" s="190" t="str">
        <f t="shared" si="50"/>
        <v/>
      </c>
      <c r="B6586" s="190" t="str">
        <f t="shared" si="49"/>
        <v/>
      </c>
    </row>
    <row r="6587" spans="1:2" hidden="1">
      <c r="A6587" s="190" t="str">
        <f t="shared" si="50"/>
        <v/>
      </c>
      <c r="B6587" s="190" t="str">
        <f t="shared" si="49"/>
        <v/>
      </c>
    </row>
    <row r="6588" spans="1:2" hidden="1">
      <c r="A6588" s="190" t="str">
        <f t="shared" si="50"/>
        <v/>
      </c>
      <c r="B6588" s="190" t="str">
        <f t="shared" ref="B6588:B6651" si="51">HYPERLINK("http://tw.stock.yahoo.com/d/s/earning_.html","")</f>
        <v/>
      </c>
    </row>
    <row r="6589" spans="1:2" hidden="1">
      <c r="A6589" s="190" t="str">
        <f t="shared" si="50"/>
        <v/>
      </c>
      <c r="B6589" s="190" t="str">
        <f t="shared" si="51"/>
        <v/>
      </c>
    </row>
    <row r="6590" spans="1:2" hidden="1">
      <c r="A6590" s="190" t="str">
        <f t="shared" si="50"/>
        <v/>
      </c>
      <c r="B6590" s="190" t="str">
        <f t="shared" si="51"/>
        <v/>
      </c>
    </row>
    <row r="6591" spans="1:2" hidden="1">
      <c r="A6591" s="190" t="str">
        <f t="shared" ref="A6591:A6654" si="52">HYPERLINK("http://tw.stock.yahoo.com/q/ta?s=","")</f>
        <v/>
      </c>
      <c r="B6591" s="190" t="str">
        <f t="shared" si="51"/>
        <v/>
      </c>
    </row>
    <row r="6592" spans="1:2" hidden="1">
      <c r="A6592" s="190" t="str">
        <f t="shared" si="52"/>
        <v/>
      </c>
      <c r="B6592" s="190" t="str">
        <f t="shared" si="51"/>
        <v/>
      </c>
    </row>
    <row r="6593" spans="1:2" hidden="1">
      <c r="A6593" s="190" t="str">
        <f t="shared" si="52"/>
        <v/>
      </c>
      <c r="B6593" s="190" t="str">
        <f t="shared" si="51"/>
        <v/>
      </c>
    </row>
    <row r="6594" spans="1:2" hidden="1">
      <c r="A6594" s="190" t="str">
        <f t="shared" si="52"/>
        <v/>
      </c>
      <c r="B6594" s="190" t="str">
        <f t="shared" si="51"/>
        <v/>
      </c>
    </row>
    <row r="6595" spans="1:2" hidden="1">
      <c r="A6595" s="190" t="str">
        <f t="shared" si="52"/>
        <v/>
      </c>
      <c r="B6595" s="190" t="str">
        <f t="shared" si="51"/>
        <v/>
      </c>
    </row>
    <row r="6596" spans="1:2" hidden="1">
      <c r="A6596" s="190" t="str">
        <f t="shared" si="52"/>
        <v/>
      </c>
      <c r="B6596" s="190" t="str">
        <f t="shared" si="51"/>
        <v/>
      </c>
    </row>
    <row r="6597" spans="1:2" hidden="1">
      <c r="A6597" s="190" t="str">
        <f t="shared" si="52"/>
        <v/>
      </c>
      <c r="B6597" s="190" t="str">
        <f t="shared" si="51"/>
        <v/>
      </c>
    </row>
    <row r="6598" spans="1:2" hidden="1">
      <c r="A6598" s="190" t="str">
        <f t="shared" si="52"/>
        <v/>
      </c>
      <c r="B6598" s="190" t="str">
        <f t="shared" si="51"/>
        <v/>
      </c>
    </row>
    <row r="6599" spans="1:2" hidden="1">
      <c r="A6599" s="190" t="str">
        <f t="shared" si="52"/>
        <v/>
      </c>
      <c r="B6599" s="190" t="str">
        <f t="shared" si="51"/>
        <v/>
      </c>
    </row>
    <row r="6600" spans="1:2" hidden="1">
      <c r="A6600" s="190" t="str">
        <f t="shared" si="52"/>
        <v/>
      </c>
      <c r="B6600" s="190" t="str">
        <f t="shared" si="51"/>
        <v/>
      </c>
    </row>
    <row r="6601" spans="1:2" hidden="1">
      <c r="A6601" s="190" t="str">
        <f t="shared" si="52"/>
        <v/>
      </c>
      <c r="B6601" s="190" t="str">
        <f t="shared" si="51"/>
        <v/>
      </c>
    </row>
    <row r="6602" spans="1:2" hidden="1">
      <c r="A6602" s="190" t="str">
        <f t="shared" si="52"/>
        <v/>
      </c>
      <c r="B6602" s="190" t="str">
        <f t="shared" si="51"/>
        <v/>
      </c>
    </row>
    <row r="6603" spans="1:2" hidden="1">
      <c r="A6603" s="190" t="str">
        <f t="shared" si="52"/>
        <v/>
      </c>
      <c r="B6603" s="190" t="str">
        <f t="shared" si="51"/>
        <v/>
      </c>
    </row>
    <row r="6604" spans="1:2" hidden="1">
      <c r="A6604" s="190" t="str">
        <f t="shared" si="52"/>
        <v/>
      </c>
      <c r="B6604" s="190" t="str">
        <f t="shared" si="51"/>
        <v/>
      </c>
    </row>
    <row r="6605" spans="1:2" hidden="1">
      <c r="A6605" s="190" t="str">
        <f t="shared" si="52"/>
        <v/>
      </c>
      <c r="B6605" s="190" t="str">
        <f t="shared" si="51"/>
        <v/>
      </c>
    </row>
    <row r="6606" spans="1:2" hidden="1">
      <c r="A6606" s="190" t="str">
        <f t="shared" si="52"/>
        <v/>
      </c>
      <c r="B6606" s="190" t="str">
        <f t="shared" si="51"/>
        <v/>
      </c>
    </row>
    <row r="6607" spans="1:2" hidden="1">
      <c r="A6607" s="190" t="str">
        <f t="shared" si="52"/>
        <v/>
      </c>
      <c r="B6607" s="190" t="str">
        <f t="shared" si="51"/>
        <v/>
      </c>
    </row>
    <row r="6608" spans="1:2" hidden="1">
      <c r="A6608" s="190" t="str">
        <f t="shared" si="52"/>
        <v/>
      </c>
      <c r="B6608" s="190" t="str">
        <f t="shared" si="51"/>
        <v/>
      </c>
    </row>
    <row r="6609" spans="1:2" hidden="1">
      <c r="A6609" s="190" t="str">
        <f t="shared" si="52"/>
        <v/>
      </c>
      <c r="B6609" s="190" t="str">
        <f t="shared" si="51"/>
        <v/>
      </c>
    </row>
    <row r="6610" spans="1:2" hidden="1">
      <c r="A6610" s="190" t="str">
        <f t="shared" si="52"/>
        <v/>
      </c>
      <c r="B6610" s="190" t="str">
        <f t="shared" si="51"/>
        <v/>
      </c>
    </row>
    <row r="6611" spans="1:2" hidden="1">
      <c r="A6611" s="190" t="str">
        <f t="shared" si="52"/>
        <v/>
      </c>
      <c r="B6611" s="190" t="str">
        <f t="shared" si="51"/>
        <v/>
      </c>
    </row>
    <row r="6612" spans="1:2" hidden="1">
      <c r="A6612" s="190" t="str">
        <f t="shared" si="52"/>
        <v/>
      </c>
      <c r="B6612" s="190" t="str">
        <f t="shared" si="51"/>
        <v/>
      </c>
    </row>
    <row r="6613" spans="1:2" hidden="1">
      <c r="A6613" s="190" t="str">
        <f t="shared" si="52"/>
        <v/>
      </c>
      <c r="B6613" s="190" t="str">
        <f t="shared" si="51"/>
        <v/>
      </c>
    </row>
    <row r="6614" spans="1:2" hidden="1">
      <c r="A6614" s="190" t="str">
        <f t="shared" si="52"/>
        <v/>
      </c>
      <c r="B6614" s="190" t="str">
        <f t="shared" si="51"/>
        <v/>
      </c>
    </row>
    <row r="6615" spans="1:2" hidden="1">
      <c r="A6615" s="190" t="str">
        <f t="shared" si="52"/>
        <v/>
      </c>
      <c r="B6615" s="190" t="str">
        <f t="shared" si="51"/>
        <v/>
      </c>
    </row>
    <row r="6616" spans="1:2" hidden="1">
      <c r="A6616" s="190" t="str">
        <f t="shared" si="52"/>
        <v/>
      </c>
      <c r="B6616" s="190" t="str">
        <f t="shared" si="51"/>
        <v/>
      </c>
    </row>
    <row r="6617" spans="1:2" hidden="1">
      <c r="A6617" s="190" t="str">
        <f t="shared" si="52"/>
        <v/>
      </c>
      <c r="B6617" s="190" t="str">
        <f t="shared" si="51"/>
        <v/>
      </c>
    </row>
    <row r="6618" spans="1:2" hidden="1">
      <c r="A6618" s="190" t="str">
        <f t="shared" si="52"/>
        <v/>
      </c>
      <c r="B6618" s="190" t="str">
        <f t="shared" si="51"/>
        <v/>
      </c>
    </row>
    <row r="6619" spans="1:2" hidden="1">
      <c r="A6619" s="190" t="str">
        <f t="shared" si="52"/>
        <v/>
      </c>
      <c r="B6619" s="190" t="str">
        <f t="shared" si="51"/>
        <v/>
      </c>
    </row>
    <row r="6620" spans="1:2" hidden="1">
      <c r="A6620" s="190" t="str">
        <f t="shared" si="52"/>
        <v/>
      </c>
      <c r="B6620" s="190" t="str">
        <f t="shared" si="51"/>
        <v/>
      </c>
    </row>
    <row r="6621" spans="1:2" hidden="1">
      <c r="A6621" s="190" t="str">
        <f t="shared" si="52"/>
        <v/>
      </c>
      <c r="B6621" s="190" t="str">
        <f t="shared" si="51"/>
        <v/>
      </c>
    </row>
    <row r="6622" spans="1:2" hidden="1">
      <c r="A6622" s="190" t="str">
        <f t="shared" si="52"/>
        <v/>
      </c>
      <c r="B6622" s="190" t="str">
        <f t="shared" si="51"/>
        <v/>
      </c>
    </row>
    <row r="6623" spans="1:2" hidden="1">
      <c r="A6623" s="190" t="str">
        <f t="shared" si="52"/>
        <v/>
      </c>
      <c r="B6623" s="190" t="str">
        <f t="shared" si="51"/>
        <v/>
      </c>
    </row>
    <row r="6624" spans="1:2" hidden="1">
      <c r="A6624" s="190" t="str">
        <f t="shared" si="52"/>
        <v/>
      </c>
      <c r="B6624" s="190" t="str">
        <f t="shared" si="51"/>
        <v/>
      </c>
    </row>
    <row r="6625" spans="1:2" hidden="1">
      <c r="A6625" s="190" t="str">
        <f t="shared" si="52"/>
        <v/>
      </c>
      <c r="B6625" s="190" t="str">
        <f t="shared" si="51"/>
        <v/>
      </c>
    </row>
    <row r="6626" spans="1:2" hidden="1">
      <c r="A6626" s="190" t="str">
        <f t="shared" si="52"/>
        <v/>
      </c>
      <c r="B6626" s="190" t="str">
        <f t="shared" si="51"/>
        <v/>
      </c>
    </row>
    <row r="6627" spans="1:2" hidden="1">
      <c r="A6627" s="190" t="str">
        <f t="shared" si="52"/>
        <v/>
      </c>
      <c r="B6627" s="190" t="str">
        <f t="shared" si="51"/>
        <v/>
      </c>
    </row>
    <row r="6628" spans="1:2" hidden="1">
      <c r="A6628" s="190" t="str">
        <f t="shared" si="52"/>
        <v/>
      </c>
      <c r="B6628" s="190" t="str">
        <f t="shared" si="51"/>
        <v/>
      </c>
    </row>
    <row r="6629" spans="1:2" hidden="1">
      <c r="A6629" s="190" t="str">
        <f t="shared" si="52"/>
        <v/>
      </c>
      <c r="B6629" s="190" t="str">
        <f t="shared" si="51"/>
        <v/>
      </c>
    </row>
    <row r="6630" spans="1:2" hidden="1">
      <c r="A6630" s="190" t="str">
        <f t="shared" si="52"/>
        <v/>
      </c>
      <c r="B6630" s="190" t="str">
        <f t="shared" si="51"/>
        <v/>
      </c>
    </row>
    <row r="6631" spans="1:2" hidden="1">
      <c r="A6631" s="190" t="str">
        <f t="shared" si="52"/>
        <v/>
      </c>
      <c r="B6631" s="190" t="str">
        <f t="shared" si="51"/>
        <v/>
      </c>
    </row>
    <row r="6632" spans="1:2" hidden="1">
      <c r="A6632" s="190" t="str">
        <f t="shared" si="52"/>
        <v/>
      </c>
      <c r="B6632" s="190" t="str">
        <f t="shared" si="51"/>
        <v/>
      </c>
    </row>
    <row r="6633" spans="1:2" hidden="1">
      <c r="A6633" s="190" t="str">
        <f t="shared" si="52"/>
        <v/>
      </c>
      <c r="B6633" s="190" t="str">
        <f t="shared" si="51"/>
        <v/>
      </c>
    </row>
    <row r="6634" spans="1:2" hidden="1">
      <c r="A6634" s="190" t="str">
        <f t="shared" si="52"/>
        <v/>
      </c>
      <c r="B6634" s="190" t="str">
        <f t="shared" si="51"/>
        <v/>
      </c>
    </row>
    <row r="6635" spans="1:2" hidden="1">
      <c r="A6635" s="190" t="str">
        <f t="shared" si="52"/>
        <v/>
      </c>
      <c r="B6635" s="190" t="str">
        <f t="shared" si="51"/>
        <v/>
      </c>
    </row>
    <row r="6636" spans="1:2" hidden="1">
      <c r="A6636" s="190" t="str">
        <f t="shared" si="52"/>
        <v/>
      </c>
      <c r="B6636" s="190" t="str">
        <f t="shared" si="51"/>
        <v/>
      </c>
    </row>
    <row r="6637" spans="1:2" hidden="1">
      <c r="A6637" s="190" t="str">
        <f t="shared" si="52"/>
        <v/>
      </c>
      <c r="B6637" s="190" t="str">
        <f t="shared" si="51"/>
        <v/>
      </c>
    </row>
    <row r="6638" spans="1:2" hidden="1">
      <c r="A6638" s="190" t="str">
        <f t="shared" si="52"/>
        <v/>
      </c>
      <c r="B6638" s="190" t="str">
        <f t="shared" si="51"/>
        <v/>
      </c>
    </row>
    <row r="6639" spans="1:2" hidden="1">
      <c r="A6639" s="190" t="str">
        <f t="shared" si="52"/>
        <v/>
      </c>
      <c r="B6639" s="190" t="str">
        <f t="shared" si="51"/>
        <v/>
      </c>
    </row>
    <row r="6640" spans="1:2" hidden="1">
      <c r="A6640" s="190" t="str">
        <f t="shared" si="52"/>
        <v/>
      </c>
      <c r="B6640" s="190" t="str">
        <f t="shared" si="51"/>
        <v/>
      </c>
    </row>
    <row r="6641" spans="1:2" hidden="1">
      <c r="A6641" s="190" t="str">
        <f t="shared" si="52"/>
        <v/>
      </c>
      <c r="B6641" s="190" t="str">
        <f t="shared" si="51"/>
        <v/>
      </c>
    </row>
    <row r="6642" spans="1:2" hidden="1">
      <c r="A6642" s="190" t="str">
        <f t="shared" si="52"/>
        <v/>
      </c>
      <c r="B6642" s="190" t="str">
        <f t="shared" si="51"/>
        <v/>
      </c>
    </row>
    <row r="6643" spans="1:2" hidden="1">
      <c r="A6643" s="190" t="str">
        <f t="shared" si="52"/>
        <v/>
      </c>
      <c r="B6643" s="190" t="str">
        <f t="shared" si="51"/>
        <v/>
      </c>
    </row>
    <row r="6644" spans="1:2" hidden="1">
      <c r="A6644" s="190" t="str">
        <f t="shared" si="52"/>
        <v/>
      </c>
      <c r="B6644" s="190" t="str">
        <f t="shared" si="51"/>
        <v/>
      </c>
    </row>
    <row r="6645" spans="1:2" hidden="1">
      <c r="A6645" s="190" t="str">
        <f t="shared" si="52"/>
        <v/>
      </c>
      <c r="B6645" s="190" t="str">
        <f t="shared" si="51"/>
        <v/>
      </c>
    </row>
    <row r="6646" spans="1:2" hidden="1">
      <c r="A6646" s="190" t="str">
        <f t="shared" si="52"/>
        <v/>
      </c>
      <c r="B6646" s="190" t="str">
        <f t="shared" si="51"/>
        <v/>
      </c>
    </row>
    <row r="6647" spans="1:2" hidden="1">
      <c r="A6647" s="190" t="str">
        <f t="shared" si="52"/>
        <v/>
      </c>
      <c r="B6647" s="190" t="str">
        <f t="shared" si="51"/>
        <v/>
      </c>
    </row>
    <row r="6648" spans="1:2" hidden="1">
      <c r="A6648" s="190" t="str">
        <f t="shared" si="52"/>
        <v/>
      </c>
      <c r="B6648" s="190" t="str">
        <f t="shared" si="51"/>
        <v/>
      </c>
    </row>
    <row r="6649" spans="1:2" hidden="1">
      <c r="A6649" s="190" t="str">
        <f t="shared" si="52"/>
        <v/>
      </c>
      <c r="B6649" s="190" t="str">
        <f t="shared" si="51"/>
        <v/>
      </c>
    </row>
    <row r="6650" spans="1:2" hidden="1">
      <c r="A6650" s="190" t="str">
        <f t="shared" si="52"/>
        <v/>
      </c>
      <c r="B6650" s="190" t="str">
        <f t="shared" si="51"/>
        <v/>
      </c>
    </row>
    <row r="6651" spans="1:2" hidden="1">
      <c r="A6651" s="190" t="str">
        <f t="shared" si="52"/>
        <v/>
      </c>
      <c r="B6651" s="190" t="str">
        <f t="shared" si="51"/>
        <v/>
      </c>
    </row>
    <row r="6652" spans="1:2" hidden="1">
      <c r="A6652" s="190" t="str">
        <f t="shared" si="52"/>
        <v/>
      </c>
      <c r="B6652" s="190" t="str">
        <f t="shared" ref="B6652:B6715" si="53">HYPERLINK("http://tw.stock.yahoo.com/d/s/earning_.html","")</f>
        <v/>
      </c>
    </row>
    <row r="6653" spans="1:2" hidden="1">
      <c r="A6653" s="190" t="str">
        <f t="shared" si="52"/>
        <v/>
      </c>
      <c r="B6653" s="190" t="str">
        <f t="shared" si="53"/>
        <v/>
      </c>
    </row>
    <row r="6654" spans="1:2" hidden="1">
      <c r="A6654" s="190" t="str">
        <f t="shared" si="52"/>
        <v/>
      </c>
      <c r="B6654" s="190" t="str">
        <f t="shared" si="53"/>
        <v/>
      </c>
    </row>
    <row r="6655" spans="1:2" hidden="1">
      <c r="A6655" s="190" t="str">
        <f t="shared" ref="A6655:A6718" si="54">HYPERLINK("http://tw.stock.yahoo.com/q/ta?s=","")</f>
        <v/>
      </c>
      <c r="B6655" s="190" t="str">
        <f t="shared" si="53"/>
        <v/>
      </c>
    </row>
    <row r="6656" spans="1:2" hidden="1">
      <c r="A6656" s="190" t="str">
        <f t="shared" si="54"/>
        <v/>
      </c>
      <c r="B6656" s="190" t="str">
        <f t="shared" si="53"/>
        <v/>
      </c>
    </row>
    <row r="6657" spans="1:2" hidden="1">
      <c r="A6657" s="190" t="str">
        <f t="shared" si="54"/>
        <v/>
      </c>
      <c r="B6657" s="190" t="str">
        <f t="shared" si="53"/>
        <v/>
      </c>
    </row>
    <row r="6658" spans="1:2" hidden="1">
      <c r="A6658" s="190" t="str">
        <f t="shared" si="54"/>
        <v/>
      </c>
      <c r="B6658" s="190" t="str">
        <f t="shared" si="53"/>
        <v/>
      </c>
    </row>
    <row r="6659" spans="1:2" hidden="1">
      <c r="A6659" s="190" t="str">
        <f t="shared" si="54"/>
        <v/>
      </c>
      <c r="B6659" s="190" t="str">
        <f t="shared" si="53"/>
        <v/>
      </c>
    </row>
    <row r="6660" spans="1:2" hidden="1">
      <c r="A6660" s="190" t="str">
        <f t="shared" si="54"/>
        <v/>
      </c>
      <c r="B6660" s="190" t="str">
        <f t="shared" si="53"/>
        <v/>
      </c>
    </row>
    <row r="6661" spans="1:2" hidden="1">
      <c r="A6661" s="190" t="str">
        <f t="shared" si="54"/>
        <v/>
      </c>
      <c r="B6661" s="190" t="str">
        <f t="shared" si="53"/>
        <v/>
      </c>
    </row>
    <row r="6662" spans="1:2" hidden="1">
      <c r="A6662" s="190" t="str">
        <f t="shared" si="54"/>
        <v/>
      </c>
      <c r="B6662" s="190" t="str">
        <f t="shared" si="53"/>
        <v/>
      </c>
    </row>
    <row r="6663" spans="1:2" hidden="1">
      <c r="A6663" s="190" t="str">
        <f t="shared" si="54"/>
        <v/>
      </c>
      <c r="B6663" s="190" t="str">
        <f t="shared" si="53"/>
        <v/>
      </c>
    </row>
    <row r="6664" spans="1:2" hidden="1">
      <c r="A6664" s="190" t="str">
        <f t="shared" si="54"/>
        <v/>
      </c>
      <c r="B6664" s="190" t="str">
        <f t="shared" si="53"/>
        <v/>
      </c>
    </row>
    <row r="6665" spans="1:2" hidden="1">
      <c r="A6665" s="190" t="str">
        <f t="shared" si="54"/>
        <v/>
      </c>
      <c r="B6665" s="190" t="str">
        <f t="shared" si="53"/>
        <v/>
      </c>
    </row>
    <row r="6666" spans="1:2" hidden="1">
      <c r="A6666" s="190" t="str">
        <f t="shared" si="54"/>
        <v/>
      </c>
      <c r="B6666" s="190" t="str">
        <f t="shared" si="53"/>
        <v/>
      </c>
    </row>
    <row r="6667" spans="1:2" hidden="1">
      <c r="A6667" s="190" t="str">
        <f t="shared" si="54"/>
        <v/>
      </c>
      <c r="B6667" s="190" t="str">
        <f t="shared" si="53"/>
        <v/>
      </c>
    </row>
    <row r="6668" spans="1:2" hidden="1">
      <c r="A6668" s="190" t="str">
        <f t="shared" si="54"/>
        <v/>
      </c>
      <c r="B6668" s="190" t="str">
        <f t="shared" si="53"/>
        <v/>
      </c>
    </row>
    <row r="6669" spans="1:2" hidden="1">
      <c r="A6669" s="190" t="str">
        <f t="shared" si="54"/>
        <v/>
      </c>
      <c r="B6669" s="190" t="str">
        <f t="shared" si="53"/>
        <v/>
      </c>
    </row>
    <row r="6670" spans="1:2" hidden="1">
      <c r="A6670" s="190" t="str">
        <f t="shared" si="54"/>
        <v/>
      </c>
      <c r="B6670" s="190" t="str">
        <f t="shared" si="53"/>
        <v/>
      </c>
    </row>
    <row r="6671" spans="1:2" hidden="1">
      <c r="A6671" s="190" t="str">
        <f t="shared" si="54"/>
        <v/>
      </c>
      <c r="B6671" s="190" t="str">
        <f t="shared" si="53"/>
        <v/>
      </c>
    </row>
    <row r="6672" spans="1:2" hidden="1">
      <c r="A6672" s="190" t="str">
        <f t="shared" si="54"/>
        <v/>
      </c>
      <c r="B6672" s="190" t="str">
        <f t="shared" si="53"/>
        <v/>
      </c>
    </row>
    <row r="6673" spans="1:2" hidden="1">
      <c r="A6673" s="190" t="str">
        <f t="shared" si="54"/>
        <v/>
      </c>
      <c r="B6673" s="190" t="str">
        <f t="shared" si="53"/>
        <v/>
      </c>
    </row>
    <row r="6674" spans="1:2" hidden="1">
      <c r="A6674" s="190" t="str">
        <f t="shared" si="54"/>
        <v/>
      </c>
      <c r="B6674" s="190" t="str">
        <f t="shared" si="53"/>
        <v/>
      </c>
    </row>
    <row r="6675" spans="1:2" hidden="1">
      <c r="A6675" s="190" t="str">
        <f t="shared" si="54"/>
        <v/>
      </c>
      <c r="B6675" s="190" t="str">
        <f t="shared" si="53"/>
        <v/>
      </c>
    </row>
    <row r="6676" spans="1:2" hidden="1">
      <c r="A6676" s="190" t="str">
        <f t="shared" si="54"/>
        <v/>
      </c>
      <c r="B6676" s="190" t="str">
        <f t="shared" si="53"/>
        <v/>
      </c>
    </row>
    <row r="6677" spans="1:2" hidden="1">
      <c r="A6677" s="190" t="str">
        <f t="shared" si="54"/>
        <v/>
      </c>
      <c r="B6677" s="190" t="str">
        <f t="shared" si="53"/>
        <v/>
      </c>
    </row>
    <row r="6678" spans="1:2" hidden="1">
      <c r="A6678" s="190" t="str">
        <f t="shared" si="54"/>
        <v/>
      </c>
      <c r="B6678" s="190" t="str">
        <f t="shared" si="53"/>
        <v/>
      </c>
    </row>
    <row r="6679" spans="1:2" hidden="1">
      <c r="A6679" s="190" t="str">
        <f t="shared" si="54"/>
        <v/>
      </c>
      <c r="B6679" s="190" t="str">
        <f t="shared" si="53"/>
        <v/>
      </c>
    </row>
    <row r="6680" spans="1:2" hidden="1">
      <c r="A6680" s="190" t="str">
        <f t="shared" si="54"/>
        <v/>
      </c>
      <c r="B6680" s="190" t="str">
        <f t="shared" si="53"/>
        <v/>
      </c>
    </row>
    <row r="6681" spans="1:2" hidden="1">
      <c r="A6681" s="190" t="str">
        <f t="shared" si="54"/>
        <v/>
      </c>
      <c r="B6681" s="190" t="str">
        <f t="shared" si="53"/>
        <v/>
      </c>
    </row>
    <row r="6682" spans="1:2" hidden="1">
      <c r="A6682" s="190" t="str">
        <f t="shared" si="54"/>
        <v/>
      </c>
      <c r="B6682" s="190" t="str">
        <f t="shared" si="53"/>
        <v/>
      </c>
    </row>
    <row r="6683" spans="1:2" hidden="1">
      <c r="A6683" s="190" t="str">
        <f t="shared" si="54"/>
        <v/>
      </c>
      <c r="B6683" s="190" t="str">
        <f t="shared" si="53"/>
        <v/>
      </c>
    </row>
    <row r="6684" spans="1:2" hidden="1">
      <c r="A6684" s="190" t="str">
        <f t="shared" si="54"/>
        <v/>
      </c>
      <c r="B6684" s="190" t="str">
        <f t="shared" si="53"/>
        <v/>
      </c>
    </row>
    <row r="6685" spans="1:2" hidden="1">
      <c r="A6685" s="190" t="str">
        <f t="shared" si="54"/>
        <v/>
      </c>
      <c r="B6685" s="190" t="str">
        <f t="shared" si="53"/>
        <v/>
      </c>
    </row>
    <row r="6686" spans="1:2" hidden="1">
      <c r="A6686" s="190" t="str">
        <f t="shared" si="54"/>
        <v/>
      </c>
      <c r="B6686" s="190" t="str">
        <f t="shared" si="53"/>
        <v/>
      </c>
    </row>
    <row r="6687" spans="1:2" hidden="1">
      <c r="A6687" s="190" t="str">
        <f t="shared" si="54"/>
        <v/>
      </c>
      <c r="B6687" s="190" t="str">
        <f t="shared" si="53"/>
        <v/>
      </c>
    </row>
    <row r="6688" spans="1:2" hidden="1">
      <c r="A6688" s="190" t="str">
        <f t="shared" si="54"/>
        <v/>
      </c>
      <c r="B6688" s="190" t="str">
        <f t="shared" si="53"/>
        <v/>
      </c>
    </row>
    <row r="6689" spans="1:2" hidden="1">
      <c r="A6689" s="190" t="str">
        <f t="shared" si="54"/>
        <v/>
      </c>
      <c r="B6689" s="190" t="str">
        <f t="shared" si="53"/>
        <v/>
      </c>
    </row>
    <row r="6690" spans="1:2" hidden="1">
      <c r="A6690" s="190" t="str">
        <f t="shared" si="54"/>
        <v/>
      </c>
      <c r="B6690" s="190" t="str">
        <f t="shared" si="53"/>
        <v/>
      </c>
    </row>
    <row r="6691" spans="1:2" hidden="1">
      <c r="A6691" s="190" t="str">
        <f t="shared" si="54"/>
        <v/>
      </c>
      <c r="B6691" s="190" t="str">
        <f t="shared" si="53"/>
        <v/>
      </c>
    </row>
    <row r="6692" spans="1:2" hidden="1">
      <c r="A6692" s="190" t="str">
        <f t="shared" si="54"/>
        <v/>
      </c>
      <c r="B6692" s="190" t="str">
        <f t="shared" si="53"/>
        <v/>
      </c>
    </row>
    <row r="6693" spans="1:2" hidden="1">
      <c r="A6693" s="190" t="str">
        <f t="shared" si="54"/>
        <v/>
      </c>
      <c r="B6693" s="190" t="str">
        <f t="shared" si="53"/>
        <v/>
      </c>
    </row>
    <row r="6694" spans="1:2" hidden="1">
      <c r="A6694" s="190" t="str">
        <f t="shared" si="54"/>
        <v/>
      </c>
      <c r="B6694" s="190" t="str">
        <f t="shared" si="53"/>
        <v/>
      </c>
    </row>
    <row r="6695" spans="1:2" hidden="1">
      <c r="A6695" s="190" t="str">
        <f t="shared" si="54"/>
        <v/>
      </c>
      <c r="B6695" s="190" t="str">
        <f t="shared" si="53"/>
        <v/>
      </c>
    </row>
    <row r="6696" spans="1:2" hidden="1">
      <c r="A6696" s="190" t="str">
        <f t="shared" si="54"/>
        <v/>
      </c>
      <c r="B6696" s="190" t="str">
        <f t="shared" si="53"/>
        <v/>
      </c>
    </row>
    <row r="6697" spans="1:2" hidden="1">
      <c r="A6697" s="190" t="str">
        <f t="shared" si="54"/>
        <v/>
      </c>
      <c r="B6697" s="190" t="str">
        <f t="shared" si="53"/>
        <v/>
      </c>
    </row>
    <row r="6698" spans="1:2" hidden="1">
      <c r="A6698" s="190" t="str">
        <f t="shared" si="54"/>
        <v/>
      </c>
      <c r="B6698" s="190" t="str">
        <f t="shared" si="53"/>
        <v/>
      </c>
    </row>
    <row r="6699" spans="1:2" hidden="1">
      <c r="A6699" s="190" t="str">
        <f t="shared" si="54"/>
        <v/>
      </c>
      <c r="B6699" s="190" t="str">
        <f t="shared" si="53"/>
        <v/>
      </c>
    </row>
    <row r="6700" spans="1:2" hidden="1">
      <c r="A6700" s="190" t="str">
        <f t="shared" si="54"/>
        <v/>
      </c>
      <c r="B6700" s="190" t="str">
        <f t="shared" si="53"/>
        <v/>
      </c>
    </row>
    <row r="6701" spans="1:2" hidden="1">
      <c r="A6701" s="190" t="str">
        <f t="shared" si="54"/>
        <v/>
      </c>
      <c r="B6701" s="190" t="str">
        <f t="shared" si="53"/>
        <v/>
      </c>
    </row>
    <row r="6702" spans="1:2" hidden="1">
      <c r="A6702" s="190" t="str">
        <f t="shared" si="54"/>
        <v/>
      </c>
      <c r="B6702" s="190" t="str">
        <f t="shared" si="53"/>
        <v/>
      </c>
    </row>
    <row r="6703" spans="1:2" hidden="1">
      <c r="A6703" s="190" t="str">
        <f t="shared" si="54"/>
        <v/>
      </c>
      <c r="B6703" s="190" t="str">
        <f t="shared" si="53"/>
        <v/>
      </c>
    </row>
    <row r="6704" spans="1:2" hidden="1">
      <c r="A6704" s="190" t="str">
        <f t="shared" si="54"/>
        <v/>
      </c>
      <c r="B6704" s="190" t="str">
        <f t="shared" si="53"/>
        <v/>
      </c>
    </row>
    <row r="6705" spans="1:2" hidden="1">
      <c r="A6705" s="190" t="str">
        <f t="shared" si="54"/>
        <v/>
      </c>
      <c r="B6705" s="190" t="str">
        <f t="shared" si="53"/>
        <v/>
      </c>
    </row>
    <row r="6706" spans="1:2" hidden="1">
      <c r="A6706" s="190" t="str">
        <f t="shared" si="54"/>
        <v/>
      </c>
      <c r="B6706" s="190" t="str">
        <f t="shared" si="53"/>
        <v/>
      </c>
    </row>
    <row r="6707" spans="1:2" hidden="1">
      <c r="A6707" s="190" t="str">
        <f t="shared" si="54"/>
        <v/>
      </c>
      <c r="B6707" s="190" t="str">
        <f t="shared" si="53"/>
        <v/>
      </c>
    </row>
    <row r="6708" spans="1:2" hidden="1">
      <c r="A6708" s="190" t="str">
        <f t="shared" si="54"/>
        <v/>
      </c>
      <c r="B6708" s="190" t="str">
        <f t="shared" si="53"/>
        <v/>
      </c>
    </row>
    <row r="6709" spans="1:2" hidden="1">
      <c r="A6709" s="190" t="str">
        <f t="shared" si="54"/>
        <v/>
      </c>
      <c r="B6709" s="190" t="str">
        <f t="shared" si="53"/>
        <v/>
      </c>
    </row>
    <row r="6710" spans="1:2" hidden="1">
      <c r="A6710" s="190" t="str">
        <f t="shared" si="54"/>
        <v/>
      </c>
      <c r="B6710" s="190" t="str">
        <f t="shared" si="53"/>
        <v/>
      </c>
    </row>
    <row r="6711" spans="1:2" hidden="1">
      <c r="A6711" s="190" t="str">
        <f t="shared" si="54"/>
        <v/>
      </c>
      <c r="B6711" s="190" t="str">
        <f t="shared" si="53"/>
        <v/>
      </c>
    </row>
    <row r="6712" spans="1:2" hidden="1">
      <c r="A6712" s="190" t="str">
        <f t="shared" si="54"/>
        <v/>
      </c>
      <c r="B6712" s="190" t="str">
        <f t="shared" si="53"/>
        <v/>
      </c>
    </row>
    <row r="6713" spans="1:2" hidden="1">
      <c r="A6713" s="190" t="str">
        <f t="shared" si="54"/>
        <v/>
      </c>
      <c r="B6713" s="190" t="str">
        <f t="shared" si="53"/>
        <v/>
      </c>
    </row>
    <row r="6714" spans="1:2" hidden="1">
      <c r="A6714" s="190" t="str">
        <f t="shared" si="54"/>
        <v/>
      </c>
      <c r="B6714" s="190" t="str">
        <f t="shared" si="53"/>
        <v/>
      </c>
    </row>
    <row r="6715" spans="1:2" hidden="1">
      <c r="A6715" s="190" t="str">
        <f t="shared" si="54"/>
        <v/>
      </c>
      <c r="B6715" s="190" t="str">
        <f t="shared" si="53"/>
        <v/>
      </c>
    </row>
    <row r="6716" spans="1:2" hidden="1">
      <c r="A6716" s="190" t="str">
        <f t="shared" si="54"/>
        <v/>
      </c>
      <c r="B6716" s="190" t="str">
        <f t="shared" ref="B6716:B6779" si="55">HYPERLINK("http://tw.stock.yahoo.com/d/s/earning_.html","")</f>
        <v/>
      </c>
    </row>
    <row r="6717" spans="1:2" hidden="1">
      <c r="A6717" s="190" t="str">
        <f t="shared" si="54"/>
        <v/>
      </c>
      <c r="B6717" s="190" t="str">
        <f t="shared" si="55"/>
        <v/>
      </c>
    </row>
    <row r="6718" spans="1:2" hidden="1">
      <c r="A6718" s="190" t="str">
        <f t="shared" si="54"/>
        <v/>
      </c>
      <c r="B6718" s="190" t="str">
        <f t="shared" si="55"/>
        <v/>
      </c>
    </row>
    <row r="6719" spans="1:2" hidden="1">
      <c r="A6719" s="190" t="str">
        <f t="shared" ref="A6719:A6782" si="56">HYPERLINK("http://tw.stock.yahoo.com/q/ta?s=","")</f>
        <v/>
      </c>
      <c r="B6719" s="190" t="str">
        <f t="shared" si="55"/>
        <v/>
      </c>
    </row>
    <row r="6720" spans="1:2" hidden="1">
      <c r="A6720" s="190" t="str">
        <f t="shared" si="56"/>
        <v/>
      </c>
      <c r="B6720" s="190" t="str">
        <f t="shared" si="55"/>
        <v/>
      </c>
    </row>
    <row r="6721" spans="1:2" hidden="1">
      <c r="A6721" s="190" t="str">
        <f t="shared" si="56"/>
        <v/>
      </c>
      <c r="B6721" s="190" t="str">
        <f t="shared" si="55"/>
        <v/>
      </c>
    </row>
    <row r="6722" spans="1:2" hidden="1">
      <c r="A6722" s="190" t="str">
        <f t="shared" si="56"/>
        <v/>
      </c>
      <c r="B6722" s="190" t="str">
        <f t="shared" si="55"/>
        <v/>
      </c>
    </row>
    <row r="6723" spans="1:2" hidden="1">
      <c r="A6723" s="190" t="str">
        <f t="shared" si="56"/>
        <v/>
      </c>
      <c r="B6723" s="190" t="str">
        <f t="shared" si="55"/>
        <v/>
      </c>
    </row>
    <row r="6724" spans="1:2" hidden="1">
      <c r="A6724" s="190" t="str">
        <f t="shared" si="56"/>
        <v/>
      </c>
      <c r="B6724" s="190" t="str">
        <f t="shared" si="55"/>
        <v/>
      </c>
    </row>
    <row r="6725" spans="1:2" hidden="1">
      <c r="A6725" s="190" t="str">
        <f t="shared" si="56"/>
        <v/>
      </c>
      <c r="B6725" s="190" t="str">
        <f t="shared" si="55"/>
        <v/>
      </c>
    </row>
    <row r="6726" spans="1:2" hidden="1">
      <c r="A6726" s="190" t="str">
        <f t="shared" si="56"/>
        <v/>
      </c>
      <c r="B6726" s="190" t="str">
        <f t="shared" si="55"/>
        <v/>
      </c>
    </row>
    <row r="6727" spans="1:2" hidden="1">
      <c r="A6727" s="190" t="str">
        <f t="shared" si="56"/>
        <v/>
      </c>
      <c r="B6727" s="190" t="str">
        <f t="shared" si="55"/>
        <v/>
      </c>
    </row>
    <row r="6728" spans="1:2" hidden="1">
      <c r="A6728" s="190" t="str">
        <f t="shared" si="56"/>
        <v/>
      </c>
      <c r="B6728" s="190" t="str">
        <f t="shared" si="55"/>
        <v/>
      </c>
    </row>
    <row r="6729" spans="1:2" hidden="1">
      <c r="A6729" s="190" t="str">
        <f t="shared" si="56"/>
        <v/>
      </c>
      <c r="B6729" s="190" t="str">
        <f t="shared" si="55"/>
        <v/>
      </c>
    </row>
    <row r="6730" spans="1:2" hidden="1">
      <c r="A6730" s="190" t="str">
        <f t="shared" si="56"/>
        <v/>
      </c>
      <c r="B6730" s="190" t="str">
        <f t="shared" si="55"/>
        <v/>
      </c>
    </row>
    <row r="6731" spans="1:2" hidden="1">
      <c r="A6731" s="190" t="str">
        <f t="shared" si="56"/>
        <v/>
      </c>
      <c r="B6731" s="190" t="str">
        <f t="shared" si="55"/>
        <v/>
      </c>
    </row>
    <row r="6732" spans="1:2" hidden="1">
      <c r="A6732" s="190" t="str">
        <f t="shared" si="56"/>
        <v/>
      </c>
      <c r="B6732" s="190" t="str">
        <f t="shared" si="55"/>
        <v/>
      </c>
    </row>
    <row r="6733" spans="1:2" hidden="1">
      <c r="A6733" s="190" t="str">
        <f t="shared" si="56"/>
        <v/>
      </c>
      <c r="B6733" s="190" t="str">
        <f t="shared" si="55"/>
        <v/>
      </c>
    </row>
    <row r="6734" spans="1:2" hidden="1">
      <c r="A6734" s="190" t="str">
        <f t="shared" si="56"/>
        <v/>
      </c>
      <c r="B6734" s="190" t="str">
        <f t="shared" si="55"/>
        <v/>
      </c>
    </row>
    <row r="6735" spans="1:2" hidden="1">
      <c r="A6735" s="190" t="str">
        <f t="shared" si="56"/>
        <v/>
      </c>
      <c r="B6735" s="190" t="str">
        <f t="shared" si="55"/>
        <v/>
      </c>
    </row>
    <row r="6736" spans="1:2" hidden="1">
      <c r="A6736" s="190" t="str">
        <f t="shared" si="56"/>
        <v/>
      </c>
      <c r="B6736" s="190" t="str">
        <f t="shared" si="55"/>
        <v/>
      </c>
    </row>
    <row r="6737" spans="1:2" hidden="1">
      <c r="A6737" s="190" t="str">
        <f t="shared" si="56"/>
        <v/>
      </c>
      <c r="B6737" s="190" t="str">
        <f t="shared" si="55"/>
        <v/>
      </c>
    </row>
    <row r="6738" spans="1:2" hidden="1">
      <c r="A6738" s="190" t="str">
        <f t="shared" si="56"/>
        <v/>
      </c>
      <c r="B6738" s="190" t="str">
        <f t="shared" si="55"/>
        <v/>
      </c>
    </row>
    <row r="6739" spans="1:2" hidden="1">
      <c r="A6739" s="190" t="str">
        <f t="shared" si="56"/>
        <v/>
      </c>
      <c r="B6739" s="190" t="str">
        <f t="shared" si="55"/>
        <v/>
      </c>
    </row>
    <row r="6740" spans="1:2" hidden="1">
      <c r="A6740" s="190" t="str">
        <f t="shared" si="56"/>
        <v/>
      </c>
      <c r="B6740" s="190" t="str">
        <f t="shared" si="55"/>
        <v/>
      </c>
    </row>
    <row r="6741" spans="1:2" hidden="1">
      <c r="A6741" s="190" t="str">
        <f t="shared" si="56"/>
        <v/>
      </c>
      <c r="B6741" s="190" t="str">
        <f t="shared" si="55"/>
        <v/>
      </c>
    </row>
    <row r="6742" spans="1:2" hidden="1">
      <c r="A6742" s="190" t="str">
        <f t="shared" si="56"/>
        <v/>
      </c>
      <c r="B6742" s="190" t="str">
        <f t="shared" si="55"/>
        <v/>
      </c>
    </row>
    <row r="6743" spans="1:2" hidden="1">
      <c r="A6743" s="190" t="str">
        <f t="shared" si="56"/>
        <v/>
      </c>
      <c r="B6743" s="190" t="str">
        <f t="shared" si="55"/>
        <v/>
      </c>
    </row>
    <row r="6744" spans="1:2" hidden="1">
      <c r="A6744" s="190" t="str">
        <f t="shared" si="56"/>
        <v/>
      </c>
      <c r="B6744" s="190" t="str">
        <f t="shared" si="55"/>
        <v/>
      </c>
    </row>
    <row r="6745" spans="1:2" hidden="1">
      <c r="A6745" s="190" t="str">
        <f t="shared" si="56"/>
        <v/>
      </c>
      <c r="B6745" s="190" t="str">
        <f t="shared" si="55"/>
        <v/>
      </c>
    </row>
    <row r="6746" spans="1:2" hidden="1">
      <c r="A6746" s="190" t="str">
        <f t="shared" si="56"/>
        <v/>
      </c>
      <c r="B6746" s="190" t="str">
        <f t="shared" si="55"/>
        <v/>
      </c>
    </row>
    <row r="6747" spans="1:2" hidden="1">
      <c r="A6747" s="190" t="str">
        <f t="shared" si="56"/>
        <v/>
      </c>
      <c r="B6747" s="190" t="str">
        <f t="shared" si="55"/>
        <v/>
      </c>
    </row>
    <row r="6748" spans="1:2" hidden="1">
      <c r="A6748" s="190" t="str">
        <f t="shared" si="56"/>
        <v/>
      </c>
      <c r="B6748" s="190" t="str">
        <f t="shared" si="55"/>
        <v/>
      </c>
    </row>
    <row r="6749" spans="1:2" hidden="1">
      <c r="A6749" s="190" t="str">
        <f t="shared" si="56"/>
        <v/>
      </c>
      <c r="B6749" s="190" t="str">
        <f t="shared" si="55"/>
        <v/>
      </c>
    </row>
    <row r="6750" spans="1:2" hidden="1">
      <c r="A6750" s="190" t="str">
        <f t="shared" si="56"/>
        <v/>
      </c>
      <c r="B6750" s="190" t="str">
        <f t="shared" si="55"/>
        <v/>
      </c>
    </row>
    <row r="6751" spans="1:2" hidden="1">
      <c r="A6751" s="190" t="str">
        <f t="shared" si="56"/>
        <v/>
      </c>
      <c r="B6751" s="190" t="str">
        <f t="shared" si="55"/>
        <v/>
      </c>
    </row>
    <row r="6752" spans="1:2" hidden="1">
      <c r="A6752" s="190" t="str">
        <f t="shared" si="56"/>
        <v/>
      </c>
      <c r="B6752" s="190" t="str">
        <f t="shared" si="55"/>
        <v/>
      </c>
    </row>
    <row r="6753" spans="1:2" hidden="1">
      <c r="A6753" s="190" t="str">
        <f t="shared" si="56"/>
        <v/>
      </c>
      <c r="B6753" s="190" t="str">
        <f t="shared" si="55"/>
        <v/>
      </c>
    </row>
    <row r="6754" spans="1:2" hidden="1">
      <c r="A6754" s="190" t="str">
        <f t="shared" si="56"/>
        <v/>
      </c>
      <c r="B6754" s="190" t="str">
        <f t="shared" si="55"/>
        <v/>
      </c>
    </row>
    <row r="6755" spans="1:2" hidden="1">
      <c r="A6755" s="190" t="str">
        <f t="shared" si="56"/>
        <v/>
      </c>
      <c r="B6755" s="190" t="str">
        <f t="shared" si="55"/>
        <v/>
      </c>
    </row>
    <row r="6756" spans="1:2" hidden="1">
      <c r="A6756" s="190" t="str">
        <f t="shared" si="56"/>
        <v/>
      </c>
      <c r="B6756" s="190" t="str">
        <f t="shared" si="55"/>
        <v/>
      </c>
    </row>
    <row r="6757" spans="1:2" hidden="1">
      <c r="A6757" s="190" t="str">
        <f t="shared" si="56"/>
        <v/>
      </c>
      <c r="B6757" s="190" t="str">
        <f t="shared" si="55"/>
        <v/>
      </c>
    </row>
    <row r="6758" spans="1:2" hidden="1">
      <c r="A6758" s="190" t="str">
        <f t="shared" si="56"/>
        <v/>
      </c>
      <c r="B6758" s="190" t="str">
        <f t="shared" si="55"/>
        <v/>
      </c>
    </row>
    <row r="6759" spans="1:2" hidden="1">
      <c r="A6759" s="190" t="str">
        <f t="shared" si="56"/>
        <v/>
      </c>
      <c r="B6759" s="190" t="str">
        <f t="shared" si="55"/>
        <v/>
      </c>
    </row>
    <row r="6760" spans="1:2" hidden="1">
      <c r="A6760" s="190" t="str">
        <f t="shared" si="56"/>
        <v/>
      </c>
      <c r="B6760" s="190" t="str">
        <f t="shared" si="55"/>
        <v/>
      </c>
    </row>
    <row r="6761" spans="1:2" hidden="1">
      <c r="A6761" s="190" t="str">
        <f t="shared" si="56"/>
        <v/>
      </c>
      <c r="B6761" s="190" t="str">
        <f t="shared" si="55"/>
        <v/>
      </c>
    </row>
    <row r="6762" spans="1:2" hidden="1">
      <c r="A6762" s="190" t="str">
        <f t="shared" si="56"/>
        <v/>
      </c>
      <c r="B6762" s="190" t="str">
        <f t="shared" si="55"/>
        <v/>
      </c>
    </row>
    <row r="6763" spans="1:2" hidden="1">
      <c r="A6763" s="190" t="str">
        <f t="shared" si="56"/>
        <v/>
      </c>
      <c r="B6763" s="190" t="str">
        <f t="shared" si="55"/>
        <v/>
      </c>
    </row>
    <row r="6764" spans="1:2" hidden="1">
      <c r="A6764" s="190" t="str">
        <f t="shared" si="56"/>
        <v/>
      </c>
      <c r="B6764" s="190" t="str">
        <f t="shared" si="55"/>
        <v/>
      </c>
    </row>
    <row r="6765" spans="1:2" hidden="1">
      <c r="A6765" s="190" t="str">
        <f t="shared" si="56"/>
        <v/>
      </c>
      <c r="B6765" s="190" t="str">
        <f t="shared" si="55"/>
        <v/>
      </c>
    </row>
    <row r="6766" spans="1:2" hidden="1">
      <c r="A6766" s="190" t="str">
        <f t="shared" si="56"/>
        <v/>
      </c>
      <c r="B6766" s="190" t="str">
        <f t="shared" si="55"/>
        <v/>
      </c>
    </row>
    <row r="6767" spans="1:2" hidden="1">
      <c r="A6767" s="190" t="str">
        <f t="shared" si="56"/>
        <v/>
      </c>
      <c r="B6767" s="190" t="str">
        <f t="shared" si="55"/>
        <v/>
      </c>
    </row>
    <row r="6768" spans="1:2" hidden="1">
      <c r="A6768" s="190" t="str">
        <f t="shared" si="56"/>
        <v/>
      </c>
      <c r="B6768" s="190" t="str">
        <f t="shared" si="55"/>
        <v/>
      </c>
    </row>
    <row r="6769" spans="1:2" hidden="1">
      <c r="A6769" s="190" t="str">
        <f t="shared" si="56"/>
        <v/>
      </c>
      <c r="B6769" s="190" t="str">
        <f t="shared" si="55"/>
        <v/>
      </c>
    </row>
    <row r="6770" spans="1:2" hidden="1">
      <c r="A6770" s="190" t="str">
        <f t="shared" si="56"/>
        <v/>
      </c>
      <c r="B6770" s="190" t="str">
        <f t="shared" si="55"/>
        <v/>
      </c>
    </row>
    <row r="6771" spans="1:2" hidden="1">
      <c r="A6771" s="190" t="str">
        <f t="shared" si="56"/>
        <v/>
      </c>
      <c r="B6771" s="190" t="str">
        <f t="shared" si="55"/>
        <v/>
      </c>
    </row>
    <row r="6772" spans="1:2" hidden="1">
      <c r="A6772" s="190" t="str">
        <f t="shared" si="56"/>
        <v/>
      </c>
      <c r="B6772" s="190" t="str">
        <f t="shared" si="55"/>
        <v/>
      </c>
    </row>
    <row r="6773" spans="1:2" hidden="1">
      <c r="A6773" s="190" t="str">
        <f t="shared" si="56"/>
        <v/>
      </c>
      <c r="B6773" s="190" t="str">
        <f t="shared" si="55"/>
        <v/>
      </c>
    </row>
    <row r="6774" spans="1:2" hidden="1">
      <c r="A6774" s="190" t="str">
        <f t="shared" si="56"/>
        <v/>
      </c>
      <c r="B6774" s="190" t="str">
        <f t="shared" si="55"/>
        <v/>
      </c>
    </row>
    <row r="6775" spans="1:2" hidden="1">
      <c r="A6775" s="190" t="str">
        <f t="shared" si="56"/>
        <v/>
      </c>
      <c r="B6775" s="190" t="str">
        <f t="shared" si="55"/>
        <v/>
      </c>
    </row>
    <row r="6776" spans="1:2" hidden="1">
      <c r="A6776" s="190" t="str">
        <f t="shared" si="56"/>
        <v/>
      </c>
      <c r="B6776" s="190" t="str">
        <f t="shared" si="55"/>
        <v/>
      </c>
    </row>
    <row r="6777" spans="1:2" hidden="1">
      <c r="A6777" s="190" t="str">
        <f t="shared" si="56"/>
        <v/>
      </c>
      <c r="B6777" s="190" t="str">
        <f t="shared" si="55"/>
        <v/>
      </c>
    </row>
    <row r="6778" spans="1:2" hidden="1">
      <c r="A6778" s="190" t="str">
        <f t="shared" si="56"/>
        <v/>
      </c>
      <c r="B6778" s="190" t="str">
        <f t="shared" si="55"/>
        <v/>
      </c>
    </row>
    <row r="6779" spans="1:2" hidden="1">
      <c r="A6779" s="190" t="str">
        <f t="shared" si="56"/>
        <v/>
      </c>
      <c r="B6779" s="190" t="str">
        <f t="shared" si="55"/>
        <v/>
      </c>
    </row>
    <row r="6780" spans="1:2" hidden="1">
      <c r="A6780" s="190" t="str">
        <f t="shared" si="56"/>
        <v/>
      </c>
      <c r="B6780" s="190" t="str">
        <f t="shared" ref="B6780:B6843" si="57">HYPERLINK("http://tw.stock.yahoo.com/d/s/earning_.html","")</f>
        <v/>
      </c>
    </row>
    <row r="6781" spans="1:2" hidden="1">
      <c r="A6781" s="190" t="str">
        <f t="shared" si="56"/>
        <v/>
      </c>
      <c r="B6781" s="190" t="str">
        <f t="shared" si="57"/>
        <v/>
      </c>
    </row>
    <row r="6782" spans="1:2" hidden="1">
      <c r="A6782" s="190" t="str">
        <f t="shared" si="56"/>
        <v/>
      </c>
      <c r="B6782" s="190" t="str">
        <f t="shared" si="57"/>
        <v/>
      </c>
    </row>
    <row r="6783" spans="1:2" hidden="1">
      <c r="A6783" s="190" t="str">
        <f t="shared" ref="A6783:A6846" si="58">HYPERLINK("http://tw.stock.yahoo.com/q/ta?s=","")</f>
        <v/>
      </c>
      <c r="B6783" s="190" t="str">
        <f t="shared" si="57"/>
        <v/>
      </c>
    </row>
    <row r="6784" spans="1:2" hidden="1">
      <c r="A6784" s="190" t="str">
        <f t="shared" si="58"/>
        <v/>
      </c>
      <c r="B6784" s="190" t="str">
        <f t="shared" si="57"/>
        <v/>
      </c>
    </row>
    <row r="6785" spans="1:2" hidden="1">
      <c r="A6785" s="190" t="str">
        <f t="shared" si="58"/>
        <v/>
      </c>
      <c r="B6785" s="190" t="str">
        <f t="shared" si="57"/>
        <v/>
      </c>
    </row>
    <row r="6786" spans="1:2" hidden="1">
      <c r="A6786" s="190" t="str">
        <f t="shared" si="58"/>
        <v/>
      </c>
      <c r="B6786" s="190" t="str">
        <f t="shared" si="57"/>
        <v/>
      </c>
    </row>
    <row r="6787" spans="1:2" hidden="1">
      <c r="A6787" s="190" t="str">
        <f t="shared" si="58"/>
        <v/>
      </c>
      <c r="B6787" s="190" t="str">
        <f t="shared" si="57"/>
        <v/>
      </c>
    </row>
    <row r="6788" spans="1:2" hidden="1">
      <c r="A6788" s="190" t="str">
        <f t="shared" si="58"/>
        <v/>
      </c>
      <c r="B6788" s="190" t="str">
        <f t="shared" si="57"/>
        <v/>
      </c>
    </row>
    <row r="6789" spans="1:2" hidden="1">
      <c r="A6789" s="190" t="str">
        <f t="shared" si="58"/>
        <v/>
      </c>
      <c r="B6789" s="190" t="str">
        <f t="shared" si="57"/>
        <v/>
      </c>
    </row>
    <row r="6790" spans="1:2" hidden="1">
      <c r="A6790" s="190" t="str">
        <f t="shared" si="58"/>
        <v/>
      </c>
      <c r="B6790" s="190" t="str">
        <f t="shared" si="57"/>
        <v/>
      </c>
    </row>
    <row r="6791" spans="1:2" hidden="1">
      <c r="A6791" s="190" t="str">
        <f t="shared" si="58"/>
        <v/>
      </c>
      <c r="B6791" s="190" t="str">
        <f t="shared" si="57"/>
        <v/>
      </c>
    </row>
    <row r="6792" spans="1:2" hidden="1">
      <c r="A6792" s="190" t="str">
        <f t="shared" si="58"/>
        <v/>
      </c>
      <c r="B6792" s="190" t="str">
        <f t="shared" si="57"/>
        <v/>
      </c>
    </row>
    <row r="6793" spans="1:2" hidden="1">
      <c r="A6793" s="190" t="str">
        <f t="shared" si="58"/>
        <v/>
      </c>
      <c r="B6793" s="190" t="str">
        <f t="shared" si="57"/>
        <v/>
      </c>
    </row>
    <row r="6794" spans="1:2" hidden="1">
      <c r="A6794" s="190" t="str">
        <f t="shared" si="58"/>
        <v/>
      </c>
      <c r="B6794" s="190" t="str">
        <f t="shared" si="57"/>
        <v/>
      </c>
    </row>
    <row r="6795" spans="1:2" hidden="1">
      <c r="A6795" s="190" t="str">
        <f t="shared" si="58"/>
        <v/>
      </c>
      <c r="B6795" s="190" t="str">
        <f t="shared" si="57"/>
        <v/>
      </c>
    </row>
    <row r="6796" spans="1:2" hidden="1">
      <c r="A6796" s="190" t="str">
        <f t="shared" si="58"/>
        <v/>
      </c>
      <c r="B6796" s="190" t="str">
        <f t="shared" si="57"/>
        <v/>
      </c>
    </row>
    <row r="6797" spans="1:2" hidden="1">
      <c r="A6797" s="190" t="str">
        <f t="shared" si="58"/>
        <v/>
      </c>
      <c r="B6797" s="190" t="str">
        <f t="shared" si="57"/>
        <v/>
      </c>
    </row>
    <row r="6798" spans="1:2" hidden="1">
      <c r="A6798" s="190" t="str">
        <f t="shared" si="58"/>
        <v/>
      </c>
      <c r="B6798" s="190" t="str">
        <f t="shared" si="57"/>
        <v/>
      </c>
    </row>
    <row r="6799" spans="1:2" hidden="1">
      <c r="A6799" s="190" t="str">
        <f t="shared" si="58"/>
        <v/>
      </c>
      <c r="B6799" s="190" t="str">
        <f t="shared" si="57"/>
        <v/>
      </c>
    </row>
    <row r="6800" spans="1:2" hidden="1">
      <c r="A6800" s="190" t="str">
        <f t="shared" si="58"/>
        <v/>
      </c>
      <c r="B6800" s="190" t="str">
        <f t="shared" si="57"/>
        <v/>
      </c>
    </row>
    <row r="6801" spans="1:2" hidden="1">
      <c r="A6801" s="190" t="str">
        <f t="shared" si="58"/>
        <v/>
      </c>
      <c r="B6801" s="190" t="str">
        <f t="shared" si="57"/>
        <v/>
      </c>
    </row>
    <row r="6802" spans="1:2" hidden="1">
      <c r="A6802" s="190" t="str">
        <f t="shared" si="58"/>
        <v/>
      </c>
      <c r="B6802" s="190" t="str">
        <f t="shared" si="57"/>
        <v/>
      </c>
    </row>
    <row r="6803" spans="1:2" hidden="1">
      <c r="A6803" s="190" t="str">
        <f t="shared" si="58"/>
        <v/>
      </c>
      <c r="B6803" s="190" t="str">
        <f t="shared" si="57"/>
        <v/>
      </c>
    </row>
    <row r="6804" spans="1:2" hidden="1">
      <c r="A6804" s="190" t="str">
        <f t="shared" si="58"/>
        <v/>
      </c>
      <c r="B6804" s="190" t="str">
        <f t="shared" si="57"/>
        <v/>
      </c>
    </row>
    <row r="6805" spans="1:2" hidden="1">
      <c r="A6805" s="190" t="str">
        <f t="shared" si="58"/>
        <v/>
      </c>
      <c r="B6805" s="190" t="str">
        <f t="shared" si="57"/>
        <v/>
      </c>
    </row>
    <row r="6806" spans="1:2" hidden="1">
      <c r="A6806" s="190" t="str">
        <f t="shared" si="58"/>
        <v/>
      </c>
      <c r="B6806" s="190" t="str">
        <f t="shared" si="57"/>
        <v/>
      </c>
    </row>
    <row r="6807" spans="1:2" hidden="1">
      <c r="A6807" s="190" t="str">
        <f t="shared" si="58"/>
        <v/>
      </c>
      <c r="B6807" s="190" t="str">
        <f t="shared" si="57"/>
        <v/>
      </c>
    </row>
    <row r="6808" spans="1:2" hidden="1">
      <c r="A6808" s="190" t="str">
        <f t="shared" si="58"/>
        <v/>
      </c>
      <c r="B6808" s="190" t="str">
        <f t="shared" si="57"/>
        <v/>
      </c>
    </row>
    <row r="6809" spans="1:2" hidden="1">
      <c r="A6809" s="190" t="str">
        <f t="shared" si="58"/>
        <v/>
      </c>
      <c r="B6809" s="190" t="str">
        <f t="shared" si="57"/>
        <v/>
      </c>
    </row>
    <row r="6810" spans="1:2" hidden="1">
      <c r="A6810" s="190" t="str">
        <f t="shared" si="58"/>
        <v/>
      </c>
      <c r="B6810" s="190" t="str">
        <f t="shared" si="57"/>
        <v/>
      </c>
    </row>
    <row r="6811" spans="1:2" hidden="1">
      <c r="A6811" s="190" t="str">
        <f t="shared" si="58"/>
        <v/>
      </c>
      <c r="B6811" s="190" t="str">
        <f t="shared" si="57"/>
        <v/>
      </c>
    </row>
    <row r="6812" spans="1:2" hidden="1">
      <c r="A6812" s="190" t="str">
        <f t="shared" si="58"/>
        <v/>
      </c>
      <c r="B6812" s="190" t="str">
        <f t="shared" si="57"/>
        <v/>
      </c>
    </row>
    <row r="6813" spans="1:2" hidden="1">
      <c r="A6813" s="190" t="str">
        <f t="shared" si="58"/>
        <v/>
      </c>
      <c r="B6813" s="190" t="str">
        <f t="shared" si="57"/>
        <v/>
      </c>
    </row>
    <row r="6814" spans="1:2" hidden="1">
      <c r="A6814" s="190" t="str">
        <f t="shared" si="58"/>
        <v/>
      </c>
      <c r="B6814" s="190" t="str">
        <f t="shared" si="57"/>
        <v/>
      </c>
    </row>
    <row r="6815" spans="1:2" hidden="1">
      <c r="A6815" s="190" t="str">
        <f t="shared" si="58"/>
        <v/>
      </c>
      <c r="B6815" s="190" t="str">
        <f t="shared" si="57"/>
        <v/>
      </c>
    </row>
    <row r="6816" spans="1:2" hidden="1">
      <c r="A6816" s="190" t="str">
        <f t="shared" si="58"/>
        <v/>
      </c>
      <c r="B6816" s="190" t="str">
        <f t="shared" si="57"/>
        <v/>
      </c>
    </row>
    <row r="6817" spans="1:2" hidden="1">
      <c r="A6817" s="190" t="str">
        <f t="shared" si="58"/>
        <v/>
      </c>
      <c r="B6817" s="190" t="str">
        <f t="shared" si="57"/>
        <v/>
      </c>
    </row>
    <row r="6818" spans="1:2" hidden="1">
      <c r="A6818" s="190" t="str">
        <f t="shared" si="58"/>
        <v/>
      </c>
      <c r="B6818" s="190" t="str">
        <f t="shared" si="57"/>
        <v/>
      </c>
    </row>
    <row r="6819" spans="1:2" hidden="1">
      <c r="A6819" s="190" t="str">
        <f t="shared" si="58"/>
        <v/>
      </c>
      <c r="B6819" s="190" t="str">
        <f t="shared" si="57"/>
        <v/>
      </c>
    </row>
    <row r="6820" spans="1:2" hidden="1">
      <c r="A6820" s="190" t="str">
        <f t="shared" si="58"/>
        <v/>
      </c>
      <c r="B6820" s="190" t="str">
        <f t="shared" si="57"/>
        <v/>
      </c>
    </row>
    <row r="6821" spans="1:2" hidden="1">
      <c r="A6821" s="190" t="str">
        <f t="shared" si="58"/>
        <v/>
      </c>
      <c r="B6821" s="190" t="str">
        <f t="shared" si="57"/>
        <v/>
      </c>
    </row>
    <row r="6822" spans="1:2" hidden="1">
      <c r="A6822" s="190" t="str">
        <f t="shared" si="58"/>
        <v/>
      </c>
      <c r="B6822" s="190" t="str">
        <f t="shared" si="57"/>
        <v/>
      </c>
    </row>
    <row r="6823" spans="1:2" hidden="1">
      <c r="A6823" s="190" t="str">
        <f t="shared" si="58"/>
        <v/>
      </c>
      <c r="B6823" s="190" t="str">
        <f t="shared" si="57"/>
        <v/>
      </c>
    </row>
    <row r="6824" spans="1:2" hidden="1">
      <c r="A6824" s="190" t="str">
        <f t="shared" si="58"/>
        <v/>
      </c>
      <c r="B6824" s="190" t="str">
        <f t="shared" si="57"/>
        <v/>
      </c>
    </row>
    <row r="6825" spans="1:2" hidden="1">
      <c r="A6825" s="190" t="str">
        <f t="shared" si="58"/>
        <v/>
      </c>
      <c r="B6825" s="190" t="str">
        <f t="shared" si="57"/>
        <v/>
      </c>
    </row>
    <row r="6826" spans="1:2" hidden="1">
      <c r="A6826" s="190" t="str">
        <f t="shared" si="58"/>
        <v/>
      </c>
      <c r="B6826" s="190" t="str">
        <f t="shared" si="57"/>
        <v/>
      </c>
    </row>
    <row r="6827" spans="1:2" hidden="1">
      <c r="A6827" s="190" t="str">
        <f t="shared" si="58"/>
        <v/>
      </c>
      <c r="B6827" s="190" t="str">
        <f t="shared" si="57"/>
        <v/>
      </c>
    </row>
    <row r="6828" spans="1:2" hidden="1">
      <c r="A6828" s="190" t="str">
        <f t="shared" si="58"/>
        <v/>
      </c>
      <c r="B6828" s="190" t="str">
        <f t="shared" si="57"/>
        <v/>
      </c>
    </row>
    <row r="6829" spans="1:2" hidden="1">
      <c r="A6829" s="190" t="str">
        <f t="shared" si="58"/>
        <v/>
      </c>
      <c r="B6829" s="190" t="str">
        <f t="shared" si="57"/>
        <v/>
      </c>
    </row>
    <row r="6830" spans="1:2" hidden="1">
      <c r="A6830" s="190" t="str">
        <f t="shared" si="58"/>
        <v/>
      </c>
      <c r="B6830" s="190" t="str">
        <f t="shared" si="57"/>
        <v/>
      </c>
    </row>
    <row r="6831" spans="1:2" hidden="1">
      <c r="A6831" s="190" t="str">
        <f t="shared" si="58"/>
        <v/>
      </c>
      <c r="B6831" s="190" t="str">
        <f t="shared" si="57"/>
        <v/>
      </c>
    </row>
    <row r="6832" spans="1:2" hidden="1">
      <c r="A6832" s="190" t="str">
        <f t="shared" si="58"/>
        <v/>
      </c>
      <c r="B6832" s="190" t="str">
        <f t="shared" si="57"/>
        <v/>
      </c>
    </row>
    <row r="6833" spans="1:2" hidden="1">
      <c r="A6833" s="190" t="str">
        <f t="shared" si="58"/>
        <v/>
      </c>
      <c r="B6833" s="190" t="str">
        <f t="shared" si="57"/>
        <v/>
      </c>
    </row>
    <row r="6834" spans="1:2" hidden="1">
      <c r="A6834" s="190" t="str">
        <f t="shared" si="58"/>
        <v/>
      </c>
      <c r="B6834" s="190" t="str">
        <f t="shared" si="57"/>
        <v/>
      </c>
    </row>
    <row r="6835" spans="1:2" hidden="1">
      <c r="A6835" s="190" t="str">
        <f t="shared" si="58"/>
        <v/>
      </c>
      <c r="B6835" s="190" t="str">
        <f t="shared" si="57"/>
        <v/>
      </c>
    </row>
    <row r="6836" spans="1:2" hidden="1">
      <c r="A6836" s="190" t="str">
        <f t="shared" si="58"/>
        <v/>
      </c>
      <c r="B6836" s="190" t="str">
        <f t="shared" si="57"/>
        <v/>
      </c>
    </row>
    <row r="6837" spans="1:2" hidden="1">
      <c r="A6837" s="190" t="str">
        <f t="shared" si="58"/>
        <v/>
      </c>
      <c r="B6837" s="190" t="str">
        <f t="shared" si="57"/>
        <v/>
      </c>
    </row>
    <row r="6838" spans="1:2" hidden="1">
      <c r="A6838" s="190" t="str">
        <f t="shared" si="58"/>
        <v/>
      </c>
      <c r="B6838" s="190" t="str">
        <f t="shared" si="57"/>
        <v/>
      </c>
    </row>
    <row r="6839" spans="1:2" hidden="1">
      <c r="A6839" s="190" t="str">
        <f t="shared" si="58"/>
        <v/>
      </c>
      <c r="B6839" s="190" t="str">
        <f t="shared" si="57"/>
        <v/>
      </c>
    </row>
    <row r="6840" spans="1:2" hidden="1">
      <c r="A6840" s="190" t="str">
        <f t="shared" si="58"/>
        <v/>
      </c>
      <c r="B6840" s="190" t="str">
        <f t="shared" si="57"/>
        <v/>
      </c>
    </row>
    <row r="6841" spans="1:2" hidden="1">
      <c r="A6841" s="190" t="str">
        <f t="shared" si="58"/>
        <v/>
      </c>
      <c r="B6841" s="190" t="str">
        <f t="shared" si="57"/>
        <v/>
      </c>
    </row>
    <row r="6842" spans="1:2" hidden="1">
      <c r="A6842" s="190" t="str">
        <f t="shared" si="58"/>
        <v/>
      </c>
      <c r="B6842" s="190" t="str">
        <f t="shared" si="57"/>
        <v/>
      </c>
    </row>
    <row r="6843" spans="1:2" hidden="1">
      <c r="A6843" s="190" t="str">
        <f t="shared" si="58"/>
        <v/>
      </c>
      <c r="B6843" s="190" t="str">
        <f t="shared" si="57"/>
        <v/>
      </c>
    </row>
    <row r="6844" spans="1:2" hidden="1">
      <c r="A6844" s="190" t="str">
        <f t="shared" si="58"/>
        <v/>
      </c>
      <c r="B6844" s="190" t="str">
        <f t="shared" ref="B6844:B6907" si="59">HYPERLINK("http://tw.stock.yahoo.com/d/s/earning_.html","")</f>
        <v/>
      </c>
    </row>
    <row r="6845" spans="1:2" hidden="1">
      <c r="A6845" s="190" t="str">
        <f t="shared" si="58"/>
        <v/>
      </c>
      <c r="B6845" s="190" t="str">
        <f t="shared" si="59"/>
        <v/>
      </c>
    </row>
    <row r="6846" spans="1:2" hidden="1">
      <c r="A6846" s="190" t="str">
        <f t="shared" si="58"/>
        <v/>
      </c>
      <c r="B6846" s="190" t="str">
        <f t="shared" si="59"/>
        <v/>
      </c>
    </row>
    <row r="6847" spans="1:2" hidden="1">
      <c r="A6847" s="190" t="str">
        <f t="shared" ref="A6847:A6910" si="60">HYPERLINK("http://tw.stock.yahoo.com/q/ta?s=","")</f>
        <v/>
      </c>
      <c r="B6847" s="190" t="str">
        <f t="shared" si="59"/>
        <v/>
      </c>
    </row>
    <row r="6848" spans="1:2" hidden="1">
      <c r="A6848" s="190" t="str">
        <f t="shared" si="60"/>
        <v/>
      </c>
      <c r="B6848" s="190" t="str">
        <f t="shared" si="59"/>
        <v/>
      </c>
    </row>
    <row r="6849" spans="1:2" hidden="1">
      <c r="A6849" s="190" t="str">
        <f t="shared" si="60"/>
        <v/>
      </c>
      <c r="B6849" s="190" t="str">
        <f t="shared" si="59"/>
        <v/>
      </c>
    </row>
    <row r="6850" spans="1:2" hidden="1">
      <c r="A6850" s="190" t="str">
        <f t="shared" si="60"/>
        <v/>
      </c>
      <c r="B6850" s="190" t="str">
        <f t="shared" si="59"/>
        <v/>
      </c>
    </row>
    <row r="6851" spans="1:2" hidden="1">
      <c r="A6851" s="190" t="str">
        <f t="shared" si="60"/>
        <v/>
      </c>
      <c r="B6851" s="190" t="str">
        <f t="shared" si="59"/>
        <v/>
      </c>
    </row>
    <row r="6852" spans="1:2" hidden="1">
      <c r="A6852" s="190" t="str">
        <f t="shared" si="60"/>
        <v/>
      </c>
      <c r="B6852" s="190" t="str">
        <f t="shared" si="59"/>
        <v/>
      </c>
    </row>
    <row r="6853" spans="1:2" hidden="1">
      <c r="A6853" s="190" t="str">
        <f t="shared" si="60"/>
        <v/>
      </c>
      <c r="B6853" s="190" t="str">
        <f t="shared" si="59"/>
        <v/>
      </c>
    </row>
    <row r="6854" spans="1:2" hidden="1">
      <c r="A6854" s="190" t="str">
        <f t="shared" si="60"/>
        <v/>
      </c>
      <c r="B6854" s="190" t="str">
        <f t="shared" si="59"/>
        <v/>
      </c>
    </row>
    <row r="6855" spans="1:2" hidden="1">
      <c r="A6855" s="190" t="str">
        <f t="shared" si="60"/>
        <v/>
      </c>
      <c r="B6855" s="190" t="str">
        <f t="shared" si="59"/>
        <v/>
      </c>
    </row>
    <row r="6856" spans="1:2" hidden="1">
      <c r="A6856" s="190" t="str">
        <f t="shared" si="60"/>
        <v/>
      </c>
      <c r="B6856" s="190" t="str">
        <f t="shared" si="59"/>
        <v/>
      </c>
    </row>
    <row r="6857" spans="1:2" hidden="1">
      <c r="A6857" s="190" t="str">
        <f t="shared" si="60"/>
        <v/>
      </c>
      <c r="B6857" s="190" t="str">
        <f t="shared" si="59"/>
        <v/>
      </c>
    </row>
    <row r="6858" spans="1:2" hidden="1">
      <c r="A6858" s="190" t="str">
        <f t="shared" si="60"/>
        <v/>
      </c>
      <c r="B6858" s="190" t="str">
        <f t="shared" si="59"/>
        <v/>
      </c>
    </row>
    <row r="6859" spans="1:2" hidden="1">
      <c r="A6859" s="190" t="str">
        <f t="shared" si="60"/>
        <v/>
      </c>
      <c r="B6859" s="190" t="str">
        <f t="shared" si="59"/>
        <v/>
      </c>
    </row>
    <row r="6860" spans="1:2" hidden="1">
      <c r="A6860" s="190" t="str">
        <f t="shared" si="60"/>
        <v/>
      </c>
      <c r="B6860" s="190" t="str">
        <f t="shared" si="59"/>
        <v/>
      </c>
    </row>
    <row r="6861" spans="1:2" hidden="1">
      <c r="A6861" s="190" t="str">
        <f t="shared" si="60"/>
        <v/>
      </c>
      <c r="B6861" s="190" t="str">
        <f t="shared" si="59"/>
        <v/>
      </c>
    </row>
    <row r="6862" spans="1:2" hidden="1">
      <c r="A6862" s="190" t="str">
        <f t="shared" si="60"/>
        <v/>
      </c>
      <c r="B6862" s="190" t="str">
        <f t="shared" si="59"/>
        <v/>
      </c>
    </row>
    <row r="6863" spans="1:2" hidden="1">
      <c r="A6863" s="190" t="str">
        <f t="shared" si="60"/>
        <v/>
      </c>
      <c r="B6863" s="190" t="str">
        <f t="shared" si="59"/>
        <v/>
      </c>
    </row>
    <row r="6864" spans="1:2" hidden="1">
      <c r="A6864" s="190" t="str">
        <f t="shared" si="60"/>
        <v/>
      </c>
      <c r="B6864" s="190" t="str">
        <f t="shared" si="59"/>
        <v/>
      </c>
    </row>
    <row r="6865" spans="1:2" hidden="1">
      <c r="A6865" s="190" t="str">
        <f t="shared" si="60"/>
        <v/>
      </c>
      <c r="B6865" s="190" t="str">
        <f t="shared" si="59"/>
        <v/>
      </c>
    </row>
    <row r="6866" spans="1:2" hidden="1">
      <c r="A6866" s="190" t="str">
        <f t="shared" si="60"/>
        <v/>
      </c>
      <c r="B6866" s="190" t="str">
        <f t="shared" si="59"/>
        <v/>
      </c>
    </row>
    <row r="6867" spans="1:2" hidden="1">
      <c r="A6867" s="190" t="str">
        <f t="shared" si="60"/>
        <v/>
      </c>
      <c r="B6867" s="190" t="str">
        <f t="shared" si="59"/>
        <v/>
      </c>
    </row>
    <row r="6868" spans="1:2" hidden="1">
      <c r="A6868" s="190" t="str">
        <f t="shared" si="60"/>
        <v/>
      </c>
      <c r="B6868" s="190" t="str">
        <f t="shared" si="59"/>
        <v/>
      </c>
    </row>
    <row r="6869" spans="1:2" hidden="1">
      <c r="A6869" s="190" t="str">
        <f t="shared" si="60"/>
        <v/>
      </c>
      <c r="B6869" s="190" t="str">
        <f t="shared" si="59"/>
        <v/>
      </c>
    </row>
    <row r="6870" spans="1:2" hidden="1">
      <c r="A6870" s="190" t="str">
        <f t="shared" si="60"/>
        <v/>
      </c>
      <c r="B6870" s="190" t="str">
        <f t="shared" si="59"/>
        <v/>
      </c>
    </row>
    <row r="6871" spans="1:2" hidden="1">
      <c r="A6871" s="190" t="str">
        <f t="shared" si="60"/>
        <v/>
      </c>
      <c r="B6871" s="190" t="str">
        <f t="shared" si="59"/>
        <v/>
      </c>
    </row>
    <row r="6872" spans="1:2" hidden="1">
      <c r="A6872" s="190" t="str">
        <f t="shared" si="60"/>
        <v/>
      </c>
      <c r="B6872" s="190" t="str">
        <f t="shared" si="59"/>
        <v/>
      </c>
    </row>
    <row r="6873" spans="1:2" hidden="1">
      <c r="A6873" s="190" t="str">
        <f t="shared" si="60"/>
        <v/>
      </c>
      <c r="B6873" s="190" t="str">
        <f t="shared" si="59"/>
        <v/>
      </c>
    </row>
    <row r="6874" spans="1:2" hidden="1">
      <c r="A6874" s="190" t="str">
        <f t="shared" si="60"/>
        <v/>
      </c>
      <c r="B6874" s="190" t="str">
        <f t="shared" si="59"/>
        <v/>
      </c>
    </row>
    <row r="6875" spans="1:2" hidden="1">
      <c r="A6875" s="190" t="str">
        <f t="shared" si="60"/>
        <v/>
      </c>
      <c r="B6875" s="190" t="str">
        <f t="shared" si="59"/>
        <v/>
      </c>
    </row>
    <row r="6876" spans="1:2" hidden="1">
      <c r="A6876" s="190" t="str">
        <f t="shared" si="60"/>
        <v/>
      </c>
      <c r="B6876" s="190" t="str">
        <f t="shared" si="59"/>
        <v/>
      </c>
    </row>
    <row r="6877" spans="1:2" hidden="1">
      <c r="A6877" s="190" t="str">
        <f t="shared" si="60"/>
        <v/>
      </c>
      <c r="B6877" s="190" t="str">
        <f t="shared" si="59"/>
        <v/>
      </c>
    </row>
    <row r="6878" spans="1:2" hidden="1">
      <c r="A6878" s="190" t="str">
        <f t="shared" si="60"/>
        <v/>
      </c>
      <c r="B6878" s="190" t="str">
        <f t="shared" si="59"/>
        <v/>
      </c>
    </row>
    <row r="6879" spans="1:2" hidden="1">
      <c r="A6879" s="190" t="str">
        <f t="shared" si="60"/>
        <v/>
      </c>
      <c r="B6879" s="190" t="str">
        <f t="shared" si="59"/>
        <v/>
      </c>
    </row>
    <row r="6880" spans="1:2" hidden="1">
      <c r="A6880" s="190" t="str">
        <f t="shared" si="60"/>
        <v/>
      </c>
      <c r="B6880" s="190" t="str">
        <f t="shared" si="59"/>
        <v/>
      </c>
    </row>
    <row r="6881" spans="1:2" hidden="1">
      <c r="A6881" s="190" t="str">
        <f t="shared" si="60"/>
        <v/>
      </c>
      <c r="B6881" s="190" t="str">
        <f t="shared" si="59"/>
        <v/>
      </c>
    </row>
    <row r="6882" spans="1:2" hidden="1">
      <c r="A6882" s="190" t="str">
        <f t="shared" si="60"/>
        <v/>
      </c>
      <c r="B6882" s="190" t="str">
        <f t="shared" si="59"/>
        <v/>
      </c>
    </row>
    <row r="6883" spans="1:2" hidden="1">
      <c r="A6883" s="190" t="str">
        <f t="shared" si="60"/>
        <v/>
      </c>
      <c r="B6883" s="190" t="str">
        <f t="shared" si="59"/>
        <v/>
      </c>
    </row>
    <row r="6884" spans="1:2" hidden="1">
      <c r="A6884" s="190" t="str">
        <f t="shared" si="60"/>
        <v/>
      </c>
      <c r="B6884" s="190" t="str">
        <f t="shared" si="59"/>
        <v/>
      </c>
    </row>
    <row r="6885" spans="1:2" hidden="1">
      <c r="A6885" s="190" t="str">
        <f t="shared" si="60"/>
        <v/>
      </c>
      <c r="B6885" s="190" t="str">
        <f t="shared" si="59"/>
        <v/>
      </c>
    </row>
    <row r="6886" spans="1:2" hidden="1">
      <c r="A6886" s="190" t="str">
        <f t="shared" si="60"/>
        <v/>
      </c>
      <c r="B6886" s="190" t="str">
        <f t="shared" si="59"/>
        <v/>
      </c>
    </row>
    <row r="6887" spans="1:2" hidden="1">
      <c r="A6887" s="190" t="str">
        <f t="shared" si="60"/>
        <v/>
      </c>
      <c r="B6887" s="190" t="str">
        <f t="shared" si="59"/>
        <v/>
      </c>
    </row>
    <row r="6888" spans="1:2" hidden="1">
      <c r="A6888" s="190" t="str">
        <f t="shared" si="60"/>
        <v/>
      </c>
      <c r="B6888" s="190" t="str">
        <f t="shared" si="59"/>
        <v/>
      </c>
    </row>
    <row r="6889" spans="1:2" hidden="1">
      <c r="A6889" s="190" t="str">
        <f t="shared" si="60"/>
        <v/>
      </c>
      <c r="B6889" s="190" t="str">
        <f t="shared" si="59"/>
        <v/>
      </c>
    </row>
    <row r="6890" spans="1:2" hidden="1">
      <c r="A6890" s="190" t="str">
        <f t="shared" si="60"/>
        <v/>
      </c>
      <c r="B6890" s="190" t="str">
        <f t="shared" si="59"/>
        <v/>
      </c>
    </row>
    <row r="6891" spans="1:2" hidden="1">
      <c r="A6891" s="190" t="str">
        <f t="shared" si="60"/>
        <v/>
      </c>
      <c r="B6891" s="190" t="str">
        <f t="shared" si="59"/>
        <v/>
      </c>
    </row>
    <row r="6892" spans="1:2" hidden="1">
      <c r="A6892" s="190" t="str">
        <f t="shared" si="60"/>
        <v/>
      </c>
      <c r="B6892" s="190" t="str">
        <f t="shared" si="59"/>
        <v/>
      </c>
    </row>
    <row r="6893" spans="1:2" hidden="1">
      <c r="A6893" s="190" t="str">
        <f t="shared" si="60"/>
        <v/>
      </c>
      <c r="B6893" s="190" t="str">
        <f t="shared" si="59"/>
        <v/>
      </c>
    </row>
    <row r="6894" spans="1:2" hidden="1">
      <c r="A6894" s="190" t="str">
        <f t="shared" si="60"/>
        <v/>
      </c>
      <c r="B6894" s="190" t="str">
        <f t="shared" si="59"/>
        <v/>
      </c>
    </row>
    <row r="6895" spans="1:2" hidden="1">
      <c r="A6895" s="190" t="str">
        <f t="shared" si="60"/>
        <v/>
      </c>
      <c r="B6895" s="190" t="str">
        <f t="shared" si="59"/>
        <v/>
      </c>
    </row>
    <row r="6896" spans="1:2" hidden="1">
      <c r="A6896" s="190" t="str">
        <f t="shared" si="60"/>
        <v/>
      </c>
      <c r="B6896" s="190" t="str">
        <f t="shared" si="59"/>
        <v/>
      </c>
    </row>
    <row r="6897" spans="1:2" hidden="1">
      <c r="A6897" s="190" t="str">
        <f t="shared" si="60"/>
        <v/>
      </c>
      <c r="B6897" s="190" t="str">
        <f t="shared" si="59"/>
        <v/>
      </c>
    </row>
    <row r="6898" spans="1:2" hidden="1">
      <c r="A6898" s="190" t="str">
        <f t="shared" si="60"/>
        <v/>
      </c>
      <c r="B6898" s="190" t="str">
        <f t="shared" si="59"/>
        <v/>
      </c>
    </row>
    <row r="6899" spans="1:2" hidden="1">
      <c r="A6899" s="190" t="str">
        <f t="shared" si="60"/>
        <v/>
      </c>
      <c r="B6899" s="190" t="str">
        <f t="shared" si="59"/>
        <v/>
      </c>
    </row>
    <row r="6900" spans="1:2" hidden="1">
      <c r="A6900" s="190" t="str">
        <f t="shared" si="60"/>
        <v/>
      </c>
      <c r="B6900" s="190" t="str">
        <f t="shared" si="59"/>
        <v/>
      </c>
    </row>
    <row r="6901" spans="1:2" hidden="1">
      <c r="A6901" s="190" t="str">
        <f t="shared" si="60"/>
        <v/>
      </c>
      <c r="B6901" s="190" t="str">
        <f t="shared" si="59"/>
        <v/>
      </c>
    </row>
    <row r="6902" spans="1:2" hidden="1">
      <c r="A6902" s="190" t="str">
        <f t="shared" si="60"/>
        <v/>
      </c>
      <c r="B6902" s="190" t="str">
        <f t="shared" si="59"/>
        <v/>
      </c>
    </row>
    <row r="6903" spans="1:2" hidden="1">
      <c r="A6903" s="190" t="str">
        <f t="shared" si="60"/>
        <v/>
      </c>
      <c r="B6903" s="190" t="str">
        <f t="shared" si="59"/>
        <v/>
      </c>
    </row>
    <row r="6904" spans="1:2" hidden="1">
      <c r="A6904" s="190" t="str">
        <f t="shared" si="60"/>
        <v/>
      </c>
      <c r="B6904" s="190" t="str">
        <f t="shared" si="59"/>
        <v/>
      </c>
    </row>
    <row r="6905" spans="1:2" hidden="1">
      <c r="A6905" s="190" t="str">
        <f t="shared" si="60"/>
        <v/>
      </c>
      <c r="B6905" s="190" t="str">
        <f t="shared" si="59"/>
        <v/>
      </c>
    </row>
    <row r="6906" spans="1:2" hidden="1">
      <c r="A6906" s="190" t="str">
        <f t="shared" si="60"/>
        <v/>
      </c>
      <c r="B6906" s="190" t="str">
        <f t="shared" si="59"/>
        <v/>
      </c>
    </row>
    <row r="6907" spans="1:2" hidden="1">
      <c r="A6907" s="190" t="str">
        <f t="shared" si="60"/>
        <v/>
      </c>
      <c r="B6907" s="190" t="str">
        <f t="shared" si="59"/>
        <v/>
      </c>
    </row>
    <row r="6908" spans="1:2" hidden="1">
      <c r="A6908" s="190" t="str">
        <f t="shared" si="60"/>
        <v/>
      </c>
      <c r="B6908" s="190" t="str">
        <f t="shared" ref="B6908:B6971" si="61">HYPERLINK("http://tw.stock.yahoo.com/d/s/earning_.html","")</f>
        <v/>
      </c>
    </row>
    <row r="6909" spans="1:2" hidden="1">
      <c r="A6909" s="190" t="str">
        <f t="shared" si="60"/>
        <v/>
      </c>
      <c r="B6909" s="190" t="str">
        <f t="shared" si="61"/>
        <v/>
      </c>
    </row>
    <row r="6910" spans="1:2" hidden="1">
      <c r="A6910" s="190" t="str">
        <f t="shared" si="60"/>
        <v/>
      </c>
      <c r="B6910" s="190" t="str">
        <f t="shared" si="61"/>
        <v/>
      </c>
    </row>
    <row r="6911" spans="1:2" hidden="1">
      <c r="A6911" s="190" t="str">
        <f t="shared" ref="A6911:A6974" si="62">HYPERLINK("http://tw.stock.yahoo.com/q/ta?s=","")</f>
        <v/>
      </c>
      <c r="B6911" s="190" t="str">
        <f t="shared" si="61"/>
        <v/>
      </c>
    </row>
    <row r="6912" spans="1:2" hidden="1">
      <c r="A6912" s="190" t="str">
        <f t="shared" si="62"/>
        <v/>
      </c>
      <c r="B6912" s="190" t="str">
        <f t="shared" si="61"/>
        <v/>
      </c>
    </row>
    <row r="6913" spans="1:2" hidden="1">
      <c r="A6913" s="190" t="str">
        <f t="shared" si="62"/>
        <v/>
      </c>
      <c r="B6913" s="190" t="str">
        <f t="shared" si="61"/>
        <v/>
      </c>
    </row>
    <row r="6914" spans="1:2" hidden="1">
      <c r="A6914" s="190" t="str">
        <f t="shared" si="62"/>
        <v/>
      </c>
      <c r="B6914" s="190" t="str">
        <f t="shared" si="61"/>
        <v/>
      </c>
    </row>
    <row r="6915" spans="1:2" hidden="1">
      <c r="A6915" s="190" t="str">
        <f t="shared" si="62"/>
        <v/>
      </c>
      <c r="B6915" s="190" t="str">
        <f t="shared" si="61"/>
        <v/>
      </c>
    </row>
    <row r="6916" spans="1:2" hidden="1">
      <c r="A6916" s="190" t="str">
        <f t="shared" si="62"/>
        <v/>
      </c>
      <c r="B6916" s="190" t="str">
        <f t="shared" si="61"/>
        <v/>
      </c>
    </row>
    <row r="6917" spans="1:2" hidden="1">
      <c r="A6917" s="190" t="str">
        <f t="shared" si="62"/>
        <v/>
      </c>
      <c r="B6917" s="190" t="str">
        <f t="shared" si="61"/>
        <v/>
      </c>
    </row>
    <row r="6918" spans="1:2" hidden="1">
      <c r="A6918" s="190" t="str">
        <f t="shared" si="62"/>
        <v/>
      </c>
      <c r="B6918" s="190" t="str">
        <f t="shared" si="61"/>
        <v/>
      </c>
    </row>
    <row r="6919" spans="1:2" hidden="1">
      <c r="A6919" s="190" t="str">
        <f t="shared" si="62"/>
        <v/>
      </c>
      <c r="B6919" s="190" t="str">
        <f t="shared" si="61"/>
        <v/>
      </c>
    </row>
    <row r="6920" spans="1:2" hidden="1">
      <c r="A6920" s="190" t="str">
        <f t="shared" si="62"/>
        <v/>
      </c>
      <c r="B6920" s="190" t="str">
        <f t="shared" si="61"/>
        <v/>
      </c>
    </row>
    <row r="6921" spans="1:2" hidden="1">
      <c r="A6921" s="190" t="str">
        <f t="shared" si="62"/>
        <v/>
      </c>
      <c r="B6921" s="190" t="str">
        <f t="shared" si="61"/>
        <v/>
      </c>
    </row>
    <row r="6922" spans="1:2" hidden="1">
      <c r="A6922" s="190" t="str">
        <f t="shared" si="62"/>
        <v/>
      </c>
      <c r="B6922" s="190" t="str">
        <f t="shared" si="61"/>
        <v/>
      </c>
    </row>
    <row r="6923" spans="1:2" hidden="1">
      <c r="A6923" s="190" t="str">
        <f t="shared" si="62"/>
        <v/>
      </c>
      <c r="B6923" s="190" t="str">
        <f t="shared" si="61"/>
        <v/>
      </c>
    </row>
    <row r="6924" spans="1:2" hidden="1">
      <c r="A6924" s="190" t="str">
        <f t="shared" si="62"/>
        <v/>
      </c>
      <c r="B6924" s="190" t="str">
        <f t="shared" si="61"/>
        <v/>
      </c>
    </row>
    <row r="6925" spans="1:2" hidden="1">
      <c r="A6925" s="190" t="str">
        <f t="shared" si="62"/>
        <v/>
      </c>
      <c r="B6925" s="190" t="str">
        <f t="shared" si="61"/>
        <v/>
      </c>
    </row>
    <row r="6926" spans="1:2" hidden="1">
      <c r="A6926" s="190" t="str">
        <f t="shared" si="62"/>
        <v/>
      </c>
      <c r="B6926" s="190" t="str">
        <f t="shared" si="61"/>
        <v/>
      </c>
    </row>
    <row r="6927" spans="1:2" hidden="1">
      <c r="A6927" s="190" t="str">
        <f t="shared" si="62"/>
        <v/>
      </c>
      <c r="B6927" s="190" t="str">
        <f t="shared" si="61"/>
        <v/>
      </c>
    </row>
    <row r="6928" spans="1:2" hidden="1">
      <c r="A6928" s="190" t="str">
        <f t="shared" si="62"/>
        <v/>
      </c>
      <c r="B6928" s="190" t="str">
        <f t="shared" si="61"/>
        <v/>
      </c>
    </row>
    <row r="6929" spans="1:2" hidden="1">
      <c r="A6929" s="190" t="str">
        <f t="shared" si="62"/>
        <v/>
      </c>
      <c r="B6929" s="190" t="str">
        <f t="shared" si="61"/>
        <v/>
      </c>
    </row>
    <row r="6930" spans="1:2" hidden="1">
      <c r="A6930" s="190" t="str">
        <f t="shared" si="62"/>
        <v/>
      </c>
      <c r="B6930" s="190" t="str">
        <f t="shared" si="61"/>
        <v/>
      </c>
    </row>
    <row r="6931" spans="1:2" hidden="1">
      <c r="A6931" s="190" t="str">
        <f t="shared" si="62"/>
        <v/>
      </c>
      <c r="B6931" s="190" t="str">
        <f t="shared" si="61"/>
        <v/>
      </c>
    </row>
    <row r="6932" spans="1:2" hidden="1">
      <c r="A6932" s="190" t="str">
        <f t="shared" si="62"/>
        <v/>
      </c>
      <c r="B6932" s="190" t="str">
        <f t="shared" si="61"/>
        <v/>
      </c>
    </row>
    <row r="6933" spans="1:2" hidden="1">
      <c r="A6933" s="190" t="str">
        <f t="shared" si="62"/>
        <v/>
      </c>
      <c r="B6933" s="190" t="str">
        <f t="shared" si="61"/>
        <v/>
      </c>
    </row>
    <row r="6934" spans="1:2" hidden="1">
      <c r="A6934" s="190" t="str">
        <f t="shared" si="62"/>
        <v/>
      </c>
      <c r="B6934" s="190" t="str">
        <f t="shared" si="61"/>
        <v/>
      </c>
    </row>
    <row r="6935" spans="1:2" hidden="1">
      <c r="A6935" s="190" t="str">
        <f t="shared" si="62"/>
        <v/>
      </c>
      <c r="B6935" s="190" t="str">
        <f t="shared" si="61"/>
        <v/>
      </c>
    </row>
    <row r="6936" spans="1:2" hidden="1">
      <c r="A6936" s="190" t="str">
        <f t="shared" si="62"/>
        <v/>
      </c>
      <c r="B6936" s="190" t="str">
        <f t="shared" si="61"/>
        <v/>
      </c>
    </row>
    <row r="6937" spans="1:2" hidden="1">
      <c r="A6937" s="190" t="str">
        <f t="shared" si="62"/>
        <v/>
      </c>
      <c r="B6937" s="190" t="str">
        <f t="shared" si="61"/>
        <v/>
      </c>
    </row>
    <row r="6938" spans="1:2" hidden="1">
      <c r="A6938" s="190" t="str">
        <f t="shared" si="62"/>
        <v/>
      </c>
      <c r="B6938" s="190" t="str">
        <f t="shared" si="61"/>
        <v/>
      </c>
    </row>
    <row r="6939" spans="1:2" hidden="1">
      <c r="A6939" s="190" t="str">
        <f t="shared" si="62"/>
        <v/>
      </c>
      <c r="B6939" s="190" t="str">
        <f t="shared" si="61"/>
        <v/>
      </c>
    </row>
    <row r="6940" spans="1:2" hidden="1">
      <c r="A6940" s="190" t="str">
        <f t="shared" si="62"/>
        <v/>
      </c>
      <c r="B6940" s="190" t="str">
        <f t="shared" si="61"/>
        <v/>
      </c>
    </row>
    <row r="6941" spans="1:2" hidden="1">
      <c r="A6941" s="190" t="str">
        <f t="shared" si="62"/>
        <v/>
      </c>
      <c r="B6941" s="190" t="str">
        <f t="shared" si="61"/>
        <v/>
      </c>
    </row>
    <row r="6942" spans="1:2" hidden="1">
      <c r="A6942" s="190" t="str">
        <f t="shared" si="62"/>
        <v/>
      </c>
      <c r="B6942" s="190" t="str">
        <f t="shared" si="61"/>
        <v/>
      </c>
    </row>
    <row r="6943" spans="1:2" hidden="1">
      <c r="A6943" s="190" t="str">
        <f t="shared" si="62"/>
        <v/>
      </c>
      <c r="B6943" s="190" t="str">
        <f t="shared" si="61"/>
        <v/>
      </c>
    </row>
    <row r="6944" spans="1:2" hidden="1">
      <c r="A6944" s="190" t="str">
        <f t="shared" si="62"/>
        <v/>
      </c>
      <c r="B6944" s="190" t="str">
        <f t="shared" si="61"/>
        <v/>
      </c>
    </row>
    <row r="6945" spans="1:2" hidden="1">
      <c r="A6945" s="190" t="str">
        <f t="shared" si="62"/>
        <v/>
      </c>
      <c r="B6945" s="190" t="str">
        <f t="shared" si="61"/>
        <v/>
      </c>
    </row>
    <row r="6946" spans="1:2" hidden="1">
      <c r="A6946" s="190" t="str">
        <f t="shared" si="62"/>
        <v/>
      </c>
      <c r="B6946" s="190" t="str">
        <f t="shared" si="61"/>
        <v/>
      </c>
    </row>
    <row r="6947" spans="1:2" hidden="1">
      <c r="A6947" s="190" t="str">
        <f t="shared" si="62"/>
        <v/>
      </c>
      <c r="B6947" s="190" t="str">
        <f t="shared" si="61"/>
        <v/>
      </c>
    </row>
    <row r="6948" spans="1:2" hidden="1">
      <c r="A6948" s="190" t="str">
        <f t="shared" si="62"/>
        <v/>
      </c>
      <c r="B6948" s="190" t="str">
        <f t="shared" si="61"/>
        <v/>
      </c>
    </row>
    <row r="6949" spans="1:2" hidden="1">
      <c r="A6949" s="190" t="str">
        <f t="shared" si="62"/>
        <v/>
      </c>
      <c r="B6949" s="190" t="str">
        <f t="shared" si="61"/>
        <v/>
      </c>
    </row>
    <row r="6950" spans="1:2" hidden="1">
      <c r="A6950" s="190" t="str">
        <f t="shared" si="62"/>
        <v/>
      </c>
      <c r="B6950" s="190" t="str">
        <f t="shared" si="61"/>
        <v/>
      </c>
    </row>
    <row r="6951" spans="1:2" hidden="1">
      <c r="A6951" s="190" t="str">
        <f t="shared" si="62"/>
        <v/>
      </c>
      <c r="B6951" s="190" t="str">
        <f t="shared" si="61"/>
        <v/>
      </c>
    </row>
    <row r="6952" spans="1:2" hidden="1">
      <c r="A6952" s="190" t="str">
        <f t="shared" si="62"/>
        <v/>
      </c>
      <c r="B6952" s="190" t="str">
        <f t="shared" si="61"/>
        <v/>
      </c>
    </row>
    <row r="6953" spans="1:2" hidden="1">
      <c r="A6953" s="190" t="str">
        <f t="shared" si="62"/>
        <v/>
      </c>
      <c r="B6953" s="190" t="str">
        <f t="shared" si="61"/>
        <v/>
      </c>
    </row>
    <row r="6954" spans="1:2" hidden="1">
      <c r="A6954" s="190" t="str">
        <f t="shared" si="62"/>
        <v/>
      </c>
      <c r="B6954" s="190" t="str">
        <f t="shared" si="61"/>
        <v/>
      </c>
    </row>
    <row r="6955" spans="1:2" hidden="1">
      <c r="A6955" s="190" t="str">
        <f t="shared" si="62"/>
        <v/>
      </c>
      <c r="B6955" s="190" t="str">
        <f t="shared" si="61"/>
        <v/>
      </c>
    </row>
    <row r="6956" spans="1:2" hidden="1">
      <c r="A6956" s="190" t="str">
        <f t="shared" si="62"/>
        <v/>
      </c>
      <c r="B6956" s="190" t="str">
        <f t="shared" si="61"/>
        <v/>
      </c>
    </row>
    <row r="6957" spans="1:2" hidden="1">
      <c r="A6957" s="190" t="str">
        <f t="shared" si="62"/>
        <v/>
      </c>
      <c r="B6957" s="190" t="str">
        <f t="shared" si="61"/>
        <v/>
      </c>
    </row>
    <row r="6958" spans="1:2" hidden="1">
      <c r="A6958" s="190" t="str">
        <f t="shared" si="62"/>
        <v/>
      </c>
      <c r="B6958" s="190" t="str">
        <f t="shared" si="61"/>
        <v/>
      </c>
    </row>
    <row r="6959" spans="1:2" hidden="1">
      <c r="A6959" s="190" t="str">
        <f t="shared" si="62"/>
        <v/>
      </c>
      <c r="B6959" s="190" t="str">
        <f t="shared" si="61"/>
        <v/>
      </c>
    </row>
    <row r="6960" spans="1:2" hidden="1">
      <c r="A6960" s="190" t="str">
        <f t="shared" si="62"/>
        <v/>
      </c>
      <c r="B6960" s="190" t="str">
        <f t="shared" si="61"/>
        <v/>
      </c>
    </row>
    <row r="6961" spans="1:2" hidden="1">
      <c r="A6961" s="190" t="str">
        <f t="shared" si="62"/>
        <v/>
      </c>
      <c r="B6961" s="190" t="str">
        <f t="shared" si="61"/>
        <v/>
      </c>
    </row>
    <row r="6962" spans="1:2" hidden="1">
      <c r="A6962" s="190" t="str">
        <f t="shared" si="62"/>
        <v/>
      </c>
      <c r="B6962" s="190" t="str">
        <f t="shared" si="61"/>
        <v/>
      </c>
    </row>
    <row r="6963" spans="1:2" hidden="1">
      <c r="A6963" s="190" t="str">
        <f t="shared" si="62"/>
        <v/>
      </c>
      <c r="B6963" s="190" t="str">
        <f t="shared" si="61"/>
        <v/>
      </c>
    </row>
    <row r="6964" spans="1:2" hidden="1">
      <c r="A6964" s="190" t="str">
        <f t="shared" si="62"/>
        <v/>
      </c>
      <c r="B6964" s="190" t="str">
        <f t="shared" si="61"/>
        <v/>
      </c>
    </row>
    <row r="6965" spans="1:2" hidden="1">
      <c r="A6965" s="190" t="str">
        <f t="shared" si="62"/>
        <v/>
      </c>
      <c r="B6965" s="190" t="str">
        <f t="shared" si="61"/>
        <v/>
      </c>
    </row>
    <row r="6966" spans="1:2" hidden="1">
      <c r="A6966" s="190" t="str">
        <f t="shared" si="62"/>
        <v/>
      </c>
      <c r="B6966" s="190" t="str">
        <f t="shared" si="61"/>
        <v/>
      </c>
    </row>
    <row r="6967" spans="1:2" hidden="1">
      <c r="A6967" s="190" t="str">
        <f t="shared" si="62"/>
        <v/>
      </c>
      <c r="B6967" s="190" t="str">
        <f t="shared" si="61"/>
        <v/>
      </c>
    </row>
    <row r="6968" spans="1:2" hidden="1">
      <c r="A6968" s="190" t="str">
        <f t="shared" si="62"/>
        <v/>
      </c>
      <c r="B6968" s="190" t="str">
        <f t="shared" si="61"/>
        <v/>
      </c>
    </row>
    <row r="6969" spans="1:2" hidden="1">
      <c r="A6969" s="190" t="str">
        <f t="shared" si="62"/>
        <v/>
      </c>
      <c r="B6969" s="190" t="str">
        <f t="shared" si="61"/>
        <v/>
      </c>
    </row>
    <row r="6970" spans="1:2" hidden="1">
      <c r="A6970" s="190" t="str">
        <f t="shared" si="62"/>
        <v/>
      </c>
      <c r="B6970" s="190" t="str">
        <f t="shared" si="61"/>
        <v/>
      </c>
    </row>
    <row r="6971" spans="1:2" hidden="1">
      <c r="A6971" s="190" t="str">
        <f t="shared" si="62"/>
        <v/>
      </c>
      <c r="B6971" s="190" t="str">
        <f t="shared" si="61"/>
        <v/>
      </c>
    </row>
    <row r="6972" spans="1:2" hidden="1">
      <c r="A6972" s="190" t="str">
        <f t="shared" si="62"/>
        <v/>
      </c>
      <c r="B6972" s="190" t="str">
        <f t="shared" ref="B6972:B7035" si="63">HYPERLINK("http://tw.stock.yahoo.com/d/s/earning_.html","")</f>
        <v/>
      </c>
    </row>
    <row r="6973" spans="1:2" hidden="1">
      <c r="A6973" s="190" t="str">
        <f t="shared" si="62"/>
        <v/>
      </c>
      <c r="B6973" s="190" t="str">
        <f t="shared" si="63"/>
        <v/>
      </c>
    </row>
    <row r="6974" spans="1:2" hidden="1">
      <c r="A6974" s="190" t="str">
        <f t="shared" si="62"/>
        <v/>
      </c>
      <c r="B6974" s="190" t="str">
        <f t="shared" si="63"/>
        <v/>
      </c>
    </row>
    <row r="6975" spans="1:2" hidden="1">
      <c r="A6975" s="190" t="str">
        <f t="shared" ref="A6975:A7038" si="64">HYPERLINK("http://tw.stock.yahoo.com/q/ta?s=","")</f>
        <v/>
      </c>
      <c r="B6975" s="190" t="str">
        <f t="shared" si="63"/>
        <v/>
      </c>
    </row>
    <row r="6976" spans="1:2" hidden="1">
      <c r="A6976" s="190" t="str">
        <f t="shared" si="64"/>
        <v/>
      </c>
      <c r="B6976" s="190" t="str">
        <f t="shared" si="63"/>
        <v/>
      </c>
    </row>
    <row r="6977" spans="1:2" hidden="1">
      <c r="A6977" s="190" t="str">
        <f t="shared" si="64"/>
        <v/>
      </c>
      <c r="B6977" s="190" t="str">
        <f t="shared" si="63"/>
        <v/>
      </c>
    </row>
    <row r="6978" spans="1:2" hidden="1">
      <c r="A6978" s="190" t="str">
        <f t="shared" si="64"/>
        <v/>
      </c>
      <c r="B6978" s="190" t="str">
        <f t="shared" si="63"/>
        <v/>
      </c>
    </row>
    <row r="6979" spans="1:2" hidden="1">
      <c r="A6979" s="190" t="str">
        <f t="shared" si="64"/>
        <v/>
      </c>
      <c r="B6979" s="190" t="str">
        <f t="shared" si="63"/>
        <v/>
      </c>
    </row>
    <row r="6980" spans="1:2" hidden="1">
      <c r="A6980" s="190" t="str">
        <f t="shared" si="64"/>
        <v/>
      </c>
      <c r="B6980" s="190" t="str">
        <f t="shared" si="63"/>
        <v/>
      </c>
    </row>
    <row r="6981" spans="1:2" hidden="1">
      <c r="A6981" s="190" t="str">
        <f t="shared" si="64"/>
        <v/>
      </c>
      <c r="B6981" s="190" t="str">
        <f t="shared" si="63"/>
        <v/>
      </c>
    </row>
    <row r="6982" spans="1:2" hidden="1">
      <c r="A6982" s="190" t="str">
        <f t="shared" si="64"/>
        <v/>
      </c>
      <c r="B6982" s="190" t="str">
        <f t="shared" si="63"/>
        <v/>
      </c>
    </row>
    <row r="6983" spans="1:2" hidden="1">
      <c r="A6983" s="190" t="str">
        <f t="shared" si="64"/>
        <v/>
      </c>
      <c r="B6983" s="190" t="str">
        <f t="shared" si="63"/>
        <v/>
      </c>
    </row>
    <row r="6984" spans="1:2" hidden="1">
      <c r="A6984" s="190" t="str">
        <f t="shared" si="64"/>
        <v/>
      </c>
      <c r="B6984" s="190" t="str">
        <f t="shared" si="63"/>
        <v/>
      </c>
    </row>
    <row r="6985" spans="1:2" hidden="1">
      <c r="A6985" s="190" t="str">
        <f t="shared" si="64"/>
        <v/>
      </c>
      <c r="B6985" s="190" t="str">
        <f t="shared" si="63"/>
        <v/>
      </c>
    </row>
    <row r="6986" spans="1:2" hidden="1">
      <c r="A6986" s="190" t="str">
        <f t="shared" si="64"/>
        <v/>
      </c>
      <c r="B6986" s="190" t="str">
        <f t="shared" si="63"/>
        <v/>
      </c>
    </row>
    <row r="6987" spans="1:2" hidden="1">
      <c r="A6987" s="190" t="str">
        <f t="shared" si="64"/>
        <v/>
      </c>
      <c r="B6987" s="190" t="str">
        <f t="shared" si="63"/>
        <v/>
      </c>
    </row>
    <row r="6988" spans="1:2" hidden="1">
      <c r="A6988" s="190" t="str">
        <f t="shared" si="64"/>
        <v/>
      </c>
      <c r="B6988" s="190" t="str">
        <f t="shared" si="63"/>
        <v/>
      </c>
    </row>
    <row r="6989" spans="1:2" hidden="1">
      <c r="A6989" s="190" t="str">
        <f t="shared" si="64"/>
        <v/>
      </c>
      <c r="B6989" s="190" t="str">
        <f t="shared" si="63"/>
        <v/>
      </c>
    </row>
    <row r="6990" spans="1:2" hidden="1">
      <c r="A6990" s="190" t="str">
        <f t="shared" si="64"/>
        <v/>
      </c>
      <c r="B6990" s="190" t="str">
        <f t="shared" si="63"/>
        <v/>
      </c>
    </row>
    <row r="6991" spans="1:2" hidden="1">
      <c r="A6991" s="190" t="str">
        <f t="shared" si="64"/>
        <v/>
      </c>
      <c r="B6991" s="190" t="str">
        <f t="shared" si="63"/>
        <v/>
      </c>
    </row>
    <row r="6992" spans="1:2" hidden="1">
      <c r="A6992" s="190" t="str">
        <f t="shared" si="64"/>
        <v/>
      </c>
      <c r="B6992" s="190" t="str">
        <f t="shared" si="63"/>
        <v/>
      </c>
    </row>
    <row r="6993" spans="1:2" hidden="1">
      <c r="A6993" s="190" t="str">
        <f t="shared" si="64"/>
        <v/>
      </c>
      <c r="B6993" s="190" t="str">
        <f t="shared" si="63"/>
        <v/>
      </c>
    </row>
    <row r="6994" spans="1:2" hidden="1">
      <c r="A6994" s="190" t="str">
        <f t="shared" si="64"/>
        <v/>
      </c>
      <c r="B6994" s="190" t="str">
        <f t="shared" si="63"/>
        <v/>
      </c>
    </row>
    <row r="6995" spans="1:2" hidden="1">
      <c r="A6995" s="190" t="str">
        <f t="shared" si="64"/>
        <v/>
      </c>
      <c r="B6995" s="190" t="str">
        <f t="shared" si="63"/>
        <v/>
      </c>
    </row>
    <row r="6996" spans="1:2" hidden="1">
      <c r="A6996" s="190" t="str">
        <f t="shared" si="64"/>
        <v/>
      </c>
      <c r="B6996" s="190" t="str">
        <f t="shared" si="63"/>
        <v/>
      </c>
    </row>
    <row r="6997" spans="1:2" hidden="1">
      <c r="A6997" s="190" t="str">
        <f t="shared" si="64"/>
        <v/>
      </c>
      <c r="B6997" s="190" t="str">
        <f t="shared" si="63"/>
        <v/>
      </c>
    </row>
    <row r="6998" spans="1:2" hidden="1">
      <c r="A6998" s="190" t="str">
        <f t="shared" si="64"/>
        <v/>
      </c>
      <c r="B6998" s="190" t="str">
        <f t="shared" si="63"/>
        <v/>
      </c>
    </row>
    <row r="6999" spans="1:2" hidden="1">
      <c r="A6999" s="190" t="str">
        <f t="shared" si="64"/>
        <v/>
      </c>
      <c r="B6999" s="190" t="str">
        <f t="shared" si="63"/>
        <v/>
      </c>
    </row>
    <row r="7000" spans="1:2" hidden="1">
      <c r="A7000" s="190" t="str">
        <f t="shared" si="64"/>
        <v/>
      </c>
      <c r="B7000" s="190" t="str">
        <f t="shared" si="63"/>
        <v/>
      </c>
    </row>
    <row r="7001" spans="1:2" hidden="1">
      <c r="A7001" s="190" t="str">
        <f t="shared" si="64"/>
        <v/>
      </c>
      <c r="B7001" s="190" t="str">
        <f t="shared" si="63"/>
        <v/>
      </c>
    </row>
    <row r="7002" spans="1:2" hidden="1">
      <c r="A7002" s="190" t="str">
        <f t="shared" si="64"/>
        <v/>
      </c>
      <c r="B7002" s="190" t="str">
        <f t="shared" si="63"/>
        <v/>
      </c>
    </row>
    <row r="7003" spans="1:2" hidden="1">
      <c r="A7003" s="190" t="str">
        <f t="shared" si="64"/>
        <v/>
      </c>
      <c r="B7003" s="190" t="str">
        <f t="shared" si="63"/>
        <v/>
      </c>
    </row>
    <row r="7004" spans="1:2" hidden="1">
      <c r="A7004" s="190" t="str">
        <f t="shared" si="64"/>
        <v/>
      </c>
      <c r="B7004" s="190" t="str">
        <f t="shared" si="63"/>
        <v/>
      </c>
    </row>
    <row r="7005" spans="1:2" hidden="1">
      <c r="A7005" s="190" t="str">
        <f t="shared" si="64"/>
        <v/>
      </c>
      <c r="B7005" s="190" t="str">
        <f t="shared" si="63"/>
        <v/>
      </c>
    </row>
    <row r="7006" spans="1:2" hidden="1">
      <c r="A7006" s="190" t="str">
        <f t="shared" si="64"/>
        <v/>
      </c>
      <c r="B7006" s="190" t="str">
        <f t="shared" si="63"/>
        <v/>
      </c>
    </row>
    <row r="7007" spans="1:2" hidden="1">
      <c r="A7007" s="190" t="str">
        <f t="shared" si="64"/>
        <v/>
      </c>
      <c r="B7007" s="190" t="str">
        <f t="shared" si="63"/>
        <v/>
      </c>
    </row>
    <row r="7008" spans="1:2" hidden="1">
      <c r="A7008" s="190" t="str">
        <f t="shared" si="64"/>
        <v/>
      </c>
      <c r="B7008" s="190" t="str">
        <f t="shared" si="63"/>
        <v/>
      </c>
    </row>
    <row r="7009" spans="1:2" hidden="1">
      <c r="A7009" s="190" t="str">
        <f t="shared" si="64"/>
        <v/>
      </c>
      <c r="B7009" s="190" t="str">
        <f t="shared" si="63"/>
        <v/>
      </c>
    </row>
    <row r="7010" spans="1:2" hidden="1">
      <c r="A7010" s="190" t="str">
        <f t="shared" si="64"/>
        <v/>
      </c>
      <c r="B7010" s="190" t="str">
        <f t="shared" si="63"/>
        <v/>
      </c>
    </row>
    <row r="7011" spans="1:2" hidden="1">
      <c r="A7011" s="190" t="str">
        <f t="shared" si="64"/>
        <v/>
      </c>
      <c r="B7011" s="190" t="str">
        <f t="shared" si="63"/>
        <v/>
      </c>
    </row>
    <row r="7012" spans="1:2" hidden="1">
      <c r="A7012" s="190" t="str">
        <f t="shared" si="64"/>
        <v/>
      </c>
      <c r="B7012" s="190" t="str">
        <f t="shared" si="63"/>
        <v/>
      </c>
    </row>
    <row r="7013" spans="1:2" hidden="1">
      <c r="A7013" s="190" t="str">
        <f t="shared" si="64"/>
        <v/>
      </c>
      <c r="B7013" s="190" t="str">
        <f t="shared" si="63"/>
        <v/>
      </c>
    </row>
    <row r="7014" spans="1:2" hidden="1">
      <c r="A7014" s="190" t="str">
        <f t="shared" si="64"/>
        <v/>
      </c>
      <c r="B7014" s="190" t="str">
        <f t="shared" si="63"/>
        <v/>
      </c>
    </row>
    <row r="7015" spans="1:2" hidden="1">
      <c r="A7015" s="190" t="str">
        <f t="shared" si="64"/>
        <v/>
      </c>
      <c r="B7015" s="190" t="str">
        <f t="shared" si="63"/>
        <v/>
      </c>
    </row>
    <row r="7016" spans="1:2" hidden="1">
      <c r="A7016" s="190" t="str">
        <f t="shared" si="64"/>
        <v/>
      </c>
      <c r="B7016" s="190" t="str">
        <f t="shared" si="63"/>
        <v/>
      </c>
    </row>
    <row r="7017" spans="1:2" hidden="1">
      <c r="A7017" s="190" t="str">
        <f t="shared" si="64"/>
        <v/>
      </c>
      <c r="B7017" s="190" t="str">
        <f t="shared" si="63"/>
        <v/>
      </c>
    </row>
    <row r="7018" spans="1:2" hidden="1">
      <c r="A7018" s="190" t="str">
        <f t="shared" si="64"/>
        <v/>
      </c>
      <c r="B7018" s="190" t="str">
        <f t="shared" si="63"/>
        <v/>
      </c>
    </row>
    <row r="7019" spans="1:2" hidden="1">
      <c r="A7019" s="190" t="str">
        <f t="shared" si="64"/>
        <v/>
      </c>
      <c r="B7019" s="190" t="str">
        <f t="shared" si="63"/>
        <v/>
      </c>
    </row>
    <row r="7020" spans="1:2" hidden="1">
      <c r="A7020" s="190" t="str">
        <f t="shared" si="64"/>
        <v/>
      </c>
      <c r="B7020" s="190" t="str">
        <f t="shared" si="63"/>
        <v/>
      </c>
    </row>
    <row r="7021" spans="1:2" hidden="1">
      <c r="A7021" s="190" t="str">
        <f t="shared" si="64"/>
        <v/>
      </c>
      <c r="B7021" s="190" t="str">
        <f t="shared" si="63"/>
        <v/>
      </c>
    </row>
    <row r="7022" spans="1:2" hidden="1">
      <c r="A7022" s="190" t="str">
        <f t="shared" si="64"/>
        <v/>
      </c>
      <c r="B7022" s="190" t="str">
        <f t="shared" si="63"/>
        <v/>
      </c>
    </row>
    <row r="7023" spans="1:2" hidden="1">
      <c r="A7023" s="190" t="str">
        <f t="shared" si="64"/>
        <v/>
      </c>
      <c r="B7023" s="190" t="str">
        <f t="shared" si="63"/>
        <v/>
      </c>
    </row>
    <row r="7024" spans="1:2" hidden="1">
      <c r="A7024" s="190" t="str">
        <f t="shared" si="64"/>
        <v/>
      </c>
      <c r="B7024" s="190" t="str">
        <f t="shared" si="63"/>
        <v/>
      </c>
    </row>
    <row r="7025" spans="1:2" hidden="1">
      <c r="A7025" s="190" t="str">
        <f t="shared" si="64"/>
        <v/>
      </c>
      <c r="B7025" s="190" t="str">
        <f t="shared" si="63"/>
        <v/>
      </c>
    </row>
    <row r="7026" spans="1:2" hidden="1">
      <c r="A7026" s="190" t="str">
        <f t="shared" si="64"/>
        <v/>
      </c>
      <c r="B7026" s="190" t="str">
        <f t="shared" si="63"/>
        <v/>
      </c>
    </row>
    <row r="7027" spans="1:2" hidden="1">
      <c r="A7027" s="190" t="str">
        <f t="shared" si="64"/>
        <v/>
      </c>
      <c r="B7027" s="190" t="str">
        <f t="shared" si="63"/>
        <v/>
      </c>
    </row>
    <row r="7028" spans="1:2" hidden="1">
      <c r="A7028" s="190" t="str">
        <f t="shared" si="64"/>
        <v/>
      </c>
      <c r="B7028" s="190" t="str">
        <f t="shared" si="63"/>
        <v/>
      </c>
    </row>
    <row r="7029" spans="1:2" hidden="1">
      <c r="A7029" s="190" t="str">
        <f t="shared" si="64"/>
        <v/>
      </c>
      <c r="B7029" s="190" t="str">
        <f t="shared" si="63"/>
        <v/>
      </c>
    </row>
    <row r="7030" spans="1:2" hidden="1">
      <c r="A7030" s="190" t="str">
        <f t="shared" si="64"/>
        <v/>
      </c>
      <c r="B7030" s="190" t="str">
        <f t="shared" si="63"/>
        <v/>
      </c>
    </row>
    <row r="7031" spans="1:2" hidden="1">
      <c r="A7031" s="190" t="str">
        <f t="shared" si="64"/>
        <v/>
      </c>
      <c r="B7031" s="190" t="str">
        <f t="shared" si="63"/>
        <v/>
      </c>
    </row>
    <row r="7032" spans="1:2" hidden="1">
      <c r="A7032" s="190" t="str">
        <f t="shared" si="64"/>
        <v/>
      </c>
      <c r="B7032" s="190" t="str">
        <f t="shared" si="63"/>
        <v/>
      </c>
    </row>
    <row r="7033" spans="1:2" hidden="1">
      <c r="A7033" s="190" t="str">
        <f t="shared" si="64"/>
        <v/>
      </c>
      <c r="B7033" s="190" t="str">
        <f t="shared" si="63"/>
        <v/>
      </c>
    </row>
    <row r="7034" spans="1:2" hidden="1">
      <c r="A7034" s="190" t="str">
        <f t="shared" si="64"/>
        <v/>
      </c>
      <c r="B7034" s="190" t="str">
        <f t="shared" si="63"/>
        <v/>
      </c>
    </row>
    <row r="7035" spans="1:2" hidden="1">
      <c r="A7035" s="190" t="str">
        <f t="shared" si="64"/>
        <v/>
      </c>
      <c r="B7035" s="190" t="str">
        <f t="shared" si="63"/>
        <v/>
      </c>
    </row>
    <row r="7036" spans="1:2" hidden="1">
      <c r="A7036" s="190" t="str">
        <f t="shared" si="64"/>
        <v/>
      </c>
      <c r="B7036" s="190" t="str">
        <f t="shared" ref="B7036:B7099" si="65">HYPERLINK("http://tw.stock.yahoo.com/d/s/earning_.html","")</f>
        <v/>
      </c>
    </row>
    <row r="7037" spans="1:2" hidden="1">
      <c r="A7037" s="190" t="str">
        <f t="shared" si="64"/>
        <v/>
      </c>
      <c r="B7037" s="190" t="str">
        <f t="shared" si="65"/>
        <v/>
      </c>
    </row>
    <row r="7038" spans="1:2" hidden="1">
      <c r="A7038" s="190" t="str">
        <f t="shared" si="64"/>
        <v/>
      </c>
      <c r="B7038" s="190" t="str">
        <f t="shared" si="65"/>
        <v/>
      </c>
    </row>
    <row r="7039" spans="1:2" hidden="1">
      <c r="A7039" s="190" t="str">
        <f t="shared" ref="A7039:A7102" si="66">HYPERLINK("http://tw.stock.yahoo.com/q/ta?s=","")</f>
        <v/>
      </c>
      <c r="B7039" s="190" t="str">
        <f t="shared" si="65"/>
        <v/>
      </c>
    </row>
    <row r="7040" spans="1:2" hidden="1">
      <c r="A7040" s="190" t="str">
        <f t="shared" si="66"/>
        <v/>
      </c>
      <c r="B7040" s="190" t="str">
        <f t="shared" si="65"/>
        <v/>
      </c>
    </row>
    <row r="7041" spans="1:2" hidden="1">
      <c r="A7041" s="190" t="str">
        <f t="shared" si="66"/>
        <v/>
      </c>
      <c r="B7041" s="190" t="str">
        <f t="shared" si="65"/>
        <v/>
      </c>
    </row>
    <row r="7042" spans="1:2" hidden="1">
      <c r="A7042" s="190" t="str">
        <f t="shared" si="66"/>
        <v/>
      </c>
      <c r="B7042" s="190" t="str">
        <f t="shared" si="65"/>
        <v/>
      </c>
    </row>
    <row r="7043" spans="1:2" hidden="1">
      <c r="A7043" s="190" t="str">
        <f t="shared" si="66"/>
        <v/>
      </c>
      <c r="B7043" s="190" t="str">
        <f t="shared" si="65"/>
        <v/>
      </c>
    </row>
    <row r="7044" spans="1:2" hidden="1">
      <c r="A7044" s="190" t="str">
        <f t="shared" si="66"/>
        <v/>
      </c>
      <c r="B7044" s="190" t="str">
        <f t="shared" si="65"/>
        <v/>
      </c>
    </row>
    <row r="7045" spans="1:2" hidden="1">
      <c r="A7045" s="190" t="str">
        <f t="shared" si="66"/>
        <v/>
      </c>
      <c r="B7045" s="190" t="str">
        <f t="shared" si="65"/>
        <v/>
      </c>
    </row>
    <row r="7046" spans="1:2" hidden="1">
      <c r="A7046" s="190" t="str">
        <f t="shared" si="66"/>
        <v/>
      </c>
      <c r="B7046" s="190" t="str">
        <f t="shared" si="65"/>
        <v/>
      </c>
    </row>
    <row r="7047" spans="1:2" hidden="1">
      <c r="A7047" s="190" t="str">
        <f t="shared" si="66"/>
        <v/>
      </c>
      <c r="B7047" s="190" t="str">
        <f t="shared" si="65"/>
        <v/>
      </c>
    </row>
    <row r="7048" spans="1:2" hidden="1">
      <c r="A7048" s="190" t="str">
        <f t="shared" si="66"/>
        <v/>
      </c>
      <c r="B7048" s="190" t="str">
        <f t="shared" si="65"/>
        <v/>
      </c>
    </row>
    <row r="7049" spans="1:2" hidden="1">
      <c r="A7049" s="190" t="str">
        <f t="shared" si="66"/>
        <v/>
      </c>
      <c r="B7049" s="190" t="str">
        <f t="shared" si="65"/>
        <v/>
      </c>
    </row>
    <row r="7050" spans="1:2" hidden="1">
      <c r="A7050" s="190" t="str">
        <f t="shared" si="66"/>
        <v/>
      </c>
      <c r="B7050" s="190" t="str">
        <f t="shared" si="65"/>
        <v/>
      </c>
    </row>
    <row r="7051" spans="1:2" hidden="1">
      <c r="A7051" s="190" t="str">
        <f t="shared" si="66"/>
        <v/>
      </c>
      <c r="B7051" s="190" t="str">
        <f t="shared" si="65"/>
        <v/>
      </c>
    </row>
    <row r="7052" spans="1:2" hidden="1">
      <c r="A7052" s="190" t="str">
        <f t="shared" si="66"/>
        <v/>
      </c>
      <c r="B7052" s="190" t="str">
        <f t="shared" si="65"/>
        <v/>
      </c>
    </row>
    <row r="7053" spans="1:2" hidden="1">
      <c r="A7053" s="190" t="str">
        <f t="shared" si="66"/>
        <v/>
      </c>
      <c r="B7053" s="190" t="str">
        <f t="shared" si="65"/>
        <v/>
      </c>
    </row>
    <row r="7054" spans="1:2" hidden="1">
      <c r="A7054" s="190" t="str">
        <f t="shared" si="66"/>
        <v/>
      </c>
      <c r="B7054" s="190" t="str">
        <f t="shared" si="65"/>
        <v/>
      </c>
    </row>
    <row r="7055" spans="1:2" hidden="1">
      <c r="A7055" s="190" t="str">
        <f t="shared" si="66"/>
        <v/>
      </c>
      <c r="B7055" s="190" t="str">
        <f t="shared" si="65"/>
        <v/>
      </c>
    </row>
    <row r="7056" spans="1:2" hidden="1">
      <c r="A7056" s="190" t="str">
        <f t="shared" si="66"/>
        <v/>
      </c>
      <c r="B7056" s="190" t="str">
        <f t="shared" si="65"/>
        <v/>
      </c>
    </row>
    <row r="7057" spans="1:2" hidden="1">
      <c r="A7057" s="190" t="str">
        <f t="shared" si="66"/>
        <v/>
      </c>
      <c r="B7057" s="190" t="str">
        <f t="shared" si="65"/>
        <v/>
      </c>
    </row>
    <row r="7058" spans="1:2" hidden="1">
      <c r="A7058" s="190" t="str">
        <f t="shared" si="66"/>
        <v/>
      </c>
      <c r="B7058" s="190" t="str">
        <f t="shared" si="65"/>
        <v/>
      </c>
    </row>
    <row r="7059" spans="1:2" hidden="1">
      <c r="A7059" s="190" t="str">
        <f t="shared" si="66"/>
        <v/>
      </c>
      <c r="B7059" s="190" t="str">
        <f t="shared" si="65"/>
        <v/>
      </c>
    </row>
    <row r="7060" spans="1:2" hidden="1">
      <c r="A7060" s="190" t="str">
        <f t="shared" si="66"/>
        <v/>
      </c>
      <c r="B7060" s="190" t="str">
        <f t="shared" si="65"/>
        <v/>
      </c>
    </row>
    <row r="7061" spans="1:2" hidden="1">
      <c r="A7061" s="190" t="str">
        <f t="shared" si="66"/>
        <v/>
      </c>
      <c r="B7061" s="190" t="str">
        <f t="shared" si="65"/>
        <v/>
      </c>
    </row>
    <row r="7062" spans="1:2" hidden="1">
      <c r="A7062" s="190" t="str">
        <f t="shared" si="66"/>
        <v/>
      </c>
      <c r="B7062" s="190" t="str">
        <f t="shared" si="65"/>
        <v/>
      </c>
    </row>
    <row r="7063" spans="1:2" hidden="1">
      <c r="A7063" s="190" t="str">
        <f t="shared" si="66"/>
        <v/>
      </c>
      <c r="B7063" s="190" t="str">
        <f t="shared" si="65"/>
        <v/>
      </c>
    </row>
    <row r="7064" spans="1:2" hidden="1">
      <c r="A7064" s="190" t="str">
        <f t="shared" si="66"/>
        <v/>
      </c>
      <c r="B7064" s="190" t="str">
        <f t="shared" si="65"/>
        <v/>
      </c>
    </row>
    <row r="7065" spans="1:2" hidden="1">
      <c r="A7065" s="190" t="str">
        <f t="shared" si="66"/>
        <v/>
      </c>
      <c r="B7065" s="190" t="str">
        <f t="shared" si="65"/>
        <v/>
      </c>
    </row>
    <row r="7066" spans="1:2" hidden="1">
      <c r="A7066" s="190" t="str">
        <f t="shared" si="66"/>
        <v/>
      </c>
      <c r="B7066" s="190" t="str">
        <f t="shared" si="65"/>
        <v/>
      </c>
    </row>
    <row r="7067" spans="1:2" hidden="1">
      <c r="A7067" s="190" t="str">
        <f t="shared" si="66"/>
        <v/>
      </c>
      <c r="B7067" s="190" t="str">
        <f t="shared" si="65"/>
        <v/>
      </c>
    </row>
    <row r="7068" spans="1:2" hidden="1">
      <c r="A7068" s="190" t="str">
        <f t="shared" si="66"/>
        <v/>
      </c>
      <c r="B7068" s="190" t="str">
        <f t="shared" si="65"/>
        <v/>
      </c>
    </row>
    <row r="7069" spans="1:2" hidden="1">
      <c r="A7069" s="190" t="str">
        <f t="shared" si="66"/>
        <v/>
      </c>
      <c r="B7069" s="190" t="str">
        <f t="shared" si="65"/>
        <v/>
      </c>
    </row>
    <row r="7070" spans="1:2" hidden="1">
      <c r="A7070" s="190" t="str">
        <f t="shared" si="66"/>
        <v/>
      </c>
      <c r="B7070" s="190" t="str">
        <f t="shared" si="65"/>
        <v/>
      </c>
    </row>
    <row r="7071" spans="1:2" hidden="1">
      <c r="A7071" s="190" t="str">
        <f t="shared" si="66"/>
        <v/>
      </c>
      <c r="B7071" s="190" t="str">
        <f t="shared" si="65"/>
        <v/>
      </c>
    </row>
    <row r="7072" spans="1:2" hidden="1">
      <c r="A7072" s="190" t="str">
        <f t="shared" si="66"/>
        <v/>
      </c>
      <c r="B7072" s="190" t="str">
        <f t="shared" si="65"/>
        <v/>
      </c>
    </row>
    <row r="7073" spans="1:2" hidden="1">
      <c r="A7073" s="190" t="str">
        <f t="shared" si="66"/>
        <v/>
      </c>
      <c r="B7073" s="190" t="str">
        <f t="shared" si="65"/>
        <v/>
      </c>
    </row>
    <row r="7074" spans="1:2" hidden="1">
      <c r="A7074" s="190" t="str">
        <f t="shared" si="66"/>
        <v/>
      </c>
      <c r="B7074" s="190" t="str">
        <f t="shared" si="65"/>
        <v/>
      </c>
    </row>
    <row r="7075" spans="1:2" hidden="1">
      <c r="A7075" s="190" t="str">
        <f t="shared" si="66"/>
        <v/>
      </c>
      <c r="B7075" s="190" t="str">
        <f t="shared" si="65"/>
        <v/>
      </c>
    </row>
    <row r="7076" spans="1:2" hidden="1">
      <c r="A7076" s="190" t="str">
        <f t="shared" si="66"/>
        <v/>
      </c>
      <c r="B7076" s="190" t="str">
        <f t="shared" si="65"/>
        <v/>
      </c>
    </row>
    <row r="7077" spans="1:2" hidden="1">
      <c r="A7077" s="190" t="str">
        <f t="shared" si="66"/>
        <v/>
      </c>
      <c r="B7077" s="190" t="str">
        <f t="shared" si="65"/>
        <v/>
      </c>
    </row>
    <row r="7078" spans="1:2" hidden="1">
      <c r="A7078" s="190" t="str">
        <f t="shared" si="66"/>
        <v/>
      </c>
      <c r="B7078" s="190" t="str">
        <f t="shared" si="65"/>
        <v/>
      </c>
    </row>
    <row r="7079" spans="1:2" hidden="1">
      <c r="A7079" s="190" t="str">
        <f t="shared" si="66"/>
        <v/>
      </c>
      <c r="B7079" s="190" t="str">
        <f t="shared" si="65"/>
        <v/>
      </c>
    </row>
    <row r="7080" spans="1:2" hidden="1">
      <c r="A7080" s="190" t="str">
        <f t="shared" si="66"/>
        <v/>
      </c>
      <c r="B7080" s="190" t="str">
        <f t="shared" si="65"/>
        <v/>
      </c>
    </row>
    <row r="7081" spans="1:2" hidden="1">
      <c r="A7081" s="190" t="str">
        <f t="shared" si="66"/>
        <v/>
      </c>
      <c r="B7081" s="190" t="str">
        <f t="shared" si="65"/>
        <v/>
      </c>
    </row>
    <row r="7082" spans="1:2" hidden="1">
      <c r="A7082" s="190" t="str">
        <f t="shared" si="66"/>
        <v/>
      </c>
      <c r="B7082" s="190" t="str">
        <f t="shared" si="65"/>
        <v/>
      </c>
    </row>
    <row r="7083" spans="1:2" hidden="1">
      <c r="A7083" s="190" t="str">
        <f t="shared" si="66"/>
        <v/>
      </c>
      <c r="B7083" s="190" t="str">
        <f t="shared" si="65"/>
        <v/>
      </c>
    </row>
    <row r="7084" spans="1:2" hidden="1">
      <c r="A7084" s="190" t="str">
        <f t="shared" si="66"/>
        <v/>
      </c>
      <c r="B7084" s="190" t="str">
        <f t="shared" si="65"/>
        <v/>
      </c>
    </row>
    <row r="7085" spans="1:2" hidden="1">
      <c r="A7085" s="190" t="str">
        <f t="shared" si="66"/>
        <v/>
      </c>
      <c r="B7085" s="190" t="str">
        <f t="shared" si="65"/>
        <v/>
      </c>
    </row>
    <row r="7086" spans="1:2" hidden="1">
      <c r="A7086" s="190" t="str">
        <f t="shared" si="66"/>
        <v/>
      </c>
      <c r="B7086" s="190" t="str">
        <f t="shared" si="65"/>
        <v/>
      </c>
    </row>
    <row r="7087" spans="1:2" hidden="1">
      <c r="A7087" s="190" t="str">
        <f t="shared" si="66"/>
        <v/>
      </c>
      <c r="B7087" s="190" t="str">
        <f t="shared" si="65"/>
        <v/>
      </c>
    </row>
    <row r="7088" spans="1:2" hidden="1">
      <c r="A7088" s="190" t="str">
        <f t="shared" si="66"/>
        <v/>
      </c>
      <c r="B7088" s="190" t="str">
        <f t="shared" si="65"/>
        <v/>
      </c>
    </row>
    <row r="7089" spans="1:2" hidden="1">
      <c r="A7089" s="190" t="str">
        <f t="shared" si="66"/>
        <v/>
      </c>
      <c r="B7089" s="190" t="str">
        <f t="shared" si="65"/>
        <v/>
      </c>
    </row>
    <row r="7090" spans="1:2" hidden="1">
      <c r="A7090" s="190" t="str">
        <f t="shared" si="66"/>
        <v/>
      </c>
      <c r="B7090" s="190" t="str">
        <f t="shared" si="65"/>
        <v/>
      </c>
    </row>
    <row r="7091" spans="1:2" hidden="1">
      <c r="A7091" s="190" t="str">
        <f t="shared" si="66"/>
        <v/>
      </c>
      <c r="B7091" s="190" t="str">
        <f t="shared" si="65"/>
        <v/>
      </c>
    </row>
    <row r="7092" spans="1:2" hidden="1">
      <c r="A7092" s="190" t="str">
        <f t="shared" si="66"/>
        <v/>
      </c>
      <c r="B7092" s="190" t="str">
        <f t="shared" si="65"/>
        <v/>
      </c>
    </row>
    <row r="7093" spans="1:2" hidden="1">
      <c r="A7093" s="190" t="str">
        <f t="shared" si="66"/>
        <v/>
      </c>
      <c r="B7093" s="190" t="str">
        <f t="shared" si="65"/>
        <v/>
      </c>
    </row>
    <row r="7094" spans="1:2" hidden="1">
      <c r="A7094" s="190" t="str">
        <f t="shared" si="66"/>
        <v/>
      </c>
      <c r="B7094" s="190" t="str">
        <f t="shared" si="65"/>
        <v/>
      </c>
    </row>
    <row r="7095" spans="1:2" hidden="1">
      <c r="A7095" s="190" t="str">
        <f t="shared" si="66"/>
        <v/>
      </c>
      <c r="B7095" s="190" t="str">
        <f t="shared" si="65"/>
        <v/>
      </c>
    </row>
    <row r="7096" spans="1:2" hidden="1">
      <c r="A7096" s="190" t="str">
        <f t="shared" si="66"/>
        <v/>
      </c>
      <c r="B7096" s="190" t="str">
        <f t="shared" si="65"/>
        <v/>
      </c>
    </row>
    <row r="7097" spans="1:2" hidden="1">
      <c r="A7097" s="190" t="str">
        <f t="shared" si="66"/>
        <v/>
      </c>
      <c r="B7097" s="190" t="str">
        <f t="shared" si="65"/>
        <v/>
      </c>
    </row>
    <row r="7098" spans="1:2" hidden="1">
      <c r="A7098" s="190" t="str">
        <f t="shared" si="66"/>
        <v/>
      </c>
      <c r="B7098" s="190" t="str">
        <f t="shared" si="65"/>
        <v/>
      </c>
    </row>
    <row r="7099" spans="1:2" hidden="1">
      <c r="A7099" s="190" t="str">
        <f t="shared" si="66"/>
        <v/>
      </c>
      <c r="B7099" s="190" t="str">
        <f t="shared" si="65"/>
        <v/>
      </c>
    </row>
    <row r="7100" spans="1:2" hidden="1">
      <c r="A7100" s="190" t="str">
        <f t="shared" si="66"/>
        <v/>
      </c>
      <c r="B7100" s="190" t="str">
        <f t="shared" ref="B7100:B7163" si="67">HYPERLINK("http://tw.stock.yahoo.com/d/s/earning_.html","")</f>
        <v/>
      </c>
    </row>
    <row r="7101" spans="1:2" hidden="1">
      <c r="A7101" s="190" t="str">
        <f t="shared" si="66"/>
        <v/>
      </c>
      <c r="B7101" s="190" t="str">
        <f t="shared" si="67"/>
        <v/>
      </c>
    </row>
    <row r="7102" spans="1:2" hidden="1">
      <c r="A7102" s="190" t="str">
        <f t="shared" si="66"/>
        <v/>
      </c>
      <c r="B7102" s="190" t="str">
        <f t="shared" si="67"/>
        <v/>
      </c>
    </row>
    <row r="7103" spans="1:2" hidden="1">
      <c r="A7103" s="190" t="str">
        <f t="shared" ref="A7103:A7166" si="68">HYPERLINK("http://tw.stock.yahoo.com/q/ta?s=","")</f>
        <v/>
      </c>
      <c r="B7103" s="190" t="str">
        <f t="shared" si="67"/>
        <v/>
      </c>
    </row>
    <row r="7104" spans="1:2" hidden="1">
      <c r="A7104" s="190" t="str">
        <f t="shared" si="68"/>
        <v/>
      </c>
      <c r="B7104" s="190" t="str">
        <f t="shared" si="67"/>
        <v/>
      </c>
    </row>
    <row r="7105" spans="1:2" hidden="1">
      <c r="A7105" s="190" t="str">
        <f t="shared" si="68"/>
        <v/>
      </c>
      <c r="B7105" s="190" t="str">
        <f t="shared" si="67"/>
        <v/>
      </c>
    </row>
    <row r="7106" spans="1:2" hidden="1">
      <c r="A7106" s="190" t="str">
        <f t="shared" si="68"/>
        <v/>
      </c>
      <c r="B7106" s="190" t="str">
        <f t="shared" si="67"/>
        <v/>
      </c>
    </row>
    <row r="7107" spans="1:2" hidden="1">
      <c r="A7107" s="190" t="str">
        <f t="shared" si="68"/>
        <v/>
      </c>
      <c r="B7107" s="190" t="str">
        <f t="shared" si="67"/>
        <v/>
      </c>
    </row>
    <row r="7108" spans="1:2" hidden="1">
      <c r="A7108" s="190" t="str">
        <f t="shared" si="68"/>
        <v/>
      </c>
      <c r="B7108" s="190" t="str">
        <f t="shared" si="67"/>
        <v/>
      </c>
    </row>
    <row r="7109" spans="1:2" hidden="1">
      <c r="A7109" s="190" t="str">
        <f t="shared" si="68"/>
        <v/>
      </c>
      <c r="B7109" s="190" t="str">
        <f t="shared" si="67"/>
        <v/>
      </c>
    </row>
    <row r="7110" spans="1:2" hidden="1">
      <c r="A7110" s="190" t="str">
        <f t="shared" si="68"/>
        <v/>
      </c>
      <c r="B7110" s="190" t="str">
        <f t="shared" si="67"/>
        <v/>
      </c>
    </row>
    <row r="7111" spans="1:2" hidden="1">
      <c r="A7111" s="190" t="str">
        <f t="shared" si="68"/>
        <v/>
      </c>
      <c r="B7111" s="190" t="str">
        <f t="shared" si="67"/>
        <v/>
      </c>
    </row>
    <row r="7112" spans="1:2" hidden="1">
      <c r="A7112" s="190" t="str">
        <f t="shared" si="68"/>
        <v/>
      </c>
      <c r="B7112" s="190" t="str">
        <f t="shared" si="67"/>
        <v/>
      </c>
    </row>
    <row r="7113" spans="1:2" hidden="1">
      <c r="A7113" s="190" t="str">
        <f t="shared" si="68"/>
        <v/>
      </c>
      <c r="B7113" s="190" t="str">
        <f t="shared" si="67"/>
        <v/>
      </c>
    </row>
    <row r="7114" spans="1:2" hidden="1">
      <c r="A7114" s="190" t="str">
        <f t="shared" si="68"/>
        <v/>
      </c>
      <c r="B7114" s="190" t="str">
        <f t="shared" si="67"/>
        <v/>
      </c>
    </row>
    <row r="7115" spans="1:2" hidden="1">
      <c r="A7115" s="190" t="str">
        <f t="shared" si="68"/>
        <v/>
      </c>
      <c r="B7115" s="190" t="str">
        <f t="shared" si="67"/>
        <v/>
      </c>
    </row>
    <row r="7116" spans="1:2" hidden="1">
      <c r="A7116" s="190" t="str">
        <f t="shared" si="68"/>
        <v/>
      </c>
      <c r="B7116" s="190" t="str">
        <f t="shared" si="67"/>
        <v/>
      </c>
    </row>
    <row r="7117" spans="1:2" hidden="1">
      <c r="A7117" s="190" t="str">
        <f t="shared" si="68"/>
        <v/>
      </c>
      <c r="B7117" s="190" t="str">
        <f t="shared" si="67"/>
        <v/>
      </c>
    </row>
    <row r="7118" spans="1:2" hidden="1">
      <c r="A7118" s="190" t="str">
        <f t="shared" si="68"/>
        <v/>
      </c>
      <c r="B7118" s="190" t="str">
        <f t="shared" si="67"/>
        <v/>
      </c>
    </row>
    <row r="7119" spans="1:2" hidden="1">
      <c r="A7119" s="190" t="str">
        <f t="shared" si="68"/>
        <v/>
      </c>
      <c r="B7119" s="190" t="str">
        <f t="shared" si="67"/>
        <v/>
      </c>
    </row>
    <row r="7120" spans="1:2" hidden="1">
      <c r="A7120" s="190" t="str">
        <f t="shared" si="68"/>
        <v/>
      </c>
      <c r="B7120" s="190" t="str">
        <f t="shared" si="67"/>
        <v/>
      </c>
    </row>
    <row r="7121" spans="1:2" hidden="1">
      <c r="A7121" s="190" t="str">
        <f t="shared" si="68"/>
        <v/>
      </c>
      <c r="B7121" s="190" t="str">
        <f t="shared" si="67"/>
        <v/>
      </c>
    </row>
    <row r="7122" spans="1:2" hidden="1">
      <c r="A7122" s="190" t="str">
        <f t="shared" si="68"/>
        <v/>
      </c>
      <c r="B7122" s="190" t="str">
        <f t="shared" si="67"/>
        <v/>
      </c>
    </row>
    <row r="7123" spans="1:2" hidden="1">
      <c r="A7123" s="190" t="str">
        <f t="shared" si="68"/>
        <v/>
      </c>
      <c r="B7123" s="190" t="str">
        <f t="shared" si="67"/>
        <v/>
      </c>
    </row>
    <row r="7124" spans="1:2" hidden="1">
      <c r="A7124" s="190" t="str">
        <f t="shared" si="68"/>
        <v/>
      </c>
      <c r="B7124" s="190" t="str">
        <f t="shared" si="67"/>
        <v/>
      </c>
    </row>
    <row r="7125" spans="1:2" hidden="1">
      <c r="A7125" s="190" t="str">
        <f t="shared" si="68"/>
        <v/>
      </c>
      <c r="B7125" s="190" t="str">
        <f t="shared" si="67"/>
        <v/>
      </c>
    </row>
    <row r="7126" spans="1:2" hidden="1">
      <c r="A7126" s="190" t="str">
        <f t="shared" si="68"/>
        <v/>
      </c>
      <c r="B7126" s="190" t="str">
        <f t="shared" si="67"/>
        <v/>
      </c>
    </row>
    <row r="7127" spans="1:2" hidden="1">
      <c r="A7127" s="190" t="str">
        <f t="shared" si="68"/>
        <v/>
      </c>
      <c r="B7127" s="190" t="str">
        <f t="shared" si="67"/>
        <v/>
      </c>
    </row>
    <row r="7128" spans="1:2" hidden="1">
      <c r="A7128" s="190" t="str">
        <f t="shared" si="68"/>
        <v/>
      </c>
      <c r="B7128" s="190" t="str">
        <f t="shared" si="67"/>
        <v/>
      </c>
    </row>
    <row r="7129" spans="1:2" hidden="1">
      <c r="A7129" s="190" t="str">
        <f t="shared" si="68"/>
        <v/>
      </c>
      <c r="B7129" s="190" t="str">
        <f t="shared" si="67"/>
        <v/>
      </c>
    </row>
    <row r="7130" spans="1:2" hidden="1">
      <c r="A7130" s="190" t="str">
        <f t="shared" si="68"/>
        <v/>
      </c>
      <c r="B7130" s="190" t="str">
        <f t="shared" si="67"/>
        <v/>
      </c>
    </row>
    <row r="7131" spans="1:2" hidden="1">
      <c r="A7131" s="190" t="str">
        <f t="shared" si="68"/>
        <v/>
      </c>
      <c r="B7131" s="190" t="str">
        <f t="shared" si="67"/>
        <v/>
      </c>
    </row>
    <row r="7132" spans="1:2" hidden="1">
      <c r="A7132" s="190" t="str">
        <f t="shared" si="68"/>
        <v/>
      </c>
      <c r="B7132" s="190" t="str">
        <f t="shared" si="67"/>
        <v/>
      </c>
    </row>
    <row r="7133" spans="1:2" hidden="1">
      <c r="A7133" s="190" t="str">
        <f t="shared" si="68"/>
        <v/>
      </c>
      <c r="B7133" s="190" t="str">
        <f t="shared" si="67"/>
        <v/>
      </c>
    </row>
    <row r="7134" spans="1:2" hidden="1">
      <c r="A7134" s="190" t="str">
        <f t="shared" si="68"/>
        <v/>
      </c>
      <c r="B7134" s="190" t="str">
        <f t="shared" si="67"/>
        <v/>
      </c>
    </row>
    <row r="7135" spans="1:2" hidden="1">
      <c r="A7135" s="190" t="str">
        <f t="shared" si="68"/>
        <v/>
      </c>
      <c r="B7135" s="190" t="str">
        <f t="shared" si="67"/>
        <v/>
      </c>
    </row>
    <row r="7136" spans="1:2" hidden="1">
      <c r="A7136" s="190" t="str">
        <f t="shared" si="68"/>
        <v/>
      </c>
      <c r="B7136" s="190" t="str">
        <f t="shared" si="67"/>
        <v/>
      </c>
    </row>
    <row r="7137" spans="1:2" hidden="1">
      <c r="A7137" s="190" t="str">
        <f t="shared" si="68"/>
        <v/>
      </c>
      <c r="B7137" s="190" t="str">
        <f t="shared" si="67"/>
        <v/>
      </c>
    </row>
    <row r="7138" spans="1:2" hidden="1">
      <c r="A7138" s="190" t="str">
        <f t="shared" si="68"/>
        <v/>
      </c>
      <c r="B7138" s="190" t="str">
        <f t="shared" si="67"/>
        <v/>
      </c>
    </row>
    <row r="7139" spans="1:2" hidden="1">
      <c r="A7139" s="190" t="str">
        <f t="shared" si="68"/>
        <v/>
      </c>
      <c r="B7139" s="190" t="str">
        <f t="shared" si="67"/>
        <v/>
      </c>
    </row>
    <row r="7140" spans="1:2" hidden="1">
      <c r="A7140" s="190" t="str">
        <f t="shared" si="68"/>
        <v/>
      </c>
      <c r="B7140" s="190" t="str">
        <f t="shared" si="67"/>
        <v/>
      </c>
    </row>
    <row r="7141" spans="1:2" hidden="1">
      <c r="A7141" s="190" t="str">
        <f t="shared" si="68"/>
        <v/>
      </c>
      <c r="B7141" s="190" t="str">
        <f t="shared" si="67"/>
        <v/>
      </c>
    </row>
    <row r="7142" spans="1:2" hidden="1">
      <c r="A7142" s="190" t="str">
        <f t="shared" si="68"/>
        <v/>
      </c>
      <c r="B7142" s="190" t="str">
        <f t="shared" si="67"/>
        <v/>
      </c>
    </row>
    <row r="7143" spans="1:2" hidden="1">
      <c r="A7143" s="190" t="str">
        <f t="shared" si="68"/>
        <v/>
      </c>
      <c r="B7143" s="190" t="str">
        <f t="shared" si="67"/>
        <v/>
      </c>
    </row>
    <row r="7144" spans="1:2" hidden="1">
      <c r="A7144" s="190" t="str">
        <f t="shared" si="68"/>
        <v/>
      </c>
      <c r="B7144" s="190" t="str">
        <f t="shared" si="67"/>
        <v/>
      </c>
    </row>
    <row r="7145" spans="1:2" hidden="1">
      <c r="A7145" s="190" t="str">
        <f t="shared" si="68"/>
        <v/>
      </c>
      <c r="B7145" s="190" t="str">
        <f t="shared" si="67"/>
        <v/>
      </c>
    </row>
    <row r="7146" spans="1:2" hidden="1">
      <c r="A7146" s="190" t="str">
        <f t="shared" si="68"/>
        <v/>
      </c>
      <c r="B7146" s="190" t="str">
        <f t="shared" si="67"/>
        <v/>
      </c>
    </row>
    <row r="7147" spans="1:2" hidden="1">
      <c r="A7147" s="190" t="str">
        <f t="shared" si="68"/>
        <v/>
      </c>
      <c r="B7147" s="190" t="str">
        <f t="shared" si="67"/>
        <v/>
      </c>
    </row>
    <row r="7148" spans="1:2" hidden="1">
      <c r="A7148" s="190" t="str">
        <f t="shared" si="68"/>
        <v/>
      </c>
      <c r="B7148" s="190" t="str">
        <f t="shared" si="67"/>
        <v/>
      </c>
    </row>
    <row r="7149" spans="1:2" hidden="1">
      <c r="A7149" s="190" t="str">
        <f t="shared" si="68"/>
        <v/>
      </c>
      <c r="B7149" s="190" t="str">
        <f t="shared" si="67"/>
        <v/>
      </c>
    </row>
    <row r="7150" spans="1:2" hidden="1">
      <c r="A7150" s="190" t="str">
        <f t="shared" si="68"/>
        <v/>
      </c>
      <c r="B7150" s="190" t="str">
        <f t="shared" si="67"/>
        <v/>
      </c>
    </row>
    <row r="7151" spans="1:2" hidden="1">
      <c r="A7151" s="190" t="str">
        <f t="shared" si="68"/>
        <v/>
      </c>
      <c r="B7151" s="190" t="str">
        <f t="shared" si="67"/>
        <v/>
      </c>
    </row>
    <row r="7152" spans="1:2" hidden="1">
      <c r="A7152" s="190" t="str">
        <f t="shared" si="68"/>
        <v/>
      </c>
      <c r="B7152" s="190" t="str">
        <f t="shared" si="67"/>
        <v/>
      </c>
    </row>
    <row r="7153" spans="1:2" hidden="1">
      <c r="A7153" s="190" t="str">
        <f t="shared" si="68"/>
        <v/>
      </c>
      <c r="B7153" s="190" t="str">
        <f t="shared" si="67"/>
        <v/>
      </c>
    </row>
    <row r="7154" spans="1:2" hidden="1">
      <c r="A7154" s="190" t="str">
        <f t="shared" si="68"/>
        <v/>
      </c>
      <c r="B7154" s="190" t="str">
        <f t="shared" si="67"/>
        <v/>
      </c>
    </row>
    <row r="7155" spans="1:2" hidden="1">
      <c r="A7155" s="190" t="str">
        <f t="shared" si="68"/>
        <v/>
      </c>
      <c r="B7155" s="190" t="str">
        <f t="shared" si="67"/>
        <v/>
      </c>
    </row>
    <row r="7156" spans="1:2" hidden="1">
      <c r="A7156" s="190" t="str">
        <f t="shared" si="68"/>
        <v/>
      </c>
      <c r="B7156" s="190" t="str">
        <f t="shared" si="67"/>
        <v/>
      </c>
    </row>
    <row r="7157" spans="1:2" hidden="1">
      <c r="A7157" s="190" t="str">
        <f t="shared" si="68"/>
        <v/>
      </c>
      <c r="B7157" s="190" t="str">
        <f t="shared" si="67"/>
        <v/>
      </c>
    </row>
    <row r="7158" spans="1:2" hidden="1">
      <c r="A7158" s="190" t="str">
        <f t="shared" si="68"/>
        <v/>
      </c>
      <c r="B7158" s="190" t="str">
        <f t="shared" si="67"/>
        <v/>
      </c>
    </row>
    <row r="7159" spans="1:2" hidden="1">
      <c r="A7159" s="190" t="str">
        <f t="shared" si="68"/>
        <v/>
      </c>
      <c r="B7159" s="190" t="str">
        <f t="shared" si="67"/>
        <v/>
      </c>
    </row>
    <row r="7160" spans="1:2" hidden="1">
      <c r="A7160" s="190" t="str">
        <f t="shared" si="68"/>
        <v/>
      </c>
      <c r="B7160" s="190" t="str">
        <f t="shared" si="67"/>
        <v/>
      </c>
    </row>
    <row r="7161" spans="1:2" hidden="1">
      <c r="A7161" s="190" t="str">
        <f t="shared" si="68"/>
        <v/>
      </c>
      <c r="B7161" s="190" t="str">
        <f t="shared" si="67"/>
        <v/>
      </c>
    </row>
    <row r="7162" spans="1:2" hidden="1">
      <c r="A7162" s="190" t="str">
        <f t="shared" si="68"/>
        <v/>
      </c>
      <c r="B7162" s="190" t="str">
        <f t="shared" si="67"/>
        <v/>
      </c>
    </row>
    <row r="7163" spans="1:2" hidden="1">
      <c r="A7163" s="190" t="str">
        <f t="shared" si="68"/>
        <v/>
      </c>
      <c r="B7163" s="190" t="str">
        <f t="shared" si="67"/>
        <v/>
      </c>
    </row>
    <row r="7164" spans="1:2" hidden="1">
      <c r="A7164" s="190" t="str">
        <f t="shared" si="68"/>
        <v/>
      </c>
      <c r="B7164" s="190" t="str">
        <f t="shared" ref="B7164:B7227" si="69">HYPERLINK("http://tw.stock.yahoo.com/d/s/earning_.html","")</f>
        <v/>
      </c>
    </row>
    <row r="7165" spans="1:2" hidden="1">
      <c r="A7165" s="190" t="str">
        <f t="shared" si="68"/>
        <v/>
      </c>
      <c r="B7165" s="190" t="str">
        <f t="shared" si="69"/>
        <v/>
      </c>
    </row>
    <row r="7166" spans="1:2" hidden="1">
      <c r="A7166" s="190" t="str">
        <f t="shared" si="68"/>
        <v/>
      </c>
      <c r="B7166" s="190" t="str">
        <f t="shared" si="69"/>
        <v/>
      </c>
    </row>
    <row r="7167" spans="1:2" hidden="1">
      <c r="A7167" s="190" t="str">
        <f t="shared" ref="A7167:A7230" si="70">HYPERLINK("http://tw.stock.yahoo.com/q/ta?s=","")</f>
        <v/>
      </c>
      <c r="B7167" s="190" t="str">
        <f t="shared" si="69"/>
        <v/>
      </c>
    </row>
    <row r="7168" spans="1:2" hidden="1">
      <c r="A7168" s="190" t="str">
        <f t="shared" si="70"/>
        <v/>
      </c>
      <c r="B7168" s="190" t="str">
        <f t="shared" si="69"/>
        <v/>
      </c>
    </row>
    <row r="7169" spans="1:2" hidden="1">
      <c r="A7169" s="190" t="str">
        <f t="shared" si="70"/>
        <v/>
      </c>
      <c r="B7169" s="190" t="str">
        <f t="shared" si="69"/>
        <v/>
      </c>
    </row>
    <row r="7170" spans="1:2" hidden="1">
      <c r="A7170" s="190" t="str">
        <f t="shared" si="70"/>
        <v/>
      </c>
      <c r="B7170" s="190" t="str">
        <f t="shared" si="69"/>
        <v/>
      </c>
    </row>
    <row r="7171" spans="1:2" hidden="1">
      <c r="A7171" s="190" t="str">
        <f t="shared" si="70"/>
        <v/>
      </c>
      <c r="B7171" s="190" t="str">
        <f t="shared" si="69"/>
        <v/>
      </c>
    </row>
    <row r="7172" spans="1:2" hidden="1">
      <c r="A7172" s="190" t="str">
        <f t="shared" si="70"/>
        <v/>
      </c>
      <c r="B7172" s="190" t="str">
        <f t="shared" si="69"/>
        <v/>
      </c>
    </row>
    <row r="7173" spans="1:2" hidden="1">
      <c r="A7173" s="190" t="str">
        <f t="shared" si="70"/>
        <v/>
      </c>
      <c r="B7173" s="190" t="str">
        <f t="shared" si="69"/>
        <v/>
      </c>
    </row>
    <row r="7174" spans="1:2" hidden="1">
      <c r="A7174" s="190" t="str">
        <f t="shared" si="70"/>
        <v/>
      </c>
      <c r="B7174" s="190" t="str">
        <f t="shared" si="69"/>
        <v/>
      </c>
    </row>
    <row r="7175" spans="1:2" hidden="1">
      <c r="A7175" s="190" t="str">
        <f t="shared" si="70"/>
        <v/>
      </c>
      <c r="B7175" s="190" t="str">
        <f t="shared" si="69"/>
        <v/>
      </c>
    </row>
    <row r="7176" spans="1:2" hidden="1">
      <c r="A7176" s="190" t="str">
        <f t="shared" si="70"/>
        <v/>
      </c>
      <c r="B7176" s="190" t="str">
        <f t="shared" si="69"/>
        <v/>
      </c>
    </row>
    <row r="7177" spans="1:2" hidden="1">
      <c r="A7177" s="190" t="str">
        <f t="shared" si="70"/>
        <v/>
      </c>
      <c r="B7177" s="190" t="str">
        <f t="shared" si="69"/>
        <v/>
      </c>
    </row>
    <row r="7178" spans="1:2" hidden="1">
      <c r="A7178" s="190" t="str">
        <f t="shared" si="70"/>
        <v/>
      </c>
      <c r="B7178" s="190" t="str">
        <f t="shared" si="69"/>
        <v/>
      </c>
    </row>
    <row r="7179" spans="1:2" hidden="1">
      <c r="A7179" s="190" t="str">
        <f t="shared" si="70"/>
        <v/>
      </c>
      <c r="B7179" s="190" t="str">
        <f t="shared" si="69"/>
        <v/>
      </c>
    </row>
    <row r="7180" spans="1:2" hidden="1">
      <c r="A7180" s="190" t="str">
        <f t="shared" si="70"/>
        <v/>
      </c>
      <c r="B7180" s="190" t="str">
        <f t="shared" si="69"/>
        <v/>
      </c>
    </row>
    <row r="7181" spans="1:2" hidden="1">
      <c r="A7181" s="190" t="str">
        <f t="shared" si="70"/>
        <v/>
      </c>
      <c r="B7181" s="190" t="str">
        <f t="shared" si="69"/>
        <v/>
      </c>
    </row>
    <row r="7182" spans="1:2" hidden="1">
      <c r="A7182" s="190" t="str">
        <f t="shared" si="70"/>
        <v/>
      </c>
      <c r="B7182" s="190" t="str">
        <f t="shared" si="69"/>
        <v/>
      </c>
    </row>
    <row r="7183" spans="1:2" hidden="1">
      <c r="A7183" s="190" t="str">
        <f t="shared" si="70"/>
        <v/>
      </c>
      <c r="B7183" s="190" t="str">
        <f t="shared" si="69"/>
        <v/>
      </c>
    </row>
    <row r="7184" spans="1:2" hidden="1">
      <c r="A7184" s="190" t="str">
        <f t="shared" si="70"/>
        <v/>
      </c>
      <c r="B7184" s="190" t="str">
        <f t="shared" si="69"/>
        <v/>
      </c>
    </row>
    <row r="7185" spans="1:2" hidden="1">
      <c r="A7185" s="190" t="str">
        <f t="shared" si="70"/>
        <v/>
      </c>
      <c r="B7185" s="190" t="str">
        <f t="shared" si="69"/>
        <v/>
      </c>
    </row>
    <row r="7186" spans="1:2" hidden="1">
      <c r="A7186" s="190" t="str">
        <f t="shared" si="70"/>
        <v/>
      </c>
      <c r="B7186" s="190" t="str">
        <f t="shared" si="69"/>
        <v/>
      </c>
    </row>
    <row r="7187" spans="1:2" hidden="1">
      <c r="A7187" s="190" t="str">
        <f t="shared" si="70"/>
        <v/>
      </c>
      <c r="B7187" s="190" t="str">
        <f t="shared" si="69"/>
        <v/>
      </c>
    </row>
    <row r="7188" spans="1:2" hidden="1">
      <c r="A7188" s="190" t="str">
        <f t="shared" si="70"/>
        <v/>
      </c>
      <c r="B7188" s="190" t="str">
        <f t="shared" si="69"/>
        <v/>
      </c>
    </row>
    <row r="7189" spans="1:2" hidden="1">
      <c r="A7189" s="190" t="str">
        <f t="shared" si="70"/>
        <v/>
      </c>
      <c r="B7189" s="190" t="str">
        <f t="shared" si="69"/>
        <v/>
      </c>
    </row>
    <row r="7190" spans="1:2" hidden="1">
      <c r="A7190" s="190" t="str">
        <f t="shared" si="70"/>
        <v/>
      </c>
      <c r="B7190" s="190" t="str">
        <f t="shared" si="69"/>
        <v/>
      </c>
    </row>
    <row r="7191" spans="1:2" hidden="1">
      <c r="A7191" s="190" t="str">
        <f t="shared" si="70"/>
        <v/>
      </c>
      <c r="B7191" s="190" t="str">
        <f t="shared" si="69"/>
        <v/>
      </c>
    </row>
    <row r="7192" spans="1:2" hidden="1">
      <c r="A7192" s="190" t="str">
        <f t="shared" si="70"/>
        <v/>
      </c>
      <c r="B7192" s="190" t="str">
        <f t="shared" si="69"/>
        <v/>
      </c>
    </row>
    <row r="7193" spans="1:2" hidden="1">
      <c r="A7193" s="190" t="str">
        <f t="shared" si="70"/>
        <v/>
      </c>
      <c r="B7193" s="190" t="str">
        <f t="shared" si="69"/>
        <v/>
      </c>
    </row>
    <row r="7194" spans="1:2" hidden="1">
      <c r="A7194" s="190" t="str">
        <f t="shared" si="70"/>
        <v/>
      </c>
      <c r="B7194" s="190" t="str">
        <f t="shared" si="69"/>
        <v/>
      </c>
    </row>
    <row r="7195" spans="1:2" hidden="1">
      <c r="A7195" s="190" t="str">
        <f t="shared" si="70"/>
        <v/>
      </c>
      <c r="B7195" s="190" t="str">
        <f t="shared" si="69"/>
        <v/>
      </c>
    </row>
    <row r="7196" spans="1:2" hidden="1">
      <c r="A7196" s="190" t="str">
        <f t="shared" si="70"/>
        <v/>
      </c>
      <c r="B7196" s="190" t="str">
        <f t="shared" si="69"/>
        <v/>
      </c>
    </row>
    <row r="7197" spans="1:2" hidden="1">
      <c r="A7197" s="190" t="str">
        <f t="shared" si="70"/>
        <v/>
      </c>
      <c r="B7197" s="190" t="str">
        <f t="shared" si="69"/>
        <v/>
      </c>
    </row>
    <row r="7198" spans="1:2" hidden="1">
      <c r="A7198" s="190" t="str">
        <f t="shared" si="70"/>
        <v/>
      </c>
      <c r="B7198" s="190" t="str">
        <f t="shared" si="69"/>
        <v/>
      </c>
    </row>
    <row r="7199" spans="1:2" hidden="1">
      <c r="A7199" s="190" t="str">
        <f t="shared" si="70"/>
        <v/>
      </c>
      <c r="B7199" s="190" t="str">
        <f t="shared" si="69"/>
        <v/>
      </c>
    </row>
    <row r="7200" spans="1:2" hidden="1">
      <c r="A7200" s="190" t="str">
        <f t="shared" si="70"/>
        <v/>
      </c>
      <c r="B7200" s="190" t="str">
        <f t="shared" si="69"/>
        <v/>
      </c>
    </row>
    <row r="7201" spans="1:2" hidden="1">
      <c r="A7201" s="190" t="str">
        <f t="shared" si="70"/>
        <v/>
      </c>
      <c r="B7201" s="190" t="str">
        <f t="shared" si="69"/>
        <v/>
      </c>
    </row>
    <row r="7202" spans="1:2" hidden="1">
      <c r="A7202" s="190" t="str">
        <f t="shared" si="70"/>
        <v/>
      </c>
      <c r="B7202" s="190" t="str">
        <f t="shared" si="69"/>
        <v/>
      </c>
    </row>
    <row r="7203" spans="1:2" hidden="1">
      <c r="A7203" s="190" t="str">
        <f t="shared" si="70"/>
        <v/>
      </c>
      <c r="B7203" s="190" t="str">
        <f t="shared" si="69"/>
        <v/>
      </c>
    </row>
    <row r="7204" spans="1:2" hidden="1">
      <c r="A7204" s="190" t="str">
        <f t="shared" si="70"/>
        <v/>
      </c>
      <c r="B7204" s="190" t="str">
        <f t="shared" si="69"/>
        <v/>
      </c>
    </row>
    <row r="7205" spans="1:2" hidden="1">
      <c r="A7205" s="190" t="str">
        <f t="shared" si="70"/>
        <v/>
      </c>
      <c r="B7205" s="190" t="str">
        <f t="shared" si="69"/>
        <v/>
      </c>
    </row>
    <row r="7206" spans="1:2" hidden="1">
      <c r="A7206" s="190" t="str">
        <f t="shared" si="70"/>
        <v/>
      </c>
      <c r="B7206" s="190" t="str">
        <f t="shared" si="69"/>
        <v/>
      </c>
    </row>
    <row r="7207" spans="1:2" hidden="1">
      <c r="A7207" s="190" t="str">
        <f t="shared" si="70"/>
        <v/>
      </c>
      <c r="B7207" s="190" t="str">
        <f t="shared" si="69"/>
        <v/>
      </c>
    </row>
    <row r="7208" spans="1:2" hidden="1">
      <c r="A7208" s="190" t="str">
        <f t="shared" si="70"/>
        <v/>
      </c>
      <c r="B7208" s="190" t="str">
        <f t="shared" si="69"/>
        <v/>
      </c>
    </row>
    <row r="7209" spans="1:2" hidden="1">
      <c r="A7209" s="190" t="str">
        <f t="shared" si="70"/>
        <v/>
      </c>
      <c r="B7209" s="190" t="str">
        <f t="shared" si="69"/>
        <v/>
      </c>
    </row>
    <row r="7210" spans="1:2" hidden="1">
      <c r="A7210" s="190" t="str">
        <f t="shared" si="70"/>
        <v/>
      </c>
      <c r="B7210" s="190" t="str">
        <f t="shared" si="69"/>
        <v/>
      </c>
    </row>
    <row r="7211" spans="1:2" hidden="1">
      <c r="A7211" s="190" t="str">
        <f t="shared" si="70"/>
        <v/>
      </c>
      <c r="B7211" s="190" t="str">
        <f t="shared" si="69"/>
        <v/>
      </c>
    </row>
    <row r="7212" spans="1:2" hidden="1">
      <c r="A7212" s="190" t="str">
        <f t="shared" si="70"/>
        <v/>
      </c>
      <c r="B7212" s="190" t="str">
        <f t="shared" si="69"/>
        <v/>
      </c>
    </row>
    <row r="7213" spans="1:2" hidden="1">
      <c r="A7213" s="190" t="str">
        <f t="shared" si="70"/>
        <v/>
      </c>
      <c r="B7213" s="190" t="str">
        <f t="shared" si="69"/>
        <v/>
      </c>
    </row>
    <row r="7214" spans="1:2" hidden="1">
      <c r="A7214" s="190" t="str">
        <f t="shared" si="70"/>
        <v/>
      </c>
      <c r="B7214" s="190" t="str">
        <f t="shared" si="69"/>
        <v/>
      </c>
    </row>
    <row r="7215" spans="1:2" hidden="1">
      <c r="A7215" s="190" t="str">
        <f t="shared" si="70"/>
        <v/>
      </c>
      <c r="B7215" s="190" t="str">
        <f t="shared" si="69"/>
        <v/>
      </c>
    </row>
    <row r="7216" spans="1:2" hidden="1">
      <c r="A7216" s="190" t="str">
        <f t="shared" si="70"/>
        <v/>
      </c>
      <c r="B7216" s="190" t="str">
        <f t="shared" si="69"/>
        <v/>
      </c>
    </row>
    <row r="7217" spans="1:2" hidden="1">
      <c r="A7217" s="190" t="str">
        <f t="shared" si="70"/>
        <v/>
      </c>
      <c r="B7217" s="190" t="str">
        <f t="shared" si="69"/>
        <v/>
      </c>
    </row>
    <row r="7218" spans="1:2" hidden="1">
      <c r="A7218" s="190" t="str">
        <f t="shared" si="70"/>
        <v/>
      </c>
      <c r="B7218" s="190" t="str">
        <f t="shared" si="69"/>
        <v/>
      </c>
    </row>
    <row r="7219" spans="1:2" hidden="1">
      <c r="A7219" s="190" t="str">
        <f t="shared" si="70"/>
        <v/>
      </c>
      <c r="B7219" s="190" t="str">
        <f t="shared" si="69"/>
        <v/>
      </c>
    </row>
    <row r="7220" spans="1:2" hidden="1">
      <c r="A7220" s="190" t="str">
        <f t="shared" si="70"/>
        <v/>
      </c>
      <c r="B7220" s="190" t="str">
        <f t="shared" si="69"/>
        <v/>
      </c>
    </row>
    <row r="7221" spans="1:2" hidden="1">
      <c r="A7221" s="190" t="str">
        <f t="shared" si="70"/>
        <v/>
      </c>
      <c r="B7221" s="190" t="str">
        <f t="shared" si="69"/>
        <v/>
      </c>
    </row>
    <row r="7222" spans="1:2" hidden="1">
      <c r="A7222" s="190" t="str">
        <f t="shared" si="70"/>
        <v/>
      </c>
      <c r="B7222" s="190" t="str">
        <f t="shared" si="69"/>
        <v/>
      </c>
    </row>
    <row r="7223" spans="1:2" hidden="1">
      <c r="A7223" s="190" t="str">
        <f t="shared" si="70"/>
        <v/>
      </c>
      <c r="B7223" s="190" t="str">
        <f t="shared" si="69"/>
        <v/>
      </c>
    </row>
    <row r="7224" spans="1:2" hidden="1">
      <c r="A7224" s="190" t="str">
        <f t="shared" si="70"/>
        <v/>
      </c>
      <c r="B7224" s="190" t="str">
        <f t="shared" si="69"/>
        <v/>
      </c>
    </row>
    <row r="7225" spans="1:2" hidden="1">
      <c r="A7225" s="190" t="str">
        <f t="shared" si="70"/>
        <v/>
      </c>
      <c r="B7225" s="190" t="str">
        <f t="shared" si="69"/>
        <v/>
      </c>
    </row>
    <row r="7226" spans="1:2" hidden="1">
      <c r="A7226" s="190" t="str">
        <f t="shared" si="70"/>
        <v/>
      </c>
      <c r="B7226" s="190" t="str">
        <f t="shared" si="69"/>
        <v/>
      </c>
    </row>
    <row r="7227" spans="1:2" hidden="1">
      <c r="A7227" s="190" t="str">
        <f t="shared" si="70"/>
        <v/>
      </c>
      <c r="B7227" s="190" t="str">
        <f t="shared" si="69"/>
        <v/>
      </c>
    </row>
    <row r="7228" spans="1:2" hidden="1">
      <c r="A7228" s="190" t="str">
        <f t="shared" si="70"/>
        <v/>
      </c>
      <c r="B7228" s="190" t="str">
        <f t="shared" ref="B7228:B7291" si="71">HYPERLINK("http://tw.stock.yahoo.com/d/s/earning_.html","")</f>
        <v/>
      </c>
    </row>
    <row r="7229" spans="1:2" hidden="1">
      <c r="A7229" s="190" t="str">
        <f t="shared" si="70"/>
        <v/>
      </c>
      <c r="B7229" s="190" t="str">
        <f t="shared" si="71"/>
        <v/>
      </c>
    </row>
    <row r="7230" spans="1:2" hidden="1">
      <c r="A7230" s="190" t="str">
        <f t="shared" si="70"/>
        <v/>
      </c>
      <c r="B7230" s="190" t="str">
        <f t="shared" si="71"/>
        <v/>
      </c>
    </row>
    <row r="7231" spans="1:2" hidden="1">
      <c r="A7231" s="190" t="str">
        <f t="shared" ref="A7231:A7294" si="72">HYPERLINK("http://tw.stock.yahoo.com/q/ta?s=","")</f>
        <v/>
      </c>
      <c r="B7231" s="190" t="str">
        <f t="shared" si="71"/>
        <v/>
      </c>
    </row>
    <row r="7232" spans="1:2" hidden="1">
      <c r="A7232" s="190" t="str">
        <f t="shared" si="72"/>
        <v/>
      </c>
      <c r="B7232" s="190" t="str">
        <f t="shared" si="71"/>
        <v/>
      </c>
    </row>
    <row r="7233" spans="1:2" hidden="1">
      <c r="A7233" s="190" t="str">
        <f t="shared" si="72"/>
        <v/>
      </c>
      <c r="B7233" s="190" t="str">
        <f t="shared" si="71"/>
        <v/>
      </c>
    </row>
    <row r="7234" spans="1:2" hidden="1">
      <c r="A7234" s="190" t="str">
        <f t="shared" si="72"/>
        <v/>
      </c>
      <c r="B7234" s="190" t="str">
        <f t="shared" si="71"/>
        <v/>
      </c>
    </row>
    <row r="7235" spans="1:2" hidden="1">
      <c r="A7235" s="190" t="str">
        <f t="shared" si="72"/>
        <v/>
      </c>
      <c r="B7235" s="190" t="str">
        <f t="shared" si="71"/>
        <v/>
      </c>
    </row>
    <row r="7236" spans="1:2" hidden="1">
      <c r="A7236" s="190" t="str">
        <f t="shared" si="72"/>
        <v/>
      </c>
      <c r="B7236" s="190" t="str">
        <f t="shared" si="71"/>
        <v/>
      </c>
    </row>
    <row r="7237" spans="1:2" hidden="1">
      <c r="A7237" s="190" t="str">
        <f t="shared" si="72"/>
        <v/>
      </c>
      <c r="B7237" s="190" t="str">
        <f t="shared" si="71"/>
        <v/>
      </c>
    </row>
    <row r="7238" spans="1:2" hidden="1">
      <c r="A7238" s="190" t="str">
        <f t="shared" si="72"/>
        <v/>
      </c>
      <c r="B7238" s="190" t="str">
        <f t="shared" si="71"/>
        <v/>
      </c>
    </row>
    <row r="7239" spans="1:2" hidden="1">
      <c r="A7239" s="190" t="str">
        <f t="shared" si="72"/>
        <v/>
      </c>
      <c r="B7239" s="190" t="str">
        <f t="shared" si="71"/>
        <v/>
      </c>
    </row>
    <row r="7240" spans="1:2" hidden="1">
      <c r="A7240" s="190" t="str">
        <f t="shared" si="72"/>
        <v/>
      </c>
      <c r="B7240" s="190" t="str">
        <f t="shared" si="71"/>
        <v/>
      </c>
    </row>
    <row r="7241" spans="1:2" hidden="1">
      <c r="A7241" s="190" t="str">
        <f t="shared" si="72"/>
        <v/>
      </c>
      <c r="B7241" s="190" t="str">
        <f t="shared" si="71"/>
        <v/>
      </c>
    </row>
    <row r="7242" spans="1:2" hidden="1">
      <c r="A7242" s="190" t="str">
        <f t="shared" si="72"/>
        <v/>
      </c>
      <c r="B7242" s="190" t="str">
        <f t="shared" si="71"/>
        <v/>
      </c>
    </row>
    <row r="7243" spans="1:2" hidden="1">
      <c r="A7243" s="190" t="str">
        <f t="shared" si="72"/>
        <v/>
      </c>
      <c r="B7243" s="190" t="str">
        <f t="shared" si="71"/>
        <v/>
      </c>
    </row>
    <row r="7244" spans="1:2" hidden="1">
      <c r="A7244" s="190" t="str">
        <f t="shared" si="72"/>
        <v/>
      </c>
      <c r="B7244" s="190" t="str">
        <f t="shared" si="71"/>
        <v/>
      </c>
    </row>
    <row r="7245" spans="1:2" hidden="1">
      <c r="A7245" s="190" t="str">
        <f t="shared" si="72"/>
        <v/>
      </c>
      <c r="B7245" s="190" t="str">
        <f t="shared" si="71"/>
        <v/>
      </c>
    </row>
    <row r="7246" spans="1:2" hidden="1">
      <c r="A7246" s="190" t="str">
        <f t="shared" si="72"/>
        <v/>
      </c>
      <c r="B7246" s="190" t="str">
        <f t="shared" si="71"/>
        <v/>
      </c>
    </row>
    <row r="7247" spans="1:2" hidden="1">
      <c r="A7247" s="190" t="str">
        <f t="shared" si="72"/>
        <v/>
      </c>
      <c r="B7247" s="190" t="str">
        <f t="shared" si="71"/>
        <v/>
      </c>
    </row>
    <row r="7248" spans="1:2" hidden="1">
      <c r="A7248" s="190" t="str">
        <f t="shared" si="72"/>
        <v/>
      </c>
      <c r="B7248" s="190" t="str">
        <f t="shared" si="71"/>
        <v/>
      </c>
    </row>
    <row r="7249" spans="1:2" hidden="1">
      <c r="A7249" s="190" t="str">
        <f t="shared" si="72"/>
        <v/>
      </c>
      <c r="B7249" s="190" t="str">
        <f t="shared" si="71"/>
        <v/>
      </c>
    </row>
    <row r="7250" spans="1:2" hidden="1">
      <c r="A7250" s="190" t="str">
        <f t="shared" si="72"/>
        <v/>
      </c>
      <c r="B7250" s="190" t="str">
        <f t="shared" si="71"/>
        <v/>
      </c>
    </row>
    <row r="7251" spans="1:2" hidden="1">
      <c r="A7251" s="190" t="str">
        <f t="shared" si="72"/>
        <v/>
      </c>
      <c r="B7251" s="190" t="str">
        <f t="shared" si="71"/>
        <v/>
      </c>
    </row>
    <row r="7252" spans="1:2" hidden="1">
      <c r="A7252" s="190" t="str">
        <f t="shared" si="72"/>
        <v/>
      </c>
      <c r="B7252" s="190" t="str">
        <f t="shared" si="71"/>
        <v/>
      </c>
    </row>
    <row r="7253" spans="1:2" hidden="1">
      <c r="A7253" s="190" t="str">
        <f t="shared" si="72"/>
        <v/>
      </c>
      <c r="B7253" s="190" t="str">
        <f t="shared" si="71"/>
        <v/>
      </c>
    </row>
    <row r="7254" spans="1:2" hidden="1">
      <c r="A7254" s="190" t="str">
        <f t="shared" si="72"/>
        <v/>
      </c>
      <c r="B7254" s="190" t="str">
        <f t="shared" si="71"/>
        <v/>
      </c>
    </row>
    <row r="7255" spans="1:2" hidden="1">
      <c r="A7255" s="190" t="str">
        <f t="shared" si="72"/>
        <v/>
      </c>
      <c r="B7255" s="190" t="str">
        <f t="shared" si="71"/>
        <v/>
      </c>
    </row>
    <row r="7256" spans="1:2" hidden="1">
      <c r="A7256" s="190" t="str">
        <f t="shared" si="72"/>
        <v/>
      </c>
      <c r="B7256" s="190" t="str">
        <f t="shared" si="71"/>
        <v/>
      </c>
    </row>
    <row r="7257" spans="1:2" hidden="1">
      <c r="A7257" s="190" t="str">
        <f t="shared" si="72"/>
        <v/>
      </c>
      <c r="B7257" s="190" t="str">
        <f t="shared" si="71"/>
        <v/>
      </c>
    </row>
    <row r="7258" spans="1:2" hidden="1">
      <c r="A7258" s="190" t="str">
        <f t="shared" si="72"/>
        <v/>
      </c>
      <c r="B7258" s="190" t="str">
        <f t="shared" si="71"/>
        <v/>
      </c>
    </row>
    <row r="7259" spans="1:2" hidden="1">
      <c r="A7259" s="190" t="str">
        <f t="shared" si="72"/>
        <v/>
      </c>
      <c r="B7259" s="190" t="str">
        <f t="shared" si="71"/>
        <v/>
      </c>
    </row>
    <row r="7260" spans="1:2" hidden="1">
      <c r="A7260" s="190" t="str">
        <f t="shared" si="72"/>
        <v/>
      </c>
      <c r="B7260" s="190" t="str">
        <f t="shared" si="71"/>
        <v/>
      </c>
    </row>
    <row r="7261" spans="1:2" hidden="1">
      <c r="A7261" s="190" t="str">
        <f t="shared" si="72"/>
        <v/>
      </c>
      <c r="B7261" s="190" t="str">
        <f t="shared" si="71"/>
        <v/>
      </c>
    </row>
    <row r="7262" spans="1:2" hidden="1">
      <c r="A7262" s="190" t="str">
        <f t="shared" si="72"/>
        <v/>
      </c>
      <c r="B7262" s="190" t="str">
        <f t="shared" si="71"/>
        <v/>
      </c>
    </row>
    <row r="7263" spans="1:2" hidden="1">
      <c r="A7263" s="190" t="str">
        <f t="shared" si="72"/>
        <v/>
      </c>
      <c r="B7263" s="190" t="str">
        <f t="shared" si="71"/>
        <v/>
      </c>
    </row>
    <row r="7264" spans="1:2" hidden="1">
      <c r="A7264" s="190" t="str">
        <f t="shared" si="72"/>
        <v/>
      </c>
      <c r="B7264" s="190" t="str">
        <f t="shared" si="71"/>
        <v/>
      </c>
    </row>
    <row r="7265" spans="1:2" hidden="1">
      <c r="A7265" s="190" t="str">
        <f t="shared" si="72"/>
        <v/>
      </c>
      <c r="B7265" s="190" t="str">
        <f t="shared" si="71"/>
        <v/>
      </c>
    </row>
    <row r="7266" spans="1:2" hidden="1">
      <c r="A7266" s="190" t="str">
        <f t="shared" si="72"/>
        <v/>
      </c>
      <c r="B7266" s="190" t="str">
        <f t="shared" si="71"/>
        <v/>
      </c>
    </row>
    <row r="7267" spans="1:2" hidden="1">
      <c r="A7267" s="190" t="str">
        <f t="shared" si="72"/>
        <v/>
      </c>
      <c r="B7267" s="190" t="str">
        <f t="shared" si="71"/>
        <v/>
      </c>
    </row>
    <row r="7268" spans="1:2" hidden="1">
      <c r="A7268" s="190" t="str">
        <f t="shared" si="72"/>
        <v/>
      </c>
      <c r="B7268" s="190" t="str">
        <f t="shared" si="71"/>
        <v/>
      </c>
    </row>
    <row r="7269" spans="1:2" hidden="1">
      <c r="A7269" s="190" t="str">
        <f t="shared" si="72"/>
        <v/>
      </c>
      <c r="B7269" s="190" t="str">
        <f t="shared" si="71"/>
        <v/>
      </c>
    </row>
    <row r="7270" spans="1:2" hidden="1">
      <c r="A7270" s="190" t="str">
        <f t="shared" si="72"/>
        <v/>
      </c>
      <c r="B7270" s="190" t="str">
        <f t="shared" si="71"/>
        <v/>
      </c>
    </row>
    <row r="7271" spans="1:2" hidden="1">
      <c r="A7271" s="190" t="str">
        <f t="shared" si="72"/>
        <v/>
      </c>
      <c r="B7271" s="190" t="str">
        <f t="shared" si="71"/>
        <v/>
      </c>
    </row>
    <row r="7272" spans="1:2" hidden="1">
      <c r="A7272" s="190" t="str">
        <f t="shared" si="72"/>
        <v/>
      </c>
      <c r="B7272" s="190" t="str">
        <f t="shared" si="71"/>
        <v/>
      </c>
    </row>
    <row r="7273" spans="1:2" hidden="1">
      <c r="A7273" s="190" t="str">
        <f t="shared" si="72"/>
        <v/>
      </c>
      <c r="B7273" s="190" t="str">
        <f t="shared" si="71"/>
        <v/>
      </c>
    </row>
    <row r="7274" spans="1:2" hidden="1">
      <c r="A7274" s="190" t="str">
        <f t="shared" si="72"/>
        <v/>
      </c>
      <c r="B7274" s="190" t="str">
        <f t="shared" si="71"/>
        <v/>
      </c>
    </row>
    <row r="7275" spans="1:2" hidden="1">
      <c r="A7275" s="190" t="str">
        <f t="shared" si="72"/>
        <v/>
      </c>
      <c r="B7275" s="190" t="str">
        <f t="shared" si="71"/>
        <v/>
      </c>
    </row>
    <row r="7276" spans="1:2" hidden="1">
      <c r="A7276" s="190" t="str">
        <f t="shared" si="72"/>
        <v/>
      </c>
      <c r="B7276" s="190" t="str">
        <f t="shared" si="71"/>
        <v/>
      </c>
    </row>
    <row r="7277" spans="1:2" hidden="1">
      <c r="A7277" s="190" t="str">
        <f t="shared" si="72"/>
        <v/>
      </c>
      <c r="B7277" s="190" t="str">
        <f t="shared" si="71"/>
        <v/>
      </c>
    </row>
    <row r="7278" spans="1:2" hidden="1">
      <c r="A7278" s="190" t="str">
        <f t="shared" si="72"/>
        <v/>
      </c>
      <c r="B7278" s="190" t="str">
        <f t="shared" si="71"/>
        <v/>
      </c>
    </row>
    <row r="7279" spans="1:2" hidden="1">
      <c r="A7279" s="190" t="str">
        <f t="shared" si="72"/>
        <v/>
      </c>
      <c r="B7279" s="190" t="str">
        <f t="shared" si="71"/>
        <v/>
      </c>
    </row>
    <row r="7280" spans="1:2" hidden="1">
      <c r="A7280" s="190" t="str">
        <f t="shared" si="72"/>
        <v/>
      </c>
      <c r="B7280" s="190" t="str">
        <f t="shared" si="71"/>
        <v/>
      </c>
    </row>
    <row r="7281" spans="1:2" hidden="1">
      <c r="A7281" s="190" t="str">
        <f t="shared" si="72"/>
        <v/>
      </c>
      <c r="B7281" s="190" t="str">
        <f t="shared" si="71"/>
        <v/>
      </c>
    </row>
    <row r="7282" spans="1:2" hidden="1">
      <c r="A7282" s="190" t="str">
        <f t="shared" si="72"/>
        <v/>
      </c>
      <c r="B7282" s="190" t="str">
        <f t="shared" si="71"/>
        <v/>
      </c>
    </row>
    <row r="7283" spans="1:2" hidden="1">
      <c r="A7283" s="190" t="str">
        <f t="shared" si="72"/>
        <v/>
      </c>
      <c r="B7283" s="190" t="str">
        <f t="shared" si="71"/>
        <v/>
      </c>
    </row>
    <row r="7284" spans="1:2" hidden="1">
      <c r="A7284" s="190" t="str">
        <f t="shared" si="72"/>
        <v/>
      </c>
      <c r="B7284" s="190" t="str">
        <f t="shared" si="71"/>
        <v/>
      </c>
    </row>
    <row r="7285" spans="1:2" hidden="1">
      <c r="A7285" s="190" t="str">
        <f t="shared" si="72"/>
        <v/>
      </c>
      <c r="B7285" s="190" t="str">
        <f t="shared" si="71"/>
        <v/>
      </c>
    </row>
    <row r="7286" spans="1:2" hidden="1">
      <c r="A7286" s="190" t="str">
        <f t="shared" si="72"/>
        <v/>
      </c>
      <c r="B7286" s="190" t="str">
        <f t="shared" si="71"/>
        <v/>
      </c>
    </row>
    <row r="7287" spans="1:2" hidden="1">
      <c r="A7287" s="190" t="str">
        <f t="shared" si="72"/>
        <v/>
      </c>
      <c r="B7287" s="190" t="str">
        <f t="shared" si="71"/>
        <v/>
      </c>
    </row>
    <row r="7288" spans="1:2" hidden="1">
      <c r="A7288" s="190" t="str">
        <f t="shared" si="72"/>
        <v/>
      </c>
      <c r="B7288" s="190" t="str">
        <f t="shared" si="71"/>
        <v/>
      </c>
    </row>
    <row r="7289" spans="1:2" hidden="1">
      <c r="A7289" s="190" t="str">
        <f t="shared" si="72"/>
        <v/>
      </c>
      <c r="B7289" s="190" t="str">
        <f t="shared" si="71"/>
        <v/>
      </c>
    </row>
    <row r="7290" spans="1:2" hidden="1">
      <c r="A7290" s="190" t="str">
        <f t="shared" si="72"/>
        <v/>
      </c>
      <c r="B7290" s="190" t="str">
        <f t="shared" si="71"/>
        <v/>
      </c>
    </row>
    <row r="7291" spans="1:2" hidden="1">
      <c r="A7291" s="190" t="str">
        <f t="shared" si="72"/>
        <v/>
      </c>
      <c r="B7291" s="190" t="str">
        <f t="shared" si="71"/>
        <v/>
      </c>
    </row>
    <row r="7292" spans="1:2" hidden="1">
      <c r="A7292" s="190" t="str">
        <f t="shared" si="72"/>
        <v/>
      </c>
      <c r="B7292" s="190" t="str">
        <f t="shared" ref="B7292:B7355" si="73">HYPERLINK("http://tw.stock.yahoo.com/d/s/earning_.html","")</f>
        <v/>
      </c>
    </row>
    <row r="7293" spans="1:2" hidden="1">
      <c r="A7293" s="190" t="str">
        <f t="shared" si="72"/>
        <v/>
      </c>
      <c r="B7293" s="190" t="str">
        <f t="shared" si="73"/>
        <v/>
      </c>
    </row>
    <row r="7294" spans="1:2" hidden="1">
      <c r="A7294" s="190" t="str">
        <f t="shared" si="72"/>
        <v/>
      </c>
      <c r="B7294" s="190" t="str">
        <f t="shared" si="73"/>
        <v/>
      </c>
    </row>
    <row r="7295" spans="1:2" hidden="1">
      <c r="A7295" s="190" t="str">
        <f t="shared" ref="A7295:A7358" si="74">HYPERLINK("http://tw.stock.yahoo.com/q/ta?s=","")</f>
        <v/>
      </c>
      <c r="B7295" s="190" t="str">
        <f t="shared" si="73"/>
        <v/>
      </c>
    </row>
    <row r="7296" spans="1:2" hidden="1">
      <c r="A7296" s="190" t="str">
        <f t="shared" si="74"/>
        <v/>
      </c>
      <c r="B7296" s="190" t="str">
        <f t="shared" si="73"/>
        <v/>
      </c>
    </row>
    <row r="7297" spans="1:2" hidden="1">
      <c r="A7297" s="190" t="str">
        <f t="shared" si="74"/>
        <v/>
      </c>
      <c r="B7297" s="190" t="str">
        <f t="shared" si="73"/>
        <v/>
      </c>
    </row>
    <row r="7298" spans="1:2" hidden="1">
      <c r="A7298" s="190" t="str">
        <f t="shared" si="74"/>
        <v/>
      </c>
      <c r="B7298" s="190" t="str">
        <f t="shared" si="73"/>
        <v/>
      </c>
    </row>
    <row r="7299" spans="1:2" hidden="1">
      <c r="A7299" s="190" t="str">
        <f t="shared" si="74"/>
        <v/>
      </c>
      <c r="B7299" s="190" t="str">
        <f t="shared" si="73"/>
        <v/>
      </c>
    </row>
    <row r="7300" spans="1:2" hidden="1">
      <c r="A7300" s="190" t="str">
        <f t="shared" si="74"/>
        <v/>
      </c>
      <c r="B7300" s="190" t="str">
        <f t="shared" si="73"/>
        <v/>
      </c>
    </row>
    <row r="7301" spans="1:2" hidden="1">
      <c r="A7301" s="190" t="str">
        <f t="shared" si="74"/>
        <v/>
      </c>
      <c r="B7301" s="190" t="str">
        <f t="shared" si="73"/>
        <v/>
      </c>
    </row>
    <row r="7302" spans="1:2" hidden="1">
      <c r="A7302" s="190" t="str">
        <f t="shared" si="74"/>
        <v/>
      </c>
      <c r="B7302" s="190" t="str">
        <f t="shared" si="73"/>
        <v/>
      </c>
    </row>
    <row r="7303" spans="1:2" hidden="1">
      <c r="A7303" s="190" t="str">
        <f t="shared" si="74"/>
        <v/>
      </c>
      <c r="B7303" s="190" t="str">
        <f t="shared" si="73"/>
        <v/>
      </c>
    </row>
    <row r="7304" spans="1:2" hidden="1">
      <c r="A7304" s="190" t="str">
        <f t="shared" si="74"/>
        <v/>
      </c>
      <c r="B7304" s="190" t="str">
        <f t="shared" si="73"/>
        <v/>
      </c>
    </row>
    <row r="7305" spans="1:2" hidden="1">
      <c r="A7305" s="190" t="str">
        <f t="shared" si="74"/>
        <v/>
      </c>
      <c r="B7305" s="190" t="str">
        <f t="shared" si="73"/>
        <v/>
      </c>
    </row>
    <row r="7306" spans="1:2" hidden="1">
      <c r="A7306" s="190" t="str">
        <f t="shared" si="74"/>
        <v/>
      </c>
      <c r="B7306" s="190" t="str">
        <f t="shared" si="73"/>
        <v/>
      </c>
    </row>
    <row r="7307" spans="1:2" hidden="1">
      <c r="A7307" s="190" t="str">
        <f t="shared" si="74"/>
        <v/>
      </c>
      <c r="B7307" s="190" t="str">
        <f t="shared" si="73"/>
        <v/>
      </c>
    </row>
    <row r="7308" spans="1:2" hidden="1">
      <c r="A7308" s="190" t="str">
        <f t="shared" si="74"/>
        <v/>
      </c>
      <c r="B7308" s="190" t="str">
        <f t="shared" si="73"/>
        <v/>
      </c>
    </row>
    <row r="7309" spans="1:2" hidden="1">
      <c r="A7309" s="190" t="str">
        <f t="shared" si="74"/>
        <v/>
      </c>
      <c r="B7309" s="190" t="str">
        <f t="shared" si="73"/>
        <v/>
      </c>
    </row>
    <row r="7310" spans="1:2" hidden="1">
      <c r="A7310" s="190" t="str">
        <f t="shared" si="74"/>
        <v/>
      </c>
      <c r="B7310" s="190" t="str">
        <f t="shared" si="73"/>
        <v/>
      </c>
    </row>
    <row r="7311" spans="1:2" hidden="1">
      <c r="A7311" s="190" t="str">
        <f t="shared" si="74"/>
        <v/>
      </c>
      <c r="B7311" s="190" t="str">
        <f t="shared" si="73"/>
        <v/>
      </c>
    </row>
    <row r="7312" spans="1:2" hidden="1">
      <c r="A7312" s="190" t="str">
        <f t="shared" si="74"/>
        <v/>
      </c>
      <c r="B7312" s="190" t="str">
        <f t="shared" si="73"/>
        <v/>
      </c>
    </row>
    <row r="7313" spans="1:2" hidden="1">
      <c r="A7313" s="190" t="str">
        <f t="shared" si="74"/>
        <v/>
      </c>
      <c r="B7313" s="190" t="str">
        <f t="shared" si="73"/>
        <v/>
      </c>
    </row>
    <row r="7314" spans="1:2" hidden="1">
      <c r="A7314" s="190" t="str">
        <f t="shared" si="74"/>
        <v/>
      </c>
      <c r="B7314" s="190" t="str">
        <f t="shared" si="73"/>
        <v/>
      </c>
    </row>
    <row r="7315" spans="1:2" hidden="1">
      <c r="A7315" s="190" t="str">
        <f t="shared" si="74"/>
        <v/>
      </c>
      <c r="B7315" s="190" t="str">
        <f t="shared" si="73"/>
        <v/>
      </c>
    </row>
    <row r="7316" spans="1:2" hidden="1">
      <c r="A7316" s="190" t="str">
        <f t="shared" si="74"/>
        <v/>
      </c>
      <c r="B7316" s="190" t="str">
        <f t="shared" si="73"/>
        <v/>
      </c>
    </row>
    <row r="7317" spans="1:2" hidden="1">
      <c r="A7317" s="190" t="str">
        <f t="shared" si="74"/>
        <v/>
      </c>
      <c r="B7317" s="190" t="str">
        <f t="shared" si="73"/>
        <v/>
      </c>
    </row>
    <row r="7318" spans="1:2" hidden="1">
      <c r="A7318" s="190" t="str">
        <f t="shared" si="74"/>
        <v/>
      </c>
      <c r="B7318" s="190" t="str">
        <f t="shared" si="73"/>
        <v/>
      </c>
    </row>
    <row r="7319" spans="1:2" hidden="1">
      <c r="A7319" s="190" t="str">
        <f t="shared" si="74"/>
        <v/>
      </c>
      <c r="B7319" s="190" t="str">
        <f t="shared" si="73"/>
        <v/>
      </c>
    </row>
    <row r="7320" spans="1:2" hidden="1">
      <c r="A7320" s="190" t="str">
        <f t="shared" si="74"/>
        <v/>
      </c>
      <c r="B7320" s="190" t="str">
        <f t="shared" si="73"/>
        <v/>
      </c>
    </row>
    <row r="7321" spans="1:2" hidden="1">
      <c r="A7321" s="190" t="str">
        <f t="shared" si="74"/>
        <v/>
      </c>
      <c r="B7321" s="190" t="str">
        <f t="shared" si="73"/>
        <v/>
      </c>
    </row>
    <row r="7322" spans="1:2" hidden="1">
      <c r="A7322" s="190" t="str">
        <f t="shared" si="74"/>
        <v/>
      </c>
      <c r="B7322" s="190" t="str">
        <f t="shared" si="73"/>
        <v/>
      </c>
    </row>
    <row r="7323" spans="1:2" hidden="1">
      <c r="A7323" s="190" t="str">
        <f t="shared" si="74"/>
        <v/>
      </c>
      <c r="B7323" s="190" t="str">
        <f t="shared" si="73"/>
        <v/>
      </c>
    </row>
    <row r="7324" spans="1:2" hidden="1">
      <c r="A7324" s="190" t="str">
        <f t="shared" si="74"/>
        <v/>
      </c>
      <c r="B7324" s="190" t="str">
        <f t="shared" si="73"/>
        <v/>
      </c>
    </row>
    <row r="7325" spans="1:2" hidden="1">
      <c r="A7325" s="190" t="str">
        <f t="shared" si="74"/>
        <v/>
      </c>
      <c r="B7325" s="190" t="str">
        <f t="shared" si="73"/>
        <v/>
      </c>
    </row>
    <row r="7326" spans="1:2" hidden="1">
      <c r="A7326" s="190" t="str">
        <f t="shared" si="74"/>
        <v/>
      </c>
      <c r="B7326" s="190" t="str">
        <f t="shared" si="73"/>
        <v/>
      </c>
    </row>
    <row r="7327" spans="1:2" hidden="1">
      <c r="A7327" s="190" t="str">
        <f t="shared" si="74"/>
        <v/>
      </c>
      <c r="B7327" s="190" t="str">
        <f t="shared" si="73"/>
        <v/>
      </c>
    </row>
    <row r="7328" spans="1:2" hidden="1">
      <c r="A7328" s="190" t="str">
        <f t="shared" si="74"/>
        <v/>
      </c>
      <c r="B7328" s="190" t="str">
        <f t="shared" si="73"/>
        <v/>
      </c>
    </row>
    <row r="7329" spans="1:2" hidden="1">
      <c r="A7329" s="190" t="str">
        <f t="shared" si="74"/>
        <v/>
      </c>
      <c r="B7329" s="190" t="str">
        <f t="shared" si="73"/>
        <v/>
      </c>
    </row>
    <row r="7330" spans="1:2" hidden="1">
      <c r="A7330" s="190" t="str">
        <f t="shared" si="74"/>
        <v/>
      </c>
      <c r="B7330" s="190" t="str">
        <f t="shared" si="73"/>
        <v/>
      </c>
    </row>
    <row r="7331" spans="1:2" hidden="1">
      <c r="A7331" s="190" t="str">
        <f t="shared" si="74"/>
        <v/>
      </c>
      <c r="B7331" s="190" t="str">
        <f t="shared" si="73"/>
        <v/>
      </c>
    </row>
    <row r="7332" spans="1:2" hidden="1">
      <c r="A7332" s="190" t="str">
        <f t="shared" si="74"/>
        <v/>
      </c>
      <c r="B7332" s="190" t="str">
        <f t="shared" si="73"/>
        <v/>
      </c>
    </row>
    <row r="7333" spans="1:2" hidden="1">
      <c r="A7333" s="190" t="str">
        <f t="shared" si="74"/>
        <v/>
      </c>
      <c r="B7333" s="190" t="str">
        <f t="shared" si="73"/>
        <v/>
      </c>
    </row>
    <row r="7334" spans="1:2" hidden="1">
      <c r="A7334" s="190" t="str">
        <f t="shared" si="74"/>
        <v/>
      </c>
      <c r="B7334" s="190" t="str">
        <f t="shared" si="73"/>
        <v/>
      </c>
    </row>
    <row r="7335" spans="1:2" hidden="1">
      <c r="A7335" s="190" t="str">
        <f t="shared" si="74"/>
        <v/>
      </c>
      <c r="B7335" s="190" t="str">
        <f t="shared" si="73"/>
        <v/>
      </c>
    </row>
    <row r="7336" spans="1:2" hidden="1">
      <c r="A7336" s="190" t="str">
        <f t="shared" si="74"/>
        <v/>
      </c>
      <c r="B7336" s="190" t="str">
        <f t="shared" si="73"/>
        <v/>
      </c>
    </row>
    <row r="7337" spans="1:2" hidden="1">
      <c r="A7337" s="190" t="str">
        <f t="shared" si="74"/>
        <v/>
      </c>
      <c r="B7337" s="190" t="str">
        <f t="shared" si="73"/>
        <v/>
      </c>
    </row>
    <row r="7338" spans="1:2" hidden="1">
      <c r="A7338" s="190" t="str">
        <f t="shared" si="74"/>
        <v/>
      </c>
      <c r="B7338" s="190" t="str">
        <f t="shared" si="73"/>
        <v/>
      </c>
    </row>
    <row r="7339" spans="1:2" hidden="1">
      <c r="A7339" s="190" t="str">
        <f t="shared" si="74"/>
        <v/>
      </c>
      <c r="B7339" s="190" t="str">
        <f t="shared" si="73"/>
        <v/>
      </c>
    </row>
    <row r="7340" spans="1:2" hidden="1">
      <c r="A7340" s="190" t="str">
        <f t="shared" si="74"/>
        <v/>
      </c>
      <c r="B7340" s="190" t="str">
        <f t="shared" si="73"/>
        <v/>
      </c>
    </row>
    <row r="7341" spans="1:2" hidden="1">
      <c r="A7341" s="190" t="str">
        <f t="shared" si="74"/>
        <v/>
      </c>
      <c r="B7341" s="190" t="str">
        <f t="shared" si="73"/>
        <v/>
      </c>
    </row>
    <row r="7342" spans="1:2" hidden="1">
      <c r="A7342" s="190" t="str">
        <f t="shared" si="74"/>
        <v/>
      </c>
      <c r="B7342" s="190" t="str">
        <f t="shared" si="73"/>
        <v/>
      </c>
    </row>
    <row r="7343" spans="1:2" hidden="1">
      <c r="A7343" s="190" t="str">
        <f t="shared" si="74"/>
        <v/>
      </c>
      <c r="B7343" s="190" t="str">
        <f t="shared" si="73"/>
        <v/>
      </c>
    </row>
    <row r="7344" spans="1:2" hidden="1">
      <c r="A7344" s="190" t="str">
        <f t="shared" si="74"/>
        <v/>
      </c>
      <c r="B7344" s="190" t="str">
        <f t="shared" si="73"/>
        <v/>
      </c>
    </row>
    <row r="7345" spans="1:2" hidden="1">
      <c r="A7345" s="190" t="str">
        <f t="shared" si="74"/>
        <v/>
      </c>
      <c r="B7345" s="190" t="str">
        <f t="shared" si="73"/>
        <v/>
      </c>
    </row>
    <row r="7346" spans="1:2" hidden="1">
      <c r="A7346" s="190" t="str">
        <f t="shared" si="74"/>
        <v/>
      </c>
      <c r="B7346" s="190" t="str">
        <f t="shared" si="73"/>
        <v/>
      </c>
    </row>
    <row r="7347" spans="1:2" hidden="1">
      <c r="A7347" s="190" t="str">
        <f t="shared" si="74"/>
        <v/>
      </c>
      <c r="B7347" s="190" t="str">
        <f t="shared" si="73"/>
        <v/>
      </c>
    </row>
    <row r="7348" spans="1:2" hidden="1">
      <c r="A7348" s="190" t="str">
        <f t="shared" si="74"/>
        <v/>
      </c>
      <c r="B7348" s="190" t="str">
        <f t="shared" si="73"/>
        <v/>
      </c>
    </row>
    <row r="7349" spans="1:2" hidden="1">
      <c r="A7349" s="190" t="str">
        <f t="shared" si="74"/>
        <v/>
      </c>
      <c r="B7349" s="190" t="str">
        <f t="shared" si="73"/>
        <v/>
      </c>
    </row>
    <row r="7350" spans="1:2" hidden="1">
      <c r="A7350" s="190" t="str">
        <f t="shared" si="74"/>
        <v/>
      </c>
      <c r="B7350" s="190" t="str">
        <f t="shared" si="73"/>
        <v/>
      </c>
    </row>
    <row r="7351" spans="1:2" hidden="1">
      <c r="A7351" s="190" t="str">
        <f t="shared" si="74"/>
        <v/>
      </c>
      <c r="B7351" s="190" t="str">
        <f t="shared" si="73"/>
        <v/>
      </c>
    </row>
    <row r="7352" spans="1:2" hidden="1">
      <c r="A7352" s="190" t="str">
        <f t="shared" si="74"/>
        <v/>
      </c>
      <c r="B7352" s="190" t="str">
        <f t="shared" si="73"/>
        <v/>
      </c>
    </row>
    <row r="7353" spans="1:2" hidden="1">
      <c r="A7353" s="190" t="str">
        <f t="shared" si="74"/>
        <v/>
      </c>
      <c r="B7353" s="190" t="str">
        <f t="shared" si="73"/>
        <v/>
      </c>
    </row>
    <row r="7354" spans="1:2" hidden="1">
      <c r="A7354" s="190" t="str">
        <f t="shared" si="74"/>
        <v/>
      </c>
      <c r="B7354" s="190" t="str">
        <f t="shared" si="73"/>
        <v/>
      </c>
    </row>
    <row r="7355" spans="1:2" hidden="1">
      <c r="A7355" s="190" t="str">
        <f t="shared" si="74"/>
        <v/>
      </c>
      <c r="B7355" s="190" t="str">
        <f t="shared" si="73"/>
        <v/>
      </c>
    </row>
    <row r="7356" spans="1:2" hidden="1">
      <c r="A7356" s="190" t="str">
        <f t="shared" si="74"/>
        <v/>
      </c>
      <c r="B7356" s="190" t="str">
        <f t="shared" ref="B7356:B7419" si="75">HYPERLINK("http://tw.stock.yahoo.com/d/s/earning_.html","")</f>
        <v/>
      </c>
    </row>
    <row r="7357" spans="1:2" hidden="1">
      <c r="A7357" s="190" t="str">
        <f t="shared" si="74"/>
        <v/>
      </c>
      <c r="B7357" s="190" t="str">
        <f t="shared" si="75"/>
        <v/>
      </c>
    </row>
    <row r="7358" spans="1:2" hidden="1">
      <c r="A7358" s="190" t="str">
        <f t="shared" si="74"/>
        <v/>
      </c>
      <c r="B7358" s="190" t="str">
        <f t="shared" si="75"/>
        <v/>
      </c>
    </row>
    <row r="7359" spans="1:2" hidden="1">
      <c r="A7359" s="190" t="str">
        <f t="shared" ref="A7359:A7422" si="76">HYPERLINK("http://tw.stock.yahoo.com/q/ta?s=","")</f>
        <v/>
      </c>
      <c r="B7359" s="190" t="str">
        <f t="shared" si="75"/>
        <v/>
      </c>
    </row>
    <row r="7360" spans="1:2" hidden="1">
      <c r="A7360" s="190" t="str">
        <f t="shared" si="76"/>
        <v/>
      </c>
      <c r="B7360" s="190" t="str">
        <f t="shared" si="75"/>
        <v/>
      </c>
    </row>
    <row r="7361" spans="1:2" hidden="1">
      <c r="A7361" s="190" t="str">
        <f t="shared" si="76"/>
        <v/>
      </c>
      <c r="B7361" s="190" t="str">
        <f t="shared" si="75"/>
        <v/>
      </c>
    </row>
    <row r="7362" spans="1:2" hidden="1">
      <c r="A7362" s="190" t="str">
        <f t="shared" si="76"/>
        <v/>
      </c>
      <c r="B7362" s="190" t="str">
        <f t="shared" si="75"/>
        <v/>
      </c>
    </row>
    <row r="7363" spans="1:2" hidden="1">
      <c r="A7363" s="190" t="str">
        <f t="shared" si="76"/>
        <v/>
      </c>
      <c r="B7363" s="190" t="str">
        <f t="shared" si="75"/>
        <v/>
      </c>
    </row>
    <row r="7364" spans="1:2" hidden="1">
      <c r="A7364" s="190" t="str">
        <f t="shared" si="76"/>
        <v/>
      </c>
      <c r="B7364" s="190" t="str">
        <f t="shared" si="75"/>
        <v/>
      </c>
    </row>
    <row r="7365" spans="1:2" hidden="1">
      <c r="A7365" s="190" t="str">
        <f t="shared" si="76"/>
        <v/>
      </c>
      <c r="B7365" s="190" t="str">
        <f t="shared" si="75"/>
        <v/>
      </c>
    </row>
    <row r="7366" spans="1:2" hidden="1">
      <c r="A7366" s="190" t="str">
        <f t="shared" si="76"/>
        <v/>
      </c>
      <c r="B7366" s="190" t="str">
        <f t="shared" si="75"/>
        <v/>
      </c>
    </row>
    <row r="7367" spans="1:2" hidden="1">
      <c r="A7367" s="190" t="str">
        <f t="shared" si="76"/>
        <v/>
      </c>
      <c r="B7367" s="190" t="str">
        <f t="shared" si="75"/>
        <v/>
      </c>
    </row>
    <row r="7368" spans="1:2" hidden="1">
      <c r="A7368" s="190" t="str">
        <f t="shared" si="76"/>
        <v/>
      </c>
      <c r="B7368" s="190" t="str">
        <f t="shared" si="75"/>
        <v/>
      </c>
    </row>
    <row r="7369" spans="1:2" hidden="1">
      <c r="A7369" s="190" t="str">
        <f t="shared" si="76"/>
        <v/>
      </c>
      <c r="B7369" s="190" t="str">
        <f t="shared" si="75"/>
        <v/>
      </c>
    </row>
    <row r="7370" spans="1:2" hidden="1">
      <c r="A7370" s="190" t="str">
        <f t="shared" si="76"/>
        <v/>
      </c>
      <c r="B7370" s="190" t="str">
        <f t="shared" si="75"/>
        <v/>
      </c>
    </row>
    <row r="7371" spans="1:2" hidden="1">
      <c r="A7371" s="190" t="str">
        <f t="shared" si="76"/>
        <v/>
      </c>
      <c r="B7371" s="190" t="str">
        <f t="shared" si="75"/>
        <v/>
      </c>
    </row>
    <row r="7372" spans="1:2" hidden="1">
      <c r="A7372" s="190" t="str">
        <f t="shared" si="76"/>
        <v/>
      </c>
      <c r="B7372" s="190" t="str">
        <f t="shared" si="75"/>
        <v/>
      </c>
    </row>
    <row r="7373" spans="1:2" hidden="1">
      <c r="A7373" s="190" t="str">
        <f t="shared" si="76"/>
        <v/>
      </c>
      <c r="B7373" s="190" t="str">
        <f t="shared" si="75"/>
        <v/>
      </c>
    </row>
    <row r="7374" spans="1:2" hidden="1">
      <c r="A7374" s="190" t="str">
        <f t="shared" si="76"/>
        <v/>
      </c>
      <c r="B7374" s="190" t="str">
        <f t="shared" si="75"/>
        <v/>
      </c>
    </row>
    <row r="7375" spans="1:2" hidden="1">
      <c r="A7375" s="190" t="str">
        <f t="shared" si="76"/>
        <v/>
      </c>
      <c r="B7375" s="190" t="str">
        <f t="shared" si="75"/>
        <v/>
      </c>
    </row>
    <row r="7376" spans="1:2" hidden="1">
      <c r="A7376" s="190" t="str">
        <f t="shared" si="76"/>
        <v/>
      </c>
      <c r="B7376" s="190" t="str">
        <f t="shared" si="75"/>
        <v/>
      </c>
    </row>
    <row r="7377" spans="1:2" hidden="1">
      <c r="A7377" s="190" t="str">
        <f t="shared" si="76"/>
        <v/>
      </c>
      <c r="B7377" s="190" t="str">
        <f t="shared" si="75"/>
        <v/>
      </c>
    </row>
    <row r="7378" spans="1:2" hidden="1">
      <c r="A7378" s="190" t="str">
        <f t="shared" si="76"/>
        <v/>
      </c>
      <c r="B7378" s="190" t="str">
        <f t="shared" si="75"/>
        <v/>
      </c>
    </row>
    <row r="7379" spans="1:2" hidden="1">
      <c r="A7379" s="190" t="str">
        <f t="shared" si="76"/>
        <v/>
      </c>
      <c r="B7379" s="190" t="str">
        <f t="shared" si="75"/>
        <v/>
      </c>
    </row>
    <row r="7380" spans="1:2" hidden="1">
      <c r="A7380" s="190" t="str">
        <f t="shared" si="76"/>
        <v/>
      </c>
      <c r="B7380" s="190" t="str">
        <f t="shared" si="75"/>
        <v/>
      </c>
    </row>
    <row r="7381" spans="1:2" hidden="1">
      <c r="A7381" s="190" t="str">
        <f t="shared" si="76"/>
        <v/>
      </c>
      <c r="B7381" s="190" t="str">
        <f t="shared" si="75"/>
        <v/>
      </c>
    </row>
    <row r="7382" spans="1:2" hidden="1">
      <c r="A7382" s="190" t="str">
        <f t="shared" si="76"/>
        <v/>
      </c>
      <c r="B7382" s="190" t="str">
        <f t="shared" si="75"/>
        <v/>
      </c>
    </row>
    <row r="7383" spans="1:2" hidden="1">
      <c r="A7383" s="190" t="str">
        <f t="shared" si="76"/>
        <v/>
      </c>
      <c r="B7383" s="190" t="str">
        <f t="shared" si="75"/>
        <v/>
      </c>
    </row>
    <row r="7384" spans="1:2" hidden="1">
      <c r="A7384" s="190" t="str">
        <f t="shared" si="76"/>
        <v/>
      </c>
      <c r="B7384" s="190" t="str">
        <f t="shared" si="75"/>
        <v/>
      </c>
    </row>
    <row r="7385" spans="1:2" hidden="1">
      <c r="A7385" s="190" t="str">
        <f t="shared" si="76"/>
        <v/>
      </c>
      <c r="B7385" s="190" t="str">
        <f t="shared" si="75"/>
        <v/>
      </c>
    </row>
    <row r="7386" spans="1:2" hidden="1">
      <c r="A7386" s="190" t="str">
        <f t="shared" si="76"/>
        <v/>
      </c>
      <c r="B7386" s="190" t="str">
        <f t="shared" si="75"/>
        <v/>
      </c>
    </row>
    <row r="7387" spans="1:2" hidden="1">
      <c r="A7387" s="190" t="str">
        <f t="shared" si="76"/>
        <v/>
      </c>
      <c r="B7387" s="190" t="str">
        <f t="shared" si="75"/>
        <v/>
      </c>
    </row>
    <row r="7388" spans="1:2" hidden="1">
      <c r="A7388" s="190" t="str">
        <f t="shared" si="76"/>
        <v/>
      </c>
      <c r="B7388" s="190" t="str">
        <f t="shared" si="75"/>
        <v/>
      </c>
    </row>
    <row r="7389" spans="1:2" hidden="1">
      <c r="A7389" s="190" t="str">
        <f t="shared" si="76"/>
        <v/>
      </c>
      <c r="B7389" s="190" t="str">
        <f t="shared" si="75"/>
        <v/>
      </c>
    </row>
    <row r="7390" spans="1:2" hidden="1">
      <c r="A7390" s="190" t="str">
        <f t="shared" si="76"/>
        <v/>
      </c>
      <c r="B7390" s="190" t="str">
        <f t="shared" si="75"/>
        <v/>
      </c>
    </row>
    <row r="7391" spans="1:2" hidden="1">
      <c r="A7391" s="190" t="str">
        <f t="shared" si="76"/>
        <v/>
      </c>
      <c r="B7391" s="190" t="str">
        <f t="shared" si="75"/>
        <v/>
      </c>
    </row>
    <row r="7392" spans="1:2" hidden="1">
      <c r="A7392" s="190" t="str">
        <f t="shared" si="76"/>
        <v/>
      </c>
      <c r="B7392" s="190" t="str">
        <f t="shared" si="75"/>
        <v/>
      </c>
    </row>
    <row r="7393" spans="1:2" hidden="1">
      <c r="A7393" s="190" t="str">
        <f t="shared" si="76"/>
        <v/>
      </c>
      <c r="B7393" s="190" t="str">
        <f t="shared" si="75"/>
        <v/>
      </c>
    </row>
    <row r="7394" spans="1:2" hidden="1">
      <c r="A7394" s="190" t="str">
        <f t="shared" si="76"/>
        <v/>
      </c>
      <c r="B7394" s="190" t="str">
        <f t="shared" si="75"/>
        <v/>
      </c>
    </row>
    <row r="7395" spans="1:2" hidden="1">
      <c r="A7395" s="190" t="str">
        <f t="shared" si="76"/>
        <v/>
      </c>
      <c r="B7395" s="190" t="str">
        <f t="shared" si="75"/>
        <v/>
      </c>
    </row>
    <row r="7396" spans="1:2" hidden="1">
      <c r="A7396" s="190" t="str">
        <f t="shared" si="76"/>
        <v/>
      </c>
      <c r="B7396" s="190" t="str">
        <f t="shared" si="75"/>
        <v/>
      </c>
    </row>
    <row r="7397" spans="1:2" hidden="1">
      <c r="A7397" s="190" t="str">
        <f t="shared" si="76"/>
        <v/>
      </c>
      <c r="B7397" s="190" t="str">
        <f t="shared" si="75"/>
        <v/>
      </c>
    </row>
    <row r="7398" spans="1:2" hidden="1">
      <c r="A7398" s="190" t="str">
        <f t="shared" si="76"/>
        <v/>
      </c>
      <c r="B7398" s="190" t="str">
        <f t="shared" si="75"/>
        <v/>
      </c>
    </row>
    <row r="7399" spans="1:2" hidden="1">
      <c r="A7399" s="190" t="str">
        <f t="shared" si="76"/>
        <v/>
      </c>
      <c r="B7399" s="190" t="str">
        <f t="shared" si="75"/>
        <v/>
      </c>
    </row>
    <row r="7400" spans="1:2" hidden="1">
      <c r="A7400" s="190" t="str">
        <f t="shared" si="76"/>
        <v/>
      </c>
      <c r="B7400" s="190" t="str">
        <f t="shared" si="75"/>
        <v/>
      </c>
    </row>
    <row r="7401" spans="1:2" hidden="1">
      <c r="A7401" s="190" t="str">
        <f t="shared" si="76"/>
        <v/>
      </c>
      <c r="B7401" s="190" t="str">
        <f t="shared" si="75"/>
        <v/>
      </c>
    </row>
    <row r="7402" spans="1:2" hidden="1">
      <c r="A7402" s="190" t="str">
        <f t="shared" si="76"/>
        <v/>
      </c>
      <c r="B7402" s="190" t="str">
        <f t="shared" si="75"/>
        <v/>
      </c>
    </row>
    <row r="7403" spans="1:2" hidden="1">
      <c r="A7403" s="190" t="str">
        <f t="shared" si="76"/>
        <v/>
      </c>
      <c r="B7403" s="190" t="str">
        <f t="shared" si="75"/>
        <v/>
      </c>
    </row>
    <row r="7404" spans="1:2" hidden="1">
      <c r="A7404" s="190" t="str">
        <f t="shared" si="76"/>
        <v/>
      </c>
      <c r="B7404" s="190" t="str">
        <f t="shared" si="75"/>
        <v/>
      </c>
    </row>
    <row r="7405" spans="1:2" hidden="1">
      <c r="A7405" s="190" t="str">
        <f t="shared" si="76"/>
        <v/>
      </c>
      <c r="B7405" s="190" t="str">
        <f t="shared" si="75"/>
        <v/>
      </c>
    </row>
    <row r="7406" spans="1:2" hidden="1">
      <c r="A7406" s="190" t="str">
        <f t="shared" si="76"/>
        <v/>
      </c>
      <c r="B7406" s="190" t="str">
        <f t="shared" si="75"/>
        <v/>
      </c>
    </row>
    <row r="7407" spans="1:2" hidden="1">
      <c r="A7407" s="190" t="str">
        <f t="shared" si="76"/>
        <v/>
      </c>
      <c r="B7407" s="190" t="str">
        <f t="shared" si="75"/>
        <v/>
      </c>
    </row>
    <row r="7408" spans="1:2" hidden="1">
      <c r="A7408" s="190" t="str">
        <f t="shared" si="76"/>
        <v/>
      </c>
      <c r="B7408" s="190" t="str">
        <f t="shared" si="75"/>
        <v/>
      </c>
    </row>
    <row r="7409" spans="1:2" hidden="1">
      <c r="A7409" s="190" t="str">
        <f t="shared" si="76"/>
        <v/>
      </c>
      <c r="B7409" s="190" t="str">
        <f t="shared" si="75"/>
        <v/>
      </c>
    </row>
    <row r="7410" spans="1:2" hidden="1">
      <c r="A7410" s="190" t="str">
        <f t="shared" si="76"/>
        <v/>
      </c>
      <c r="B7410" s="190" t="str">
        <f t="shared" si="75"/>
        <v/>
      </c>
    </row>
    <row r="7411" spans="1:2" hidden="1">
      <c r="A7411" s="190" t="str">
        <f t="shared" si="76"/>
        <v/>
      </c>
      <c r="B7411" s="190" t="str">
        <f t="shared" si="75"/>
        <v/>
      </c>
    </row>
    <row r="7412" spans="1:2" hidden="1">
      <c r="A7412" s="190" t="str">
        <f t="shared" si="76"/>
        <v/>
      </c>
      <c r="B7412" s="190" t="str">
        <f t="shared" si="75"/>
        <v/>
      </c>
    </row>
    <row r="7413" spans="1:2" hidden="1">
      <c r="A7413" s="190" t="str">
        <f t="shared" si="76"/>
        <v/>
      </c>
      <c r="B7413" s="190" t="str">
        <f t="shared" si="75"/>
        <v/>
      </c>
    </row>
    <row r="7414" spans="1:2" hidden="1">
      <c r="A7414" s="190" t="str">
        <f t="shared" si="76"/>
        <v/>
      </c>
      <c r="B7414" s="190" t="str">
        <f t="shared" si="75"/>
        <v/>
      </c>
    </row>
    <row r="7415" spans="1:2" hidden="1">
      <c r="A7415" s="190" t="str">
        <f t="shared" si="76"/>
        <v/>
      </c>
      <c r="B7415" s="190" t="str">
        <f t="shared" si="75"/>
        <v/>
      </c>
    </row>
    <row r="7416" spans="1:2" hidden="1">
      <c r="A7416" s="190" t="str">
        <f t="shared" si="76"/>
        <v/>
      </c>
      <c r="B7416" s="190" t="str">
        <f t="shared" si="75"/>
        <v/>
      </c>
    </row>
    <row r="7417" spans="1:2" hidden="1">
      <c r="A7417" s="190" t="str">
        <f t="shared" si="76"/>
        <v/>
      </c>
      <c r="B7417" s="190" t="str">
        <f t="shared" si="75"/>
        <v/>
      </c>
    </row>
    <row r="7418" spans="1:2" hidden="1">
      <c r="A7418" s="190" t="str">
        <f t="shared" si="76"/>
        <v/>
      </c>
      <c r="B7418" s="190" t="str">
        <f t="shared" si="75"/>
        <v/>
      </c>
    </row>
    <row r="7419" spans="1:2" hidden="1">
      <c r="A7419" s="190" t="str">
        <f t="shared" si="76"/>
        <v/>
      </c>
      <c r="B7419" s="190" t="str">
        <f t="shared" si="75"/>
        <v/>
      </c>
    </row>
    <row r="7420" spans="1:2" hidden="1">
      <c r="A7420" s="190" t="str">
        <f t="shared" si="76"/>
        <v/>
      </c>
      <c r="B7420" s="190" t="str">
        <f t="shared" ref="B7420:B7483" si="77">HYPERLINK("http://tw.stock.yahoo.com/d/s/earning_.html","")</f>
        <v/>
      </c>
    </row>
    <row r="7421" spans="1:2" hidden="1">
      <c r="A7421" s="190" t="str">
        <f t="shared" si="76"/>
        <v/>
      </c>
      <c r="B7421" s="190" t="str">
        <f t="shared" si="77"/>
        <v/>
      </c>
    </row>
    <row r="7422" spans="1:2" hidden="1">
      <c r="A7422" s="190" t="str">
        <f t="shared" si="76"/>
        <v/>
      </c>
      <c r="B7422" s="190" t="str">
        <f t="shared" si="77"/>
        <v/>
      </c>
    </row>
    <row r="7423" spans="1:2" hidden="1">
      <c r="A7423" s="190" t="str">
        <f t="shared" ref="A7423:A7486" si="78">HYPERLINK("http://tw.stock.yahoo.com/q/ta?s=","")</f>
        <v/>
      </c>
      <c r="B7423" s="190" t="str">
        <f t="shared" si="77"/>
        <v/>
      </c>
    </row>
    <row r="7424" spans="1:2" hidden="1">
      <c r="A7424" s="190" t="str">
        <f t="shared" si="78"/>
        <v/>
      </c>
      <c r="B7424" s="190" t="str">
        <f t="shared" si="77"/>
        <v/>
      </c>
    </row>
    <row r="7425" spans="1:2" hidden="1">
      <c r="A7425" s="190" t="str">
        <f t="shared" si="78"/>
        <v/>
      </c>
      <c r="B7425" s="190" t="str">
        <f t="shared" si="77"/>
        <v/>
      </c>
    </row>
    <row r="7426" spans="1:2" hidden="1">
      <c r="A7426" s="190" t="str">
        <f t="shared" si="78"/>
        <v/>
      </c>
      <c r="B7426" s="190" t="str">
        <f t="shared" si="77"/>
        <v/>
      </c>
    </row>
    <row r="7427" spans="1:2" hidden="1">
      <c r="A7427" s="190" t="str">
        <f t="shared" si="78"/>
        <v/>
      </c>
      <c r="B7427" s="190" t="str">
        <f t="shared" si="77"/>
        <v/>
      </c>
    </row>
    <row r="7428" spans="1:2" hidden="1">
      <c r="A7428" s="190" t="str">
        <f t="shared" si="78"/>
        <v/>
      </c>
      <c r="B7428" s="190" t="str">
        <f t="shared" si="77"/>
        <v/>
      </c>
    </row>
    <row r="7429" spans="1:2" hidden="1">
      <c r="A7429" s="190" t="str">
        <f t="shared" si="78"/>
        <v/>
      </c>
      <c r="B7429" s="190" t="str">
        <f t="shared" si="77"/>
        <v/>
      </c>
    </row>
    <row r="7430" spans="1:2" hidden="1">
      <c r="A7430" s="190" t="str">
        <f t="shared" si="78"/>
        <v/>
      </c>
      <c r="B7430" s="190" t="str">
        <f t="shared" si="77"/>
        <v/>
      </c>
    </row>
    <row r="7431" spans="1:2" hidden="1">
      <c r="A7431" s="190" t="str">
        <f t="shared" si="78"/>
        <v/>
      </c>
      <c r="B7431" s="190" t="str">
        <f t="shared" si="77"/>
        <v/>
      </c>
    </row>
    <row r="7432" spans="1:2" hidden="1">
      <c r="A7432" s="190" t="str">
        <f t="shared" si="78"/>
        <v/>
      </c>
      <c r="B7432" s="190" t="str">
        <f t="shared" si="77"/>
        <v/>
      </c>
    </row>
    <row r="7433" spans="1:2" hidden="1">
      <c r="A7433" s="190" t="str">
        <f t="shared" si="78"/>
        <v/>
      </c>
      <c r="B7433" s="190" t="str">
        <f t="shared" si="77"/>
        <v/>
      </c>
    </row>
    <row r="7434" spans="1:2" hidden="1">
      <c r="A7434" s="190" t="str">
        <f t="shared" si="78"/>
        <v/>
      </c>
      <c r="B7434" s="190" t="str">
        <f t="shared" si="77"/>
        <v/>
      </c>
    </row>
    <row r="7435" spans="1:2" hidden="1">
      <c r="A7435" s="190" t="str">
        <f t="shared" si="78"/>
        <v/>
      </c>
      <c r="B7435" s="190" t="str">
        <f t="shared" si="77"/>
        <v/>
      </c>
    </row>
    <row r="7436" spans="1:2" hidden="1">
      <c r="A7436" s="190" t="str">
        <f t="shared" si="78"/>
        <v/>
      </c>
      <c r="B7436" s="190" t="str">
        <f t="shared" si="77"/>
        <v/>
      </c>
    </row>
    <row r="7437" spans="1:2" hidden="1">
      <c r="A7437" s="190" t="str">
        <f t="shared" si="78"/>
        <v/>
      </c>
      <c r="B7437" s="190" t="str">
        <f t="shared" si="77"/>
        <v/>
      </c>
    </row>
    <row r="7438" spans="1:2" hidden="1">
      <c r="A7438" s="190" t="str">
        <f t="shared" si="78"/>
        <v/>
      </c>
      <c r="B7438" s="190" t="str">
        <f t="shared" si="77"/>
        <v/>
      </c>
    </row>
    <row r="7439" spans="1:2" hidden="1">
      <c r="A7439" s="190" t="str">
        <f t="shared" si="78"/>
        <v/>
      </c>
      <c r="B7439" s="190" t="str">
        <f t="shared" si="77"/>
        <v/>
      </c>
    </row>
    <row r="7440" spans="1:2" hidden="1">
      <c r="A7440" s="190" t="str">
        <f t="shared" si="78"/>
        <v/>
      </c>
      <c r="B7440" s="190" t="str">
        <f t="shared" si="77"/>
        <v/>
      </c>
    </row>
    <row r="7441" spans="1:2" hidden="1">
      <c r="A7441" s="190" t="str">
        <f t="shared" si="78"/>
        <v/>
      </c>
      <c r="B7441" s="190" t="str">
        <f t="shared" si="77"/>
        <v/>
      </c>
    </row>
    <row r="7442" spans="1:2" hidden="1">
      <c r="A7442" s="190" t="str">
        <f t="shared" si="78"/>
        <v/>
      </c>
      <c r="B7442" s="190" t="str">
        <f t="shared" si="77"/>
        <v/>
      </c>
    </row>
    <row r="7443" spans="1:2" hidden="1">
      <c r="A7443" s="190" t="str">
        <f t="shared" si="78"/>
        <v/>
      </c>
      <c r="B7443" s="190" t="str">
        <f t="shared" si="77"/>
        <v/>
      </c>
    </row>
    <row r="7444" spans="1:2" hidden="1">
      <c r="A7444" s="190" t="str">
        <f t="shared" si="78"/>
        <v/>
      </c>
      <c r="B7444" s="190" t="str">
        <f t="shared" si="77"/>
        <v/>
      </c>
    </row>
    <row r="7445" spans="1:2" hidden="1">
      <c r="A7445" s="190" t="str">
        <f t="shared" si="78"/>
        <v/>
      </c>
      <c r="B7445" s="190" t="str">
        <f t="shared" si="77"/>
        <v/>
      </c>
    </row>
    <row r="7446" spans="1:2" hidden="1">
      <c r="A7446" s="190" t="str">
        <f t="shared" si="78"/>
        <v/>
      </c>
      <c r="B7446" s="190" t="str">
        <f t="shared" si="77"/>
        <v/>
      </c>
    </row>
    <row r="7447" spans="1:2" hidden="1">
      <c r="A7447" s="190" t="str">
        <f t="shared" si="78"/>
        <v/>
      </c>
      <c r="B7447" s="190" t="str">
        <f t="shared" si="77"/>
        <v/>
      </c>
    </row>
    <row r="7448" spans="1:2" hidden="1">
      <c r="A7448" s="190" t="str">
        <f t="shared" si="78"/>
        <v/>
      </c>
      <c r="B7448" s="190" t="str">
        <f t="shared" si="77"/>
        <v/>
      </c>
    </row>
    <row r="7449" spans="1:2" hidden="1">
      <c r="A7449" s="190" t="str">
        <f t="shared" si="78"/>
        <v/>
      </c>
      <c r="B7449" s="190" t="str">
        <f t="shared" si="77"/>
        <v/>
      </c>
    </row>
    <row r="7450" spans="1:2" hidden="1">
      <c r="A7450" s="190" t="str">
        <f t="shared" si="78"/>
        <v/>
      </c>
      <c r="B7450" s="190" t="str">
        <f t="shared" si="77"/>
        <v/>
      </c>
    </row>
    <row r="7451" spans="1:2" hidden="1">
      <c r="A7451" s="190" t="str">
        <f t="shared" si="78"/>
        <v/>
      </c>
      <c r="B7451" s="190" t="str">
        <f t="shared" si="77"/>
        <v/>
      </c>
    </row>
    <row r="7452" spans="1:2" hidden="1">
      <c r="A7452" s="190" t="str">
        <f t="shared" si="78"/>
        <v/>
      </c>
      <c r="B7452" s="190" t="str">
        <f t="shared" si="77"/>
        <v/>
      </c>
    </row>
    <row r="7453" spans="1:2" hidden="1">
      <c r="A7453" s="190" t="str">
        <f t="shared" si="78"/>
        <v/>
      </c>
      <c r="B7453" s="190" t="str">
        <f t="shared" si="77"/>
        <v/>
      </c>
    </row>
    <row r="7454" spans="1:2" hidden="1">
      <c r="A7454" s="190" t="str">
        <f t="shared" si="78"/>
        <v/>
      </c>
      <c r="B7454" s="190" t="str">
        <f t="shared" si="77"/>
        <v/>
      </c>
    </row>
    <row r="7455" spans="1:2" hidden="1">
      <c r="A7455" s="190" t="str">
        <f t="shared" si="78"/>
        <v/>
      </c>
      <c r="B7455" s="190" t="str">
        <f t="shared" si="77"/>
        <v/>
      </c>
    </row>
    <row r="7456" spans="1:2" hidden="1">
      <c r="A7456" s="190" t="str">
        <f t="shared" si="78"/>
        <v/>
      </c>
      <c r="B7456" s="190" t="str">
        <f t="shared" si="77"/>
        <v/>
      </c>
    </row>
    <row r="7457" spans="1:2" hidden="1">
      <c r="A7457" s="190" t="str">
        <f t="shared" si="78"/>
        <v/>
      </c>
      <c r="B7457" s="190" t="str">
        <f t="shared" si="77"/>
        <v/>
      </c>
    </row>
    <row r="7458" spans="1:2" hidden="1">
      <c r="A7458" s="190" t="str">
        <f t="shared" si="78"/>
        <v/>
      </c>
      <c r="B7458" s="190" t="str">
        <f t="shared" si="77"/>
        <v/>
      </c>
    </row>
    <row r="7459" spans="1:2" hidden="1">
      <c r="A7459" s="190" t="str">
        <f t="shared" si="78"/>
        <v/>
      </c>
      <c r="B7459" s="190" t="str">
        <f t="shared" si="77"/>
        <v/>
      </c>
    </row>
    <row r="7460" spans="1:2" hidden="1">
      <c r="A7460" s="190" t="str">
        <f t="shared" si="78"/>
        <v/>
      </c>
      <c r="B7460" s="190" t="str">
        <f t="shared" si="77"/>
        <v/>
      </c>
    </row>
    <row r="7461" spans="1:2" hidden="1">
      <c r="A7461" s="190" t="str">
        <f t="shared" si="78"/>
        <v/>
      </c>
      <c r="B7461" s="190" t="str">
        <f t="shared" si="77"/>
        <v/>
      </c>
    </row>
    <row r="7462" spans="1:2" hidden="1">
      <c r="A7462" s="190" t="str">
        <f t="shared" si="78"/>
        <v/>
      </c>
      <c r="B7462" s="190" t="str">
        <f t="shared" si="77"/>
        <v/>
      </c>
    </row>
    <row r="7463" spans="1:2" hidden="1">
      <c r="A7463" s="190" t="str">
        <f t="shared" si="78"/>
        <v/>
      </c>
      <c r="B7463" s="190" t="str">
        <f t="shared" si="77"/>
        <v/>
      </c>
    </row>
    <row r="7464" spans="1:2" hidden="1">
      <c r="A7464" s="190" t="str">
        <f t="shared" si="78"/>
        <v/>
      </c>
      <c r="B7464" s="190" t="str">
        <f t="shared" si="77"/>
        <v/>
      </c>
    </row>
    <row r="7465" spans="1:2" hidden="1">
      <c r="A7465" s="190" t="str">
        <f t="shared" si="78"/>
        <v/>
      </c>
      <c r="B7465" s="190" t="str">
        <f t="shared" si="77"/>
        <v/>
      </c>
    </row>
    <row r="7466" spans="1:2" hidden="1">
      <c r="A7466" s="190" t="str">
        <f t="shared" si="78"/>
        <v/>
      </c>
      <c r="B7466" s="190" t="str">
        <f t="shared" si="77"/>
        <v/>
      </c>
    </row>
    <row r="7467" spans="1:2" hidden="1">
      <c r="A7467" s="190" t="str">
        <f t="shared" si="78"/>
        <v/>
      </c>
      <c r="B7467" s="190" t="str">
        <f t="shared" si="77"/>
        <v/>
      </c>
    </row>
    <row r="7468" spans="1:2" hidden="1">
      <c r="A7468" s="190" t="str">
        <f t="shared" si="78"/>
        <v/>
      </c>
      <c r="B7468" s="190" t="str">
        <f t="shared" si="77"/>
        <v/>
      </c>
    </row>
    <row r="7469" spans="1:2" hidden="1">
      <c r="A7469" s="190" t="str">
        <f t="shared" si="78"/>
        <v/>
      </c>
      <c r="B7469" s="190" t="str">
        <f t="shared" si="77"/>
        <v/>
      </c>
    </row>
    <row r="7470" spans="1:2" hidden="1">
      <c r="A7470" s="190" t="str">
        <f t="shared" si="78"/>
        <v/>
      </c>
      <c r="B7470" s="190" t="str">
        <f t="shared" si="77"/>
        <v/>
      </c>
    </row>
    <row r="7471" spans="1:2" hidden="1">
      <c r="A7471" s="190" t="str">
        <f t="shared" si="78"/>
        <v/>
      </c>
      <c r="B7471" s="190" t="str">
        <f t="shared" si="77"/>
        <v/>
      </c>
    </row>
    <row r="7472" spans="1:2" hidden="1">
      <c r="A7472" s="190" t="str">
        <f t="shared" si="78"/>
        <v/>
      </c>
      <c r="B7472" s="190" t="str">
        <f t="shared" si="77"/>
        <v/>
      </c>
    </row>
    <row r="7473" spans="1:2" hidden="1">
      <c r="A7473" s="190" t="str">
        <f t="shared" si="78"/>
        <v/>
      </c>
      <c r="B7473" s="190" t="str">
        <f t="shared" si="77"/>
        <v/>
      </c>
    </row>
    <row r="7474" spans="1:2" hidden="1">
      <c r="A7474" s="190" t="str">
        <f t="shared" si="78"/>
        <v/>
      </c>
      <c r="B7474" s="190" t="str">
        <f t="shared" si="77"/>
        <v/>
      </c>
    </row>
    <row r="7475" spans="1:2" hidden="1">
      <c r="A7475" s="190" t="str">
        <f t="shared" si="78"/>
        <v/>
      </c>
      <c r="B7475" s="190" t="str">
        <f t="shared" si="77"/>
        <v/>
      </c>
    </row>
    <row r="7476" spans="1:2" hidden="1">
      <c r="A7476" s="190" t="str">
        <f t="shared" si="78"/>
        <v/>
      </c>
      <c r="B7476" s="190" t="str">
        <f t="shared" si="77"/>
        <v/>
      </c>
    </row>
    <row r="7477" spans="1:2" hidden="1">
      <c r="A7477" s="190" t="str">
        <f t="shared" si="78"/>
        <v/>
      </c>
      <c r="B7477" s="190" t="str">
        <f t="shared" si="77"/>
        <v/>
      </c>
    </row>
    <row r="7478" spans="1:2" hidden="1">
      <c r="A7478" s="190" t="str">
        <f t="shared" si="78"/>
        <v/>
      </c>
      <c r="B7478" s="190" t="str">
        <f t="shared" si="77"/>
        <v/>
      </c>
    </row>
    <row r="7479" spans="1:2" hidden="1">
      <c r="A7479" s="190" t="str">
        <f t="shared" si="78"/>
        <v/>
      </c>
      <c r="B7479" s="190" t="str">
        <f t="shared" si="77"/>
        <v/>
      </c>
    </row>
    <row r="7480" spans="1:2" hidden="1">
      <c r="A7480" s="190" t="str">
        <f t="shared" si="78"/>
        <v/>
      </c>
      <c r="B7480" s="190" t="str">
        <f t="shared" si="77"/>
        <v/>
      </c>
    </row>
    <row r="7481" spans="1:2" hidden="1">
      <c r="A7481" s="190" t="str">
        <f t="shared" si="78"/>
        <v/>
      </c>
      <c r="B7481" s="190" t="str">
        <f t="shared" si="77"/>
        <v/>
      </c>
    </row>
    <row r="7482" spans="1:2" hidden="1">
      <c r="A7482" s="190" t="str">
        <f t="shared" si="78"/>
        <v/>
      </c>
      <c r="B7482" s="190" t="str">
        <f t="shared" si="77"/>
        <v/>
      </c>
    </row>
    <row r="7483" spans="1:2" hidden="1">
      <c r="A7483" s="190" t="str">
        <f t="shared" si="78"/>
        <v/>
      </c>
      <c r="B7483" s="190" t="str">
        <f t="shared" si="77"/>
        <v/>
      </c>
    </row>
    <row r="7484" spans="1:2" hidden="1">
      <c r="A7484" s="190" t="str">
        <f t="shared" si="78"/>
        <v/>
      </c>
      <c r="B7484" s="190" t="str">
        <f t="shared" ref="B7484:B7547" si="79">HYPERLINK("http://tw.stock.yahoo.com/d/s/earning_.html","")</f>
        <v/>
      </c>
    </row>
    <row r="7485" spans="1:2" hidden="1">
      <c r="A7485" s="190" t="str">
        <f t="shared" si="78"/>
        <v/>
      </c>
      <c r="B7485" s="190" t="str">
        <f t="shared" si="79"/>
        <v/>
      </c>
    </row>
    <row r="7486" spans="1:2" hidden="1">
      <c r="A7486" s="190" t="str">
        <f t="shared" si="78"/>
        <v/>
      </c>
      <c r="B7486" s="190" t="str">
        <f t="shared" si="79"/>
        <v/>
      </c>
    </row>
    <row r="7487" spans="1:2" hidden="1">
      <c r="A7487" s="190" t="str">
        <f t="shared" ref="A7487:A7550" si="80">HYPERLINK("http://tw.stock.yahoo.com/q/ta?s=","")</f>
        <v/>
      </c>
      <c r="B7487" s="190" t="str">
        <f t="shared" si="79"/>
        <v/>
      </c>
    </row>
    <row r="7488" spans="1:2" hidden="1">
      <c r="A7488" s="190" t="str">
        <f t="shared" si="80"/>
        <v/>
      </c>
      <c r="B7488" s="190" t="str">
        <f t="shared" si="79"/>
        <v/>
      </c>
    </row>
    <row r="7489" spans="1:2" hidden="1">
      <c r="A7489" s="190" t="str">
        <f t="shared" si="80"/>
        <v/>
      </c>
      <c r="B7489" s="190" t="str">
        <f t="shared" si="79"/>
        <v/>
      </c>
    </row>
    <row r="7490" spans="1:2" hidden="1">
      <c r="A7490" s="190" t="str">
        <f t="shared" si="80"/>
        <v/>
      </c>
      <c r="B7490" s="190" t="str">
        <f t="shared" si="79"/>
        <v/>
      </c>
    </row>
    <row r="7491" spans="1:2" hidden="1">
      <c r="A7491" s="190" t="str">
        <f t="shared" si="80"/>
        <v/>
      </c>
      <c r="B7491" s="190" t="str">
        <f t="shared" si="79"/>
        <v/>
      </c>
    </row>
    <row r="7492" spans="1:2" hidden="1">
      <c r="A7492" s="190" t="str">
        <f t="shared" si="80"/>
        <v/>
      </c>
      <c r="B7492" s="190" t="str">
        <f t="shared" si="79"/>
        <v/>
      </c>
    </row>
    <row r="7493" spans="1:2" hidden="1">
      <c r="A7493" s="190" t="str">
        <f t="shared" si="80"/>
        <v/>
      </c>
      <c r="B7493" s="190" t="str">
        <f t="shared" si="79"/>
        <v/>
      </c>
    </row>
    <row r="7494" spans="1:2" hidden="1">
      <c r="A7494" s="190" t="str">
        <f t="shared" si="80"/>
        <v/>
      </c>
      <c r="B7494" s="190" t="str">
        <f t="shared" si="79"/>
        <v/>
      </c>
    </row>
    <row r="7495" spans="1:2" hidden="1">
      <c r="A7495" s="190" t="str">
        <f t="shared" si="80"/>
        <v/>
      </c>
      <c r="B7495" s="190" t="str">
        <f t="shared" si="79"/>
        <v/>
      </c>
    </row>
    <row r="7496" spans="1:2" hidden="1">
      <c r="A7496" s="190" t="str">
        <f t="shared" si="80"/>
        <v/>
      </c>
      <c r="B7496" s="190" t="str">
        <f t="shared" si="79"/>
        <v/>
      </c>
    </row>
    <row r="7497" spans="1:2" hidden="1">
      <c r="A7497" s="190" t="str">
        <f t="shared" si="80"/>
        <v/>
      </c>
      <c r="B7497" s="190" t="str">
        <f t="shared" si="79"/>
        <v/>
      </c>
    </row>
    <row r="7498" spans="1:2" hidden="1">
      <c r="A7498" s="190" t="str">
        <f t="shared" si="80"/>
        <v/>
      </c>
      <c r="B7498" s="190" t="str">
        <f t="shared" si="79"/>
        <v/>
      </c>
    </row>
    <row r="7499" spans="1:2" hidden="1">
      <c r="A7499" s="190" t="str">
        <f t="shared" si="80"/>
        <v/>
      </c>
      <c r="B7499" s="190" t="str">
        <f t="shared" si="79"/>
        <v/>
      </c>
    </row>
    <row r="7500" spans="1:2" hidden="1">
      <c r="A7500" s="190" t="str">
        <f t="shared" si="80"/>
        <v/>
      </c>
      <c r="B7500" s="190" t="str">
        <f t="shared" si="79"/>
        <v/>
      </c>
    </row>
    <row r="7501" spans="1:2" hidden="1">
      <c r="A7501" s="190" t="str">
        <f t="shared" si="80"/>
        <v/>
      </c>
      <c r="B7501" s="190" t="str">
        <f t="shared" si="79"/>
        <v/>
      </c>
    </row>
    <row r="7502" spans="1:2" hidden="1">
      <c r="A7502" s="190" t="str">
        <f t="shared" si="80"/>
        <v/>
      </c>
      <c r="B7502" s="190" t="str">
        <f t="shared" si="79"/>
        <v/>
      </c>
    </row>
    <row r="7503" spans="1:2" hidden="1">
      <c r="A7503" s="190" t="str">
        <f t="shared" si="80"/>
        <v/>
      </c>
      <c r="B7503" s="190" t="str">
        <f t="shared" si="79"/>
        <v/>
      </c>
    </row>
    <row r="7504" spans="1:2" hidden="1">
      <c r="A7504" s="190" t="str">
        <f t="shared" si="80"/>
        <v/>
      </c>
      <c r="B7504" s="190" t="str">
        <f t="shared" si="79"/>
        <v/>
      </c>
    </row>
    <row r="7505" spans="1:2" hidden="1">
      <c r="A7505" s="190" t="str">
        <f t="shared" si="80"/>
        <v/>
      </c>
      <c r="B7505" s="190" t="str">
        <f t="shared" si="79"/>
        <v/>
      </c>
    </row>
    <row r="7506" spans="1:2" hidden="1">
      <c r="A7506" s="190" t="str">
        <f t="shared" si="80"/>
        <v/>
      </c>
      <c r="B7506" s="190" t="str">
        <f t="shared" si="79"/>
        <v/>
      </c>
    </row>
    <row r="7507" spans="1:2" hidden="1">
      <c r="A7507" s="190" t="str">
        <f t="shared" si="80"/>
        <v/>
      </c>
      <c r="B7507" s="190" t="str">
        <f t="shared" si="79"/>
        <v/>
      </c>
    </row>
    <row r="7508" spans="1:2" hidden="1">
      <c r="A7508" s="190" t="str">
        <f t="shared" si="80"/>
        <v/>
      </c>
      <c r="B7508" s="190" t="str">
        <f t="shared" si="79"/>
        <v/>
      </c>
    </row>
    <row r="7509" spans="1:2" hidden="1">
      <c r="A7509" s="190" t="str">
        <f t="shared" si="80"/>
        <v/>
      </c>
      <c r="B7509" s="190" t="str">
        <f t="shared" si="79"/>
        <v/>
      </c>
    </row>
    <row r="7510" spans="1:2" hidden="1">
      <c r="A7510" s="190" t="str">
        <f t="shared" si="80"/>
        <v/>
      </c>
      <c r="B7510" s="190" t="str">
        <f t="shared" si="79"/>
        <v/>
      </c>
    </row>
    <row r="7511" spans="1:2" hidden="1">
      <c r="A7511" s="190" t="str">
        <f t="shared" si="80"/>
        <v/>
      </c>
      <c r="B7511" s="190" t="str">
        <f t="shared" si="79"/>
        <v/>
      </c>
    </row>
    <row r="7512" spans="1:2" hidden="1">
      <c r="A7512" s="190" t="str">
        <f t="shared" si="80"/>
        <v/>
      </c>
      <c r="B7512" s="190" t="str">
        <f t="shared" si="79"/>
        <v/>
      </c>
    </row>
    <row r="7513" spans="1:2" hidden="1">
      <c r="A7513" s="190" t="str">
        <f t="shared" si="80"/>
        <v/>
      </c>
      <c r="B7513" s="190" t="str">
        <f t="shared" si="79"/>
        <v/>
      </c>
    </row>
    <row r="7514" spans="1:2" hidden="1">
      <c r="A7514" s="190" t="str">
        <f t="shared" si="80"/>
        <v/>
      </c>
      <c r="B7514" s="190" t="str">
        <f t="shared" si="79"/>
        <v/>
      </c>
    </row>
    <row r="7515" spans="1:2" hidden="1">
      <c r="A7515" s="190" t="str">
        <f t="shared" si="80"/>
        <v/>
      </c>
      <c r="B7515" s="190" t="str">
        <f t="shared" si="79"/>
        <v/>
      </c>
    </row>
    <row r="7516" spans="1:2" hidden="1">
      <c r="A7516" s="190" t="str">
        <f t="shared" si="80"/>
        <v/>
      </c>
      <c r="B7516" s="190" t="str">
        <f t="shared" si="79"/>
        <v/>
      </c>
    </row>
    <row r="7517" spans="1:2" hidden="1">
      <c r="A7517" s="190" t="str">
        <f t="shared" si="80"/>
        <v/>
      </c>
      <c r="B7517" s="190" t="str">
        <f t="shared" si="79"/>
        <v/>
      </c>
    </row>
    <row r="7518" spans="1:2" hidden="1">
      <c r="A7518" s="190" t="str">
        <f t="shared" si="80"/>
        <v/>
      </c>
      <c r="B7518" s="190" t="str">
        <f t="shared" si="79"/>
        <v/>
      </c>
    </row>
    <row r="7519" spans="1:2" hidden="1">
      <c r="A7519" s="190" t="str">
        <f t="shared" si="80"/>
        <v/>
      </c>
      <c r="B7519" s="190" t="str">
        <f t="shared" si="79"/>
        <v/>
      </c>
    </row>
    <row r="7520" spans="1:2" hidden="1">
      <c r="A7520" s="190" t="str">
        <f t="shared" si="80"/>
        <v/>
      </c>
      <c r="B7520" s="190" t="str">
        <f t="shared" si="79"/>
        <v/>
      </c>
    </row>
    <row r="7521" spans="1:2" hidden="1">
      <c r="A7521" s="190" t="str">
        <f t="shared" si="80"/>
        <v/>
      </c>
      <c r="B7521" s="190" t="str">
        <f t="shared" si="79"/>
        <v/>
      </c>
    </row>
    <row r="7522" spans="1:2" hidden="1">
      <c r="A7522" s="190" t="str">
        <f t="shared" si="80"/>
        <v/>
      </c>
      <c r="B7522" s="190" t="str">
        <f t="shared" si="79"/>
        <v/>
      </c>
    </row>
    <row r="7523" spans="1:2" hidden="1">
      <c r="A7523" s="190" t="str">
        <f t="shared" si="80"/>
        <v/>
      </c>
      <c r="B7523" s="190" t="str">
        <f t="shared" si="79"/>
        <v/>
      </c>
    </row>
    <row r="7524" spans="1:2" hidden="1">
      <c r="A7524" s="190" t="str">
        <f t="shared" si="80"/>
        <v/>
      </c>
      <c r="B7524" s="190" t="str">
        <f t="shared" si="79"/>
        <v/>
      </c>
    </row>
    <row r="7525" spans="1:2" hidden="1">
      <c r="A7525" s="190" t="str">
        <f t="shared" si="80"/>
        <v/>
      </c>
      <c r="B7525" s="190" t="str">
        <f t="shared" si="79"/>
        <v/>
      </c>
    </row>
    <row r="7526" spans="1:2" hidden="1">
      <c r="A7526" s="190" t="str">
        <f t="shared" si="80"/>
        <v/>
      </c>
      <c r="B7526" s="190" t="str">
        <f t="shared" si="79"/>
        <v/>
      </c>
    </row>
    <row r="7527" spans="1:2" hidden="1">
      <c r="A7527" s="190" t="str">
        <f t="shared" si="80"/>
        <v/>
      </c>
      <c r="B7527" s="190" t="str">
        <f t="shared" si="79"/>
        <v/>
      </c>
    </row>
    <row r="7528" spans="1:2" hidden="1">
      <c r="A7528" s="190" t="str">
        <f t="shared" si="80"/>
        <v/>
      </c>
      <c r="B7528" s="190" t="str">
        <f t="shared" si="79"/>
        <v/>
      </c>
    </row>
    <row r="7529" spans="1:2" hidden="1">
      <c r="A7529" s="190" t="str">
        <f t="shared" si="80"/>
        <v/>
      </c>
      <c r="B7529" s="190" t="str">
        <f t="shared" si="79"/>
        <v/>
      </c>
    </row>
    <row r="7530" spans="1:2" hidden="1">
      <c r="A7530" s="190" t="str">
        <f t="shared" si="80"/>
        <v/>
      </c>
      <c r="B7530" s="190" t="str">
        <f t="shared" si="79"/>
        <v/>
      </c>
    </row>
    <row r="7531" spans="1:2" hidden="1">
      <c r="A7531" s="190" t="str">
        <f t="shared" si="80"/>
        <v/>
      </c>
      <c r="B7531" s="190" t="str">
        <f t="shared" si="79"/>
        <v/>
      </c>
    </row>
    <row r="7532" spans="1:2" hidden="1">
      <c r="A7532" s="190" t="str">
        <f t="shared" si="80"/>
        <v/>
      </c>
      <c r="B7532" s="190" t="str">
        <f t="shared" si="79"/>
        <v/>
      </c>
    </row>
    <row r="7533" spans="1:2" hidden="1">
      <c r="A7533" s="190" t="str">
        <f t="shared" si="80"/>
        <v/>
      </c>
      <c r="B7533" s="190" t="str">
        <f t="shared" si="79"/>
        <v/>
      </c>
    </row>
    <row r="7534" spans="1:2" hidden="1">
      <c r="A7534" s="190" t="str">
        <f t="shared" si="80"/>
        <v/>
      </c>
      <c r="B7534" s="190" t="str">
        <f t="shared" si="79"/>
        <v/>
      </c>
    </row>
    <row r="7535" spans="1:2" hidden="1">
      <c r="A7535" s="190" t="str">
        <f t="shared" si="80"/>
        <v/>
      </c>
      <c r="B7535" s="190" t="str">
        <f t="shared" si="79"/>
        <v/>
      </c>
    </row>
    <row r="7536" spans="1:2" hidden="1">
      <c r="A7536" s="190" t="str">
        <f t="shared" si="80"/>
        <v/>
      </c>
      <c r="B7536" s="190" t="str">
        <f t="shared" si="79"/>
        <v/>
      </c>
    </row>
    <row r="7537" spans="1:2" hidden="1">
      <c r="A7537" s="190" t="str">
        <f t="shared" si="80"/>
        <v/>
      </c>
      <c r="B7537" s="190" t="str">
        <f t="shared" si="79"/>
        <v/>
      </c>
    </row>
    <row r="7538" spans="1:2" hidden="1">
      <c r="A7538" s="190" t="str">
        <f t="shared" si="80"/>
        <v/>
      </c>
      <c r="B7538" s="190" t="str">
        <f t="shared" si="79"/>
        <v/>
      </c>
    </row>
    <row r="7539" spans="1:2" hidden="1">
      <c r="A7539" s="190" t="str">
        <f t="shared" si="80"/>
        <v/>
      </c>
      <c r="B7539" s="190" t="str">
        <f t="shared" si="79"/>
        <v/>
      </c>
    </row>
    <row r="7540" spans="1:2" hidden="1">
      <c r="A7540" s="190" t="str">
        <f t="shared" si="80"/>
        <v/>
      </c>
      <c r="B7540" s="190" t="str">
        <f t="shared" si="79"/>
        <v/>
      </c>
    </row>
    <row r="7541" spans="1:2" hidden="1">
      <c r="A7541" s="190" t="str">
        <f t="shared" si="80"/>
        <v/>
      </c>
      <c r="B7541" s="190" t="str">
        <f t="shared" si="79"/>
        <v/>
      </c>
    </row>
    <row r="7542" spans="1:2" hidden="1">
      <c r="A7542" s="190" t="str">
        <f t="shared" si="80"/>
        <v/>
      </c>
      <c r="B7542" s="190" t="str">
        <f t="shared" si="79"/>
        <v/>
      </c>
    </row>
    <row r="7543" spans="1:2" hidden="1">
      <c r="A7543" s="190" t="str">
        <f t="shared" si="80"/>
        <v/>
      </c>
      <c r="B7543" s="190" t="str">
        <f t="shared" si="79"/>
        <v/>
      </c>
    </row>
    <row r="7544" spans="1:2" hidden="1">
      <c r="A7544" s="190" t="str">
        <f t="shared" si="80"/>
        <v/>
      </c>
      <c r="B7544" s="190" t="str">
        <f t="shared" si="79"/>
        <v/>
      </c>
    </row>
    <row r="7545" spans="1:2" hidden="1">
      <c r="A7545" s="190" t="str">
        <f t="shared" si="80"/>
        <v/>
      </c>
      <c r="B7545" s="190" t="str">
        <f t="shared" si="79"/>
        <v/>
      </c>
    </row>
    <row r="7546" spans="1:2" hidden="1">
      <c r="A7546" s="190" t="str">
        <f t="shared" si="80"/>
        <v/>
      </c>
      <c r="B7546" s="190" t="str">
        <f t="shared" si="79"/>
        <v/>
      </c>
    </row>
    <row r="7547" spans="1:2" hidden="1">
      <c r="A7547" s="190" t="str">
        <f t="shared" si="80"/>
        <v/>
      </c>
      <c r="B7547" s="190" t="str">
        <f t="shared" si="79"/>
        <v/>
      </c>
    </row>
    <row r="7548" spans="1:2" hidden="1">
      <c r="A7548" s="190" t="str">
        <f t="shared" si="80"/>
        <v/>
      </c>
      <c r="B7548" s="190" t="str">
        <f t="shared" ref="B7548:B7611" si="81">HYPERLINK("http://tw.stock.yahoo.com/d/s/earning_.html","")</f>
        <v/>
      </c>
    </row>
    <row r="7549" spans="1:2" hidden="1">
      <c r="A7549" s="190" t="str">
        <f t="shared" si="80"/>
        <v/>
      </c>
      <c r="B7549" s="190" t="str">
        <f t="shared" si="81"/>
        <v/>
      </c>
    </row>
    <row r="7550" spans="1:2" hidden="1">
      <c r="A7550" s="190" t="str">
        <f t="shared" si="80"/>
        <v/>
      </c>
      <c r="B7550" s="190" t="str">
        <f t="shared" si="81"/>
        <v/>
      </c>
    </row>
    <row r="7551" spans="1:2" hidden="1">
      <c r="A7551" s="190" t="str">
        <f t="shared" ref="A7551:A7614" si="82">HYPERLINK("http://tw.stock.yahoo.com/q/ta?s=","")</f>
        <v/>
      </c>
      <c r="B7551" s="190" t="str">
        <f t="shared" si="81"/>
        <v/>
      </c>
    </row>
    <row r="7552" spans="1:2" hidden="1">
      <c r="A7552" s="190" t="str">
        <f t="shared" si="82"/>
        <v/>
      </c>
      <c r="B7552" s="190" t="str">
        <f t="shared" si="81"/>
        <v/>
      </c>
    </row>
    <row r="7553" spans="1:2" hidden="1">
      <c r="A7553" s="190" t="str">
        <f t="shared" si="82"/>
        <v/>
      </c>
      <c r="B7553" s="190" t="str">
        <f t="shared" si="81"/>
        <v/>
      </c>
    </row>
    <row r="7554" spans="1:2" hidden="1">
      <c r="A7554" s="190" t="str">
        <f t="shared" si="82"/>
        <v/>
      </c>
      <c r="B7554" s="190" t="str">
        <f t="shared" si="81"/>
        <v/>
      </c>
    </row>
    <row r="7555" spans="1:2" hidden="1">
      <c r="A7555" s="190" t="str">
        <f t="shared" si="82"/>
        <v/>
      </c>
      <c r="B7555" s="190" t="str">
        <f t="shared" si="81"/>
        <v/>
      </c>
    </row>
    <row r="7556" spans="1:2" hidden="1">
      <c r="A7556" s="190" t="str">
        <f t="shared" si="82"/>
        <v/>
      </c>
      <c r="B7556" s="190" t="str">
        <f t="shared" si="81"/>
        <v/>
      </c>
    </row>
    <row r="7557" spans="1:2" hidden="1">
      <c r="A7557" s="190" t="str">
        <f t="shared" si="82"/>
        <v/>
      </c>
      <c r="B7557" s="190" t="str">
        <f t="shared" si="81"/>
        <v/>
      </c>
    </row>
    <row r="7558" spans="1:2" hidden="1">
      <c r="A7558" s="190" t="str">
        <f t="shared" si="82"/>
        <v/>
      </c>
      <c r="B7558" s="190" t="str">
        <f t="shared" si="81"/>
        <v/>
      </c>
    </row>
    <row r="7559" spans="1:2" hidden="1">
      <c r="A7559" s="190" t="str">
        <f t="shared" si="82"/>
        <v/>
      </c>
      <c r="B7559" s="190" t="str">
        <f t="shared" si="81"/>
        <v/>
      </c>
    </row>
    <row r="7560" spans="1:2" hidden="1">
      <c r="A7560" s="190" t="str">
        <f t="shared" si="82"/>
        <v/>
      </c>
      <c r="B7560" s="190" t="str">
        <f t="shared" si="81"/>
        <v/>
      </c>
    </row>
    <row r="7561" spans="1:2" hidden="1">
      <c r="A7561" s="190" t="str">
        <f t="shared" si="82"/>
        <v/>
      </c>
      <c r="B7561" s="190" t="str">
        <f t="shared" si="81"/>
        <v/>
      </c>
    </row>
    <row r="7562" spans="1:2" hidden="1">
      <c r="A7562" s="190" t="str">
        <f t="shared" si="82"/>
        <v/>
      </c>
      <c r="B7562" s="190" t="str">
        <f t="shared" si="81"/>
        <v/>
      </c>
    </row>
    <row r="7563" spans="1:2" hidden="1">
      <c r="A7563" s="190" t="str">
        <f t="shared" si="82"/>
        <v/>
      </c>
      <c r="B7563" s="190" t="str">
        <f t="shared" si="81"/>
        <v/>
      </c>
    </row>
    <row r="7564" spans="1:2" hidden="1">
      <c r="A7564" s="190" t="str">
        <f t="shared" si="82"/>
        <v/>
      </c>
      <c r="B7564" s="190" t="str">
        <f t="shared" si="81"/>
        <v/>
      </c>
    </row>
    <row r="7565" spans="1:2" hidden="1">
      <c r="A7565" s="190" t="str">
        <f t="shared" si="82"/>
        <v/>
      </c>
      <c r="B7565" s="190" t="str">
        <f t="shared" si="81"/>
        <v/>
      </c>
    </row>
    <row r="7566" spans="1:2" hidden="1">
      <c r="A7566" s="190" t="str">
        <f t="shared" si="82"/>
        <v/>
      </c>
      <c r="B7566" s="190" t="str">
        <f t="shared" si="81"/>
        <v/>
      </c>
    </row>
    <row r="7567" spans="1:2" hidden="1">
      <c r="A7567" s="190" t="str">
        <f t="shared" si="82"/>
        <v/>
      </c>
      <c r="B7567" s="190" t="str">
        <f t="shared" si="81"/>
        <v/>
      </c>
    </row>
    <row r="7568" spans="1:2" hidden="1">
      <c r="A7568" s="190" t="str">
        <f t="shared" si="82"/>
        <v/>
      </c>
      <c r="B7568" s="190" t="str">
        <f t="shared" si="81"/>
        <v/>
      </c>
    </row>
    <row r="7569" spans="1:2" hidden="1">
      <c r="A7569" s="190" t="str">
        <f t="shared" si="82"/>
        <v/>
      </c>
      <c r="B7569" s="190" t="str">
        <f t="shared" si="81"/>
        <v/>
      </c>
    </row>
    <row r="7570" spans="1:2" hidden="1">
      <c r="A7570" s="190" t="str">
        <f t="shared" si="82"/>
        <v/>
      </c>
      <c r="B7570" s="190" t="str">
        <f t="shared" si="81"/>
        <v/>
      </c>
    </row>
    <row r="7571" spans="1:2" hidden="1">
      <c r="A7571" s="190" t="str">
        <f t="shared" si="82"/>
        <v/>
      </c>
      <c r="B7571" s="190" t="str">
        <f t="shared" si="81"/>
        <v/>
      </c>
    </row>
    <row r="7572" spans="1:2" hidden="1">
      <c r="A7572" s="190" t="str">
        <f t="shared" si="82"/>
        <v/>
      </c>
      <c r="B7572" s="190" t="str">
        <f t="shared" si="81"/>
        <v/>
      </c>
    </row>
    <row r="7573" spans="1:2" hidden="1">
      <c r="A7573" s="190" t="str">
        <f t="shared" si="82"/>
        <v/>
      </c>
      <c r="B7573" s="190" t="str">
        <f t="shared" si="81"/>
        <v/>
      </c>
    </row>
    <row r="7574" spans="1:2" hidden="1">
      <c r="A7574" s="190" t="str">
        <f t="shared" si="82"/>
        <v/>
      </c>
      <c r="B7574" s="190" t="str">
        <f t="shared" si="81"/>
        <v/>
      </c>
    </row>
    <row r="7575" spans="1:2" hidden="1">
      <c r="A7575" s="190" t="str">
        <f t="shared" si="82"/>
        <v/>
      </c>
      <c r="B7575" s="190" t="str">
        <f t="shared" si="81"/>
        <v/>
      </c>
    </row>
    <row r="7576" spans="1:2" hidden="1">
      <c r="A7576" s="190" t="str">
        <f t="shared" si="82"/>
        <v/>
      </c>
      <c r="B7576" s="190" t="str">
        <f t="shared" si="81"/>
        <v/>
      </c>
    </row>
    <row r="7577" spans="1:2" hidden="1">
      <c r="A7577" s="190" t="str">
        <f t="shared" si="82"/>
        <v/>
      </c>
      <c r="B7577" s="190" t="str">
        <f t="shared" si="81"/>
        <v/>
      </c>
    </row>
    <row r="7578" spans="1:2" hidden="1">
      <c r="A7578" s="190" t="str">
        <f t="shared" si="82"/>
        <v/>
      </c>
      <c r="B7578" s="190" t="str">
        <f t="shared" si="81"/>
        <v/>
      </c>
    </row>
    <row r="7579" spans="1:2" hidden="1">
      <c r="A7579" s="190" t="str">
        <f t="shared" si="82"/>
        <v/>
      </c>
      <c r="B7579" s="190" t="str">
        <f t="shared" si="81"/>
        <v/>
      </c>
    </row>
    <row r="7580" spans="1:2" hidden="1">
      <c r="A7580" s="190" t="str">
        <f t="shared" si="82"/>
        <v/>
      </c>
      <c r="B7580" s="190" t="str">
        <f t="shared" si="81"/>
        <v/>
      </c>
    </row>
    <row r="7581" spans="1:2" hidden="1">
      <c r="A7581" s="190" t="str">
        <f t="shared" si="82"/>
        <v/>
      </c>
      <c r="B7581" s="190" t="str">
        <f t="shared" si="81"/>
        <v/>
      </c>
    </row>
    <row r="7582" spans="1:2" hidden="1">
      <c r="A7582" s="190" t="str">
        <f t="shared" si="82"/>
        <v/>
      </c>
      <c r="B7582" s="190" t="str">
        <f t="shared" si="81"/>
        <v/>
      </c>
    </row>
    <row r="7583" spans="1:2" hidden="1">
      <c r="A7583" s="190" t="str">
        <f t="shared" si="82"/>
        <v/>
      </c>
      <c r="B7583" s="190" t="str">
        <f t="shared" si="81"/>
        <v/>
      </c>
    </row>
    <row r="7584" spans="1:2" hidden="1">
      <c r="A7584" s="190" t="str">
        <f t="shared" si="82"/>
        <v/>
      </c>
      <c r="B7584" s="190" t="str">
        <f t="shared" si="81"/>
        <v/>
      </c>
    </row>
    <row r="7585" spans="1:2" hidden="1">
      <c r="A7585" s="190" t="str">
        <f t="shared" si="82"/>
        <v/>
      </c>
      <c r="B7585" s="190" t="str">
        <f t="shared" si="81"/>
        <v/>
      </c>
    </row>
    <row r="7586" spans="1:2" hidden="1">
      <c r="A7586" s="190" t="str">
        <f t="shared" si="82"/>
        <v/>
      </c>
      <c r="B7586" s="190" t="str">
        <f t="shared" si="81"/>
        <v/>
      </c>
    </row>
    <row r="7587" spans="1:2" hidden="1">
      <c r="A7587" s="190" t="str">
        <f t="shared" si="82"/>
        <v/>
      </c>
      <c r="B7587" s="190" t="str">
        <f t="shared" si="81"/>
        <v/>
      </c>
    </row>
    <row r="7588" spans="1:2" hidden="1">
      <c r="A7588" s="190" t="str">
        <f t="shared" si="82"/>
        <v/>
      </c>
      <c r="B7588" s="190" t="str">
        <f t="shared" si="81"/>
        <v/>
      </c>
    </row>
    <row r="7589" spans="1:2" hidden="1">
      <c r="A7589" s="190" t="str">
        <f t="shared" si="82"/>
        <v/>
      </c>
      <c r="B7589" s="190" t="str">
        <f t="shared" si="81"/>
        <v/>
      </c>
    </row>
    <row r="7590" spans="1:2" hidden="1">
      <c r="A7590" s="190" t="str">
        <f t="shared" si="82"/>
        <v/>
      </c>
      <c r="B7590" s="190" t="str">
        <f t="shared" si="81"/>
        <v/>
      </c>
    </row>
    <row r="7591" spans="1:2" hidden="1">
      <c r="A7591" s="190" t="str">
        <f t="shared" si="82"/>
        <v/>
      </c>
      <c r="B7591" s="190" t="str">
        <f t="shared" si="81"/>
        <v/>
      </c>
    </row>
    <row r="7592" spans="1:2" hidden="1">
      <c r="A7592" s="190" t="str">
        <f t="shared" si="82"/>
        <v/>
      </c>
      <c r="B7592" s="190" t="str">
        <f t="shared" si="81"/>
        <v/>
      </c>
    </row>
    <row r="7593" spans="1:2" hidden="1">
      <c r="A7593" s="190" t="str">
        <f t="shared" si="82"/>
        <v/>
      </c>
      <c r="B7593" s="190" t="str">
        <f t="shared" si="81"/>
        <v/>
      </c>
    </row>
    <row r="7594" spans="1:2" hidden="1">
      <c r="A7594" s="190" t="str">
        <f t="shared" si="82"/>
        <v/>
      </c>
      <c r="B7594" s="190" t="str">
        <f t="shared" si="81"/>
        <v/>
      </c>
    </row>
    <row r="7595" spans="1:2" hidden="1">
      <c r="A7595" s="190" t="str">
        <f t="shared" si="82"/>
        <v/>
      </c>
      <c r="B7595" s="190" t="str">
        <f t="shared" si="81"/>
        <v/>
      </c>
    </row>
    <row r="7596" spans="1:2" hidden="1">
      <c r="A7596" s="190" t="str">
        <f t="shared" si="82"/>
        <v/>
      </c>
      <c r="B7596" s="190" t="str">
        <f t="shared" si="81"/>
        <v/>
      </c>
    </row>
    <row r="7597" spans="1:2" hidden="1">
      <c r="A7597" s="190" t="str">
        <f t="shared" si="82"/>
        <v/>
      </c>
      <c r="B7597" s="190" t="str">
        <f t="shared" si="81"/>
        <v/>
      </c>
    </row>
    <row r="7598" spans="1:2" hidden="1">
      <c r="A7598" s="190" t="str">
        <f t="shared" si="82"/>
        <v/>
      </c>
      <c r="B7598" s="190" t="str">
        <f t="shared" si="81"/>
        <v/>
      </c>
    </row>
    <row r="7599" spans="1:2" hidden="1">
      <c r="A7599" s="190" t="str">
        <f t="shared" si="82"/>
        <v/>
      </c>
      <c r="B7599" s="190" t="str">
        <f t="shared" si="81"/>
        <v/>
      </c>
    </row>
    <row r="7600" spans="1:2" hidden="1">
      <c r="A7600" s="190" t="str">
        <f t="shared" si="82"/>
        <v/>
      </c>
      <c r="B7600" s="190" t="str">
        <f t="shared" si="81"/>
        <v/>
      </c>
    </row>
    <row r="7601" spans="1:2" hidden="1">
      <c r="A7601" s="190" t="str">
        <f t="shared" si="82"/>
        <v/>
      </c>
      <c r="B7601" s="190" t="str">
        <f t="shared" si="81"/>
        <v/>
      </c>
    </row>
    <row r="7602" spans="1:2" hidden="1">
      <c r="A7602" s="190" t="str">
        <f t="shared" si="82"/>
        <v/>
      </c>
      <c r="B7602" s="190" t="str">
        <f t="shared" si="81"/>
        <v/>
      </c>
    </row>
    <row r="7603" spans="1:2" hidden="1">
      <c r="A7603" s="190" t="str">
        <f t="shared" si="82"/>
        <v/>
      </c>
      <c r="B7603" s="190" t="str">
        <f t="shared" si="81"/>
        <v/>
      </c>
    </row>
    <row r="7604" spans="1:2" hidden="1">
      <c r="A7604" s="190" t="str">
        <f t="shared" si="82"/>
        <v/>
      </c>
      <c r="B7604" s="190" t="str">
        <f t="shared" si="81"/>
        <v/>
      </c>
    </row>
    <row r="7605" spans="1:2" hidden="1">
      <c r="A7605" s="190" t="str">
        <f t="shared" si="82"/>
        <v/>
      </c>
      <c r="B7605" s="190" t="str">
        <f t="shared" si="81"/>
        <v/>
      </c>
    </row>
    <row r="7606" spans="1:2" hidden="1">
      <c r="A7606" s="190" t="str">
        <f t="shared" si="82"/>
        <v/>
      </c>
      <c r="B7606" s="190" t="str">
        <f t="shared" si="81"/>
        <v/>
      </c>
    </row>
    <row r="7607" spans="1:2" hidden="1">
      <c r="A7607" s="190" t="str">
        <f t="shared" si="82"/>
        <v/>
      </c>
      <c r="B7607" s="190" t="str">
        <f t="shared" si="81"/>
        <v/>
      </c>
    </row>
    <row r="7608" spans="1:2" hidden="1">
      <c r="A7608" s="190" t="str">
        <f t="shared" si="82"/>
        <v/>
      </c>
      <c r="B7608" s="190" t="str">
        <f t="shared" si="81"/>
        <v/>
      </c>
    </row>
    <row r="7609" spans="1:2" hidden="1">
      <c r="A7609" s="190" t="str">
        <f t="shared" si="82"/>
        <v/>
      </c>
      <c r="B7609" s="190" t="str">
        <f t="shared" si="81"/>
        <v/>
      </c>
    </row>
    <row r="7610" spans="1:2" hidden="1">
      <c r="A7610" s="190" t="str">
        <f t="shared" si="82"/>
        <v/>
      </c>
      <c r="B7610" s="190" t="str">
        <f t="shared" si="81"/>
        <v/>
      </c>
    </row>
    <row r="7611" spans="1:2" hidden="1">
      <c r="A7611" s="190" t="str">
        <f t="shared" si="82"/>
        <v/>
      </c>
      <c r="B7611" s="190" t="str">
        <f t="shared" si="81"/>
        <v/>
      </c>
    </row>
    <row r="7612" spans="1:2" hidden="1">
      <c r="A7612" s="190" t="str">
        <f t="shared" si="82"/>
        <v/>
      </c>
      <c r="B7612" s="190" t="str">
        <f t="shared" ref="B7612:B7675" si="83">HYPERLINK("http://tw.stock.yahoo.com/d/s/earning_.html","")</f>
        <v/>
      </c>
    </row>
    <row r="7613" spans="1:2" hidden="1">
      <c r="A7613" s="190" t="str">
        <f t="shared" si="82"/>
        <v/>
      </c>
      <c r="B7613" s="190" t="str">
        <f t="shared" si="83"/>
        <v/>
      </c>
    </row>
    <row r="7614" spans="1:2" hidden="1">
      <c r="A7614" s="190" t="str">
        <f t="shared" si="82"/>
        <v/>
      </c>
      <c r="B7614" s="190" t="str">
        <f t="shared" si="83"/>
        <v/>
      </c>
    </row>
    <row r="7615" spans="1:2" hidden="1">
      <c r="A7615" s="190" t="str">
        <f t="shared" ref="A7615:A7678" si="84">HYPERLINK("http://tw.stock.yahoo.com/q/ta?s=","")</f>
        <v/>
      </c>
      <c r="B7615" s="190" t="str">
        <f t="shared" si="83"/>
        <v/>
      </c>
    </row>
    <row r="7616" spans="1:2" hidden="1">
      <c r="A7616" s="190" t="str">
        <f t="shared" si="84"/>
        <v/>
      </c>
      <c r="B7616" s="190" t="str">
        <f t="shared" si="83"/>
        <v/>
      </c>
    </row>
    <row r="7617" spans="1:2" hidden="1">
      <c r="A7617" s="190" t="str">
        <f t="shared" si="84"/>
        <v/>
      </c>
      <c r="B7617" s="190" t="str">
        <f t="shared" si="83"/>
        <v/>
      </c>
    </row>
    <row r="7618" spans="1:2" hidden="1">
      <c r="A7618" s="190" t="str">
        <f t="shared" si="84"/>
        <v/>
      </c>
      <c r="B7618" s="190" t="str">
        <f t="shared" si="83"/>
        <v/>
      </c>
    </row>
    <row r="7619" spans="1:2" hidden="1">
      <c r="A7619" s="190" t="str">
        <f t="shared" si="84"/>
        <v/>
      </c>
      <c r="B7619" s="190" t="str">
        <f t="shared" si="83"/>
        <v/>
      </c>
    </row>
    <row r="7620" spans="1:2" hidden="1">
      <c r="A7620" s="190" t="str">
        <f t="shared" si="84"/>
        <v/>
      </c>
      <c r="B7620" s="190" t="str">
        <f t="shared" si="83"/>
        <v/>
      </c>
    </row>
    <row r="7621" spans="1:2" hidden="1">
      <c r="A7621" s="190" t="str">
        <f t="shared" si="84"/>
        <v/>
      </c>
      <c r="B7621" s="190" t="str">
        <f t="shared" si="83"/>
        <v/>
      </c>
    </row>
    <row r="7622" spans="1:2" hidden="1">
      <c r="A7622" s="190" t="str">
        <f t="shared" si="84"/>
        <v/>
      </c>
      <c r="B7622" s="190" t="str">
        <f t="shared" si="83"/>
        <v/>
      </c>
    </row>
    <row r="7623" spans="1:2" hidden="1">
      <c r="A7623" s="190" t="str">
        <f t="shared" si="84"/>
        <v/>
      </c>
      <c r="B7623" s="190" t="str">
        <f t="shared" si="83"/>
        <v/>
      </c>
    </row>
    <row r="7624" spans="1:2" hidden="1">
      <c r="A7624" s="190" t="str">
        <f t="shared" si="84"/>
        <v/>
      </c>
      <c r="B7624" s="190" t="str">
        <f t="shared" si="83"/>
        <v/>
      </c>
    </row>
    <row r="7625" spans="1:2" hidden="1">
      <c r="A7625" s="190" t="str">
        <f t="shared" si="84"/>
        <v/>
      </c>
      <c r="B7625" s="190" t="str">
        <f t="shared" si="83"/>
        <v/>
      </c>
    </row>
    <row r="7626" spans="1:2" hidden="1">
      <c r="A7626" s="190" t="str">
        <f t="shared" si="84"/>
        <v/>
      </c>
      <c r="B7626" s="190" t="str">
        <f t="shared" si="83"/>
        <v/>
      </c>
    </row>
    <row r="7627" spans="1:2" hidden="1">
      <c r="A7627" s="190" t="str">
        <f t="shared" si="84"/>
        <v/>
      </c>
      <c r="B7627" s="190" t="str">
        <f t="shared" si="83"/>
        <v/>
      </c>
    </row>
    <row r="7628" spans="1:2" hidden="1">
      <c r="A7628" s="190" t="str">
        <f t="shared" si="84"/>
        <v/>
      </c>
      <c r="B7628" s="190" t="str">
        <f t="shared" si="83"/>
        <v/>
      </c>
    </row>
    <row r="7629" spans="1:2" hidden="1">
      <c r="A7629" s="190" t="str">
        <f t="shared" si="84"/>
        <v/>
      </c>
      <c r="B7629" s="190" t="str">
        <f t="shared" si="83"/>
        <v/>
      </c>
    </row>
    <row r="7630" spans="1:2" hidden="1">
      <c r="A7630" s="190" t="str">
        <f t="shared" si="84"/>
        <v/>
      </c>
      <c r="B7630" s="190" t="str">
        <f t="shared" si="83"/>
        <v/>
      </c>
    </row>
    <row r="7631" spans="1:2" hidden="1">
      <c r="A7631" s="190" t="str">
        <f t="shared" si="84"/>
        <v/>
      </c>
      <c r="B7631" s="190" t="str">
        <f t="shared" si="83"/>
        <v/>
      </c>
    </row>
    <row r="7632" spans="1:2" hidden="1">
      <c r="A7632" s="190" t="str">
        <f t="shared" si="84"/>
        <v/>
      </c>
      <c r="B7632" s="190" t="str">
        <f t="shared" si="83"/>
        <v/>
      </c>
    </row>
    <row r="7633" spans="1:2" hidden="1">
      <c r="A7633" s="190" t="str">
        <f t="shared" si="84"/>
        <v/>
      </c>
      <c r="B7633" s="190" t="str">
        <f t="shared" si="83"/>
        <v/>
      </c>
    </row>
    <row r="7634" spans="1:2" hidden="1">
      <c r="A7634" s="190" t="str">
        <f t="shared" si="84"/>
        <v/>
      </c>
      <c r="B7634" s="190" t="str">
        <f t="shared" si="83"/>
        <v/>
      </c>
    </row>
    <row r="7635" spans="1:2" hidden="1">
      <c r="A7635" s="190" t="str">
        <f t="shared" si="84"/>
        <v/>
      </c>
      <c r="B7635" s="190" t="str">
        <f t="shared" si="83"/>
        <v/>
      </c>
    </row>
    <row r="7636" spans="1:2" hidden="1">
      <c r="A7636" s="190" t="str">
        <f t="shared" si="84"/>
        <v/>
      </c>
      <c r="B7636" s="190" t="str">
        <f t="shared" si="83"/>
        <v/>
      </c>
    </row>
    <row r="7637" spans="1:2" hidden="1">
      <c r="A7637" s="190" t="str">
        <f t="shared" si="84"/>
        <v/>
      </c>
      <c r="B7637" s="190" t="str">
        <f t="shared" si="83"/>
        <v/>
      </c>
    </row>
    <row r="7638" spans="1:2" hidden="1">
      <c r="A7638" s="190" t="str">
        <f t="shared" si="84"/>
        <v/>
      </c>
      <c r="B7638" s="190" t="str">
        <f t="shared" si="83"/>
        <v/>
      </c>
    </row>
    <row r="7639" spans="1:2" hidden="1">
      <c r="A7639" s="190" t="str">
        <f t="shared" si="84"/>
        <v/>
      </c>
      <c r="B7639" s="190" t="str">
        <f t="shared" si="83"/>
        <v/>
      </c>
    </row>
    <row r="7640" spans="1:2" hidden="1">
      <c r="A7640" s="190" t="str">
        <f t="shared" si="84"/>
        <v/>
      </c>
      <c r="B7640" s="190" t="str">
        <f t="shared" si="83"/>
        <v/>
      </c>
    </row>
    <row r="7641" spans="1:2" hidden="1">
      <c r="A7641" s="190" t="str">
        <f t="shared" si="84"/>
        <v/>
      </c>
      <c r="B7641" s="190" t="str">
        <f t="shared" si="83"/>
        <v/>
      </c>
    </row>
    <row r="7642" spans="1:2" hidden="1">
      <c r="A7642" s="190" t="str">
        <f t="shared" si="84"/>
        <v/>
      </c>
      <c r="B7642" s="190" t="str">
        <f t="shared" si="83"/>
        <v/>
      </c>
    </row>
    <row r="7643" spans="1:2" hidden="1">
      <c r="A7643" s="190" t="str">
        <f t="shared" si="84"/>
        <v/>
      </c>
      <c r="B7643" s="190" t="str">
        <f t="shared" si="83"/>
        <v/>
      </c>
    </row>
    <row r="7644" spans="1:2" hidden="1">
      <c r="A7644" s="190" t="str">
        <f t="shared" si="84"/>
        <v/>
      </c>
      <c r="B7644" s="190" t="str">
        <f t="shared" si="83"/>
        <v/>
      </c>
    </row>
    <row r="7645" spans="1:2" hidden="1">
      <c r="A7645" s="190" t="str">
        <f t="shared" si="84"/>
        <v/>
      </c>
      <c r="B7645" s="190" t="str">
        <f t="shared" si="83"/>
        <v/>
      </c>
    </row>
    <row r="7646" spans="1:2" hidden="1">
      <c r="A7646" s="190" t="str">
        <f t="shared" si="84"/>
        <v/>
      </c>
      <c r="B7646" s="190" t="str">
        <f t="shared" si="83"/>
        <v/>
      </c>
    </row>
    <row r="7647" spans="1:2" hidden="1">
      <c r="A7647" s="190" t="str">
        <f t="shared" si="84"/>
        <v/>
      </c>
      <c r="B7647" s="190" t="str">
        <f t="shared" si="83"/>
        <v/>
      </c>
    </row>
    <row r="7648" spans="1:2" hidden="1">
      <c r="A7648" s="190" t="str">
        <f t="shared" si="84"/>
        <v/>
      </c>
      <c r="B7648" s="190" t="str">
        <f t="shared" si="83"/>
        <v/>
      </c>
    </row>
    <row r="7649" spans="1:2" hidden="1">
      <c r="A7649" s="190" t="str">
        <f t="shared" si="84"/>
        <v/>
      </c>
      <c r="B7649" s="190" t="str">
        <f t="shared" si="83"/>
        <v/>
      </c>
    </row>
    <row r="7650" spans="1:2" hidden="1">
      <c r="A7650" s="190" t="str">
        <f t="shared" si="84"/>
        <v/>
      </c>
      <c r="B7650" s="190" t="str">
        <f t="shared" si="83"/>
        <v/>
      </c>
    </row>
    <row r="7651" spans="1:2" hidden="1">
      <c r="A7651" s="190" t="str">
        <f t="shared" si="84"/>
        <v/>
      </c>
      <c r="B7651" s="190" t="str">
        <f t="shared" si="83"/>
        <v/>
      </c>
    </row>
    <row r="7652" spans="1:2" hidden="1">
      <c r="A7652" s="190" t="str">
        <f t="shared" si="84"/>
        <v/>
      </c>
      <c r="B7652" s="190" t="str">
        <f t="shared" si="83"/>
        <v/>
      </c>
    </row>
    <row r="7653" spans="1:2" hidden="1">
      <c r="A7653" s="190" t="str">
        <f t="shared" si="84"/>
        <v/>
      </c>
      <c r="B7653" s="190" t="str">
        <f t="shared" si="83"/>
        <v/>
      </c>
    </row>
    <row r="7654" spans="1:2" hidden="1">
      <c r="A7654" s="190" t="str">
        <f t="shared" si="84"/>
        <v/>
      </c>
      <c r="B7654" s="190" t="str">
        <f t="shared" si="83"/>
        <v/>
      </c>
    </row>
    <row r="7655" spans="1:2" hidden="1">
      <c r="A7655" s="190" t="str">
        <f t="shared" si="84"/>
        <v/>
      </c>
      <c r="B7655" s="190" t="str">
        <f t="shared" si="83"/>
        <v/>
      </c>
    </row>
    <row r="7656" spans="1:2" hidden="1">
      <c r="A7656" s="190" t="str">
        <f t="shared" si="84"/>
        <v/>
      </c>
      <c r="B7656" s="190" t="str">
        <f t="shared" si="83"/>
        <v/>
      </c>
    </row>
    <row r="7657" spans="1:2" hidden="1">
      <c r="A7657" s="190" t="str">
        <f t="shared" si="84"/>
        <v/>
      </c>
      <c r="B7657" s="190" t="str">
        <f t="shared" si="83"/>
        <v/>
      </c>
    </row>
    <row r="7658" spans="1:2" hidden="1">
      <c r="A7658" s="190" t="str">
        <f t="shared" si="84"/>
        <v/>
      </c>
      <c r="B7658" s="190" t="str">
        <f t="shared" si="83"/>
        <v/>
      </c>
    </row>
    <row r="7659" spans="1:2" hidden="1">
      <c r="A7659" s="190" t="str">
        <f t="shared" si="84"/>
        <v/>
      </c>
      <c r="B7659" s="190" t="str">
        <f t="shared" si="83"/>
        <v/>
      </c>
    </row>
    <row r="7660" spans="1:2" hidden="1">
      <c r="A7660" s="190" t="str">
        <f t="shared" si="84"/>
        <v/>
      </c>
      <c r="B7660" s="190" t="str">
        <f t="shared" si="83"/>
        <v/>
      </c>
    </row>
    <row r="7661" spans="1:2" hidden="1">
      <c r="A7661" s="190" t="str">
        <f t="shared" si="84"/>
        <v/>
      </c>
      <c r="B7661" s="190" t="str">
        <f t="shared" si="83"/>
        <v/>
      </c>
    </row>
    <row r="7662" spans="1:2" hidden="1">
      <c r="A7662" s="190" t="str">
        <f t="shared" si="84"/>
        <v/>
      </c>
      <c r="B7662" s="190" t="str">
        <f t="shared" si="83"/>
        <v/>
      </c>
    </row>
    <row r="7663" spans="1:2" hidden="1">
      <c r="A7663" s="190" t="str">
        <f t="shared" si="84"/>
        <v/>
      </c>
      <c r="B7663" s="190" t="str">
        <f t="shared" si="83"/>
        <v/>
      </c>
    </row>
    <row r="7664" spans="1:2" hidden="1">
      <c r="A7664" s="190" t="str">
        <f t="shared" si="84"/>
        <v/>
      </c>
      <c r="B7664" s="190" t="str">
        <f t="shared" si="83"/>
        <v/>
      </c>
    </row>
    <row r="7665" spans="1:2" hidden="1">
      <c r="A7665" s="190" t="str">
        <f t="shared" si="84"/>
        <v/>
      </c>
      <c r="B7665" s="190" t="str">
        <f t="shared" si="83"/>
        <v/>
      </c>
    </row>
    <row r="7666" spans="1:2" hidden="1">
      <c r="A7666" s="190" t="str">
        <f t="shared" si="84"/>
        <v/>
      </c>
      <c r="B7666" s="190" t="str">
        <f t="shared" si="83"/>
        <v/>
      </c>
    </row>
    <row r="7667" spans="1:2" hidden="1">
      <c r="A7667" s="190" t="str">
        <f t="shared" si="84"/>
        <v/>
      </c>
      <c r="B7667" s="190" t="str">
        <f t="shared" si="83"/>
        <v/>
      </c>
    </row>
    <row r="7668" spans="1:2" hidden="1">
      <c r="A7668" s="190" t="str">
        <f t="shared" si="84"/>
        <v/>
      </c>
      <c r="B7668" s="190" t="str">
        <f t="shared" si="83"/>
        <v/>
      </c>
    </row>
    <row r="7669" spans="1:2" hidden="1">
      <c r="A7669" s="190" t="str">
        <f t="shared" si="84"/>
        <v/>
      </c>
      <c r="B7669" s="190" t="str">
        <f t="shared" si="83"/>
        <v/>
      </c>
    </row>
    <row r="7670" spans="1:2" hidden="1">
      <c r="A7670" s="190" t="str">
        <f t="shared" si="84"/>
        <v/>
      </c>
      <c r="B7670" s="190" t="str">
        <f t="shared" si="83"/>
        <v/>
      </c>
    </row>
    <row r="7671" spans="1:2" hidden="1">
      <c r="A7671" s="190" t="str">
        <f t="shared" si="84"/>
        <v/>
      </c>
      <c r="B7671" s="190" t="str">
        <f t="shared" si="83"/>
        <v/>
      </c>
    </row>
    <row r="7672" spans="1:2" hidden="1">
      <c r="A7672" s="190" t="str">
        <f t="shared" si="84"/>
        <v/>
      </c>
      <c r="B7672" s="190" t="str">
        <f t="shared" si="83"/>
        <v/>
      </c>
    </row>
    <row r="7673" spans="1:2" hidden="1">
      <c r="A7673" s="190" t="str">
        <f t="shared" si="84"/>
        <v/>
      </c>
      <c r="B7673" s="190" t="str">
        <f t="shared" si="83"/>
        <v/>
      </c>
    </row>
    <row r="7674" spans="1:2" hidden="1">
      <c r="A7674" s="190" t="str">
        <f t="shared" si="84"/>
        <v/>
      </c>
      <c r="B7674" s="190" t="str">
        <f t="shared" si="83"/>
        <v/>
      </c>
    </row>
    <row r="7675" spans="1:2" hidden="1">
      <c r="A7675" s="190" t="str">
        <f t="shared" si="84"/>
        <v/>
      </c>
      <c r="B7675" s="190" t="str">
        <f t="shared" si="83"/>
        <v/>
      </c>
    </row>
    <row r="7676" spans="1:2" hidden="1">
      <c r="A7676" s="190" t="str">
        <f t="shared" si="84"/>
        <v/>
      </c>
      <c r="B7676" s="190" t="str">
        <f t="shared" ref="B7676:B7739" si="85">HYPERLINK("http://tw.stock.yahoo.com/d/s/earning_.html","")</f>
        <v/>
      </c>
    </row>
    <row r="7677" spans="1:2" hidden="1">
      <c r="A7677" s="190" t="str">
        <f t="shared" si="84"/>
        <v/>
      </c>
      <c r="B7677" s="190" t="str">
        <f t="shared" si="85"/>
        <v/>
      </c>
    </row>
    <row r="7678" spans="1:2" hidden="1">
      <c r="A7678" s="190" t="str">
        <f t="shared" si="84"/>
        <v/>
      </c>
      <c r="B7678" s="190" t="str">
        <f t="shared" si="85"/>
        <v/>
      </c>
    </row>
    <row r="7679" spans="1:2" hidden="1">
      <c r="A7679" s="190" t="str">
        <f t="shared" ref="A7679:A7742" si="86">HYPERLINK("http://tw.stock.yahoo.com/q/ta?s=","")</f>
        <v/>
      </c>
      <c r="B7679" s="190" t="str">
        <f t="shared" si="85"/>
        <v/>
      </c>
    </row>
    <row r="7680" spans="1:2" hidden="1">
      <c r="A7680" s="190" t="str">
        <f t="shared" si="86"/>
        <v/>
      </c>
      <c r="B7680" s="190" t="str">
        <f t="shared" si="85"/>
        <v/>
      </c>
    </row>
    <row r="7681" spans="1:2" hidden="1">
      <c r="A7681" s="190" t="str">
        <f t="shared" si="86"/>
        <v/>
      </c>
      <c r="B7681" s="190" t="str">
        <f t="shared" si="85"/>
        <v/>
      </c>
    </row>
    <row r="7682" spans="1:2" hidden="1">
      <c r="A7682" s="190" t="str">
        <f t="shared" si="86"/>
        <v/>
      </c>
      <c r="B7682" s="190" t="str">
        <f t="shared" si="85"/>
        <v/>
      </c>
    </row>
    <row r="7683" spans="1:2" hidden="1">
      <c r="A7683" s="190" t="str">
        <f t="shared" si="86"/>
        <v/>
      </c>
      <c r="B7683" s="190" t="str">
        <f t="shared" si="85"/>
        <v/>
      </c>
    </row>
    <row r="7684" spans="1:2" hidden="1">
      <c r="A7684" s="190" t="str">
        <f t="shared" si="86"/>
        <v/>
      </c>
      <c r="B7684" s="190" t="str">
        <f t="shared" si="85"/>
        <v/>
      </c>
    </row>
    <row r="7685" spans="1:2" hidden="1">
      <c r="A7685" s="190" t="str">
        <f t="shared" si="86"/>
        <v/>
      </c>
      <c r="B7685" s="190" t="str">
        <f t="shared" si="85"/>
        <v/>
      </c>
    </row>
    <row r="7686" spans="1:2" hidden="1">
      <c r="A7686" s="190" t="str">
        <f t="shared" si="86"/>
        <v/>
      </c>
      <c r="B7686" s="190" t="str">
        <f t="shared" si="85"/>
        <v/>
      </c>
    </row>
    <row r="7687" spans="1:2" hidden="1">
      <c r="A7687" s="190" t="str">
        <f t="shared" si="86"/>
        <v/>
      </c>
      <c r="B7687" s="190" t="str">
        <f t="shared" si="85"/>
        <v/>
      </c>
    </row>
    <row r="7688" spans="1:2" hidden="1">
      <c r="A7688" s="190" t="str">
        <f t="shared" si="86"/>
        <v/>
      </c>
      <c r="B7688" s="190" t="str">
        <f t="shared" si="85"/>
        <v/>
      </c>
    </row>
    <row r="7689" spans="1:2" hidden="1">
      <c r="A7689" s="190" t="str">
        <f t="shared" si="86"/>
        <v/>
      </c>
      <c r="B7689" s="190" t="str">
        <f t="shared" si="85"/>
        <v/>
      </c>
    </row>
    <row r="7690" spans="1:2" hidden="1">
      <c r="A7690" s="190" t="str">
        <f t="shared" si="86"/>
        <v/>
      </c>
      <c r="B7690" s="190" t="str">
        <f t="shared" si="85"/>
        <v/>
      </c>
    </row>
    <row r="7691" spans="1:2" hidden="1">
      <c r="A7691" s="190" t="str">
        <f t="shared" si="86"/>
        <v/>
      </c>
      <c r="B7691" s="190" t="str">
        <f t="shared" si="85"/>
        <v/>
      </c>
    </row>
    <row r="7692" spans="1:2" hidden="1">
      <c r="A7692" s="190" t="str">
        <f t="shared" si="86"/>
        <v/>
      </c>
      <c r="B7692" s="190" t="str">
        <f t="shared" si="85"/>
        <v/>
      </c>
    </row>
    <row r="7693" spans="1:2" hidden="1">
      <c r="A7693" s="190" t="str">
        <f t="shared" si="86"/>
        <v/>
      </c>
      <c r="B7693" s="190" t="str">
        <f t="shared" si="85"/>
        <v/>
      </c>
    </row>
    <row r="7694" spans="1:2" hidden="1">
      <c r="A7694" s="190" t="str">
        <f t="shared" si="86"/>
        <v/>
      </c>
      <c r="B7694" s="190" t="str">
        <f t="shared" si="85"/>
        <v/>
      </c>
    </row>
    <row r="7695" spans="1:2" hidden="1">
      <c r="A7695" s="190" t="str">
        <f t="shared" si="86"/>
        <v/>
      </c>
      <c r="B7695" s="190" t="str">
        <f t="shared" si="85"/>
        <v/>
      </c>
    </row>
    <row r="7696" spans="1:2" hidden="1">
      <c r="A7696" s="190" t="str">
        <f t="shared" si="86"/>
        <v/>
      </c>
      <c r="B7696" s="190" t="str">
        <f t="shared" si="85"/>
        <v/>
      </c>
    </row>
    <row r="7697" spans="1:2" hidden="1">
      <c r="A7697" s="190" t="str">
        <f t="shared" si="86"/>
        <v/>
      </c>
      <c r="B7697" s="190" t="str">
        <f t="shared" si="85"/>
        <v/>
      </c>
    </row>
    <row r="7698" spans="1:2" hidden="1">
      <c r="A7698" s="190" t="str">
        <f t="shared" si="86"/>
        <v/>
      </c>
      <c r="B7698" s="190" t="str">
        <f t="shared" si="85"/>
        <v/>
      </c>
    </row>
    <row r="7699" spans="1:2" hidden="1">
      <c r="A7699" s="190" t="str">
        <f t="shared" si="86"/>
        <v/>
      </c>
      <c r="B7699" s="190" t="str">
        <f t="shared" si="85"/>
        <v/>
      </c>
    </row>
    <row r="7700" spans="1:2" hidden="1">
      <c r="A7700" s="190" t="str">
        <f t="shared" si="86"/>
        <v/>
      </c>
      <c r="B7700" s="190" t="str">
        <f t="shared" si="85"/>
        <v/>
      </c>
    </row>
    <row r="7701" spans="1:2" hidden="1">
      <c r="A7701" s="190" t="str">
        <f t="shared" si="86"/>
        <v/>
      </c>
      <c r="B7701" s="190" t="str">
        <f t="shared" si="85"/>
        <v/>
      </c>
    </row>
    <row r="7702" spans="1:2" hidden="1">
      <c r="A7702" s="190" t="str">
        <f t="shared" si="86"/>
        <v/>
      </c>
      <c r="B7702" s="190" t="str">
        <f t="shared" si="85"/>
        <v/>
      </c>
    </row>
    <row r="7703" spans="1:2" hidden="1">
      <c r="A7703" s="190" t="str">
        <f t="shared" si="86"/>
        <v/>
      </c>
      <c r="B7703" s="190" t="str">
        <f t="shared" si="85"/>
        <v/>
      </c>
    </row>
    <row r="7704" spans="1:2" hidden="1">
      <c r="A7704" s="190" t="str">
        <f t="shared" si="86"/>
        <v/>
      </c>
      <c r="B7704" s="190" t="str">
        <f t="shared" si="85"/>
        <v/>
      </c>
    </row>
    <row r="7705" spans="1:2" hidden="1">
      <c r="A7705" s="190" t="str">
        <f t="shared" si="86"/>
        <v/>
      </c>
      <c r="B7705" s="190" t="str">
        <f t="shared" si="85"/>
        <v/>
      </c>
    </row>
    <row r="7706" spans="1:2" hidden="1">
      <c r="A7706" s="190" t="str">
        <f t="shared" si="86"/>
        <v/>
      </c>
      <c r="B7706" s="190" t="str">
        <f t="shared" si="85"/>
        <v/>
      </c>
    </row>
    <row r="7707" spans="1:2" hidden="1">
      <c r="A7707" s="190" t="str">
        <f t="shared" si="86"/>
        <v/>
      </c>
      <c r="B7707" s="190" t="str">
        <f t="shared" si="85"/>
        <v/>
      </c>
    </row>
    <row r="7708" spans="1:2" hidden="1">
      <c r="A7708" s="190" t="str">
        <f t="shared" si="86"/>
        <v/>
      </c>
      <c r="B7708" s="190" t="str">
        <f t="shared" si="85"/>
        <v/>
      </c>
    </row>
    <row r="7709" spans="1:2" hidden="1">
      <c r="A7709" s="190" t="str">
        <f t="shared" si="86"/>
        <v/>
      </c>
      <c r="B7709" s="190" t="str">
        <f t="shared" si="85"/>
        <v/>
      </c>
    </row>
    <row r="7710" spans="1:2" hidden="1">
      <c r="A7710" s="190" t="str">
        <f t="shared" si="86"/>
        <v/>
      </c>
      <c r="B7710" s="190" t="str">
        <f t="shared" si="85"/>
        <v/>
      </c>
    </row>
    <row r="7711" spans="1:2" hidden="1">
      <c r="A7711" s="190" t="str">
        <f t="shared" si="86"/>
        <v/>
      </c>
      <c r="B7711" s="190" t="str">
        <f t="shared" si="85"/>
        <v/>
      </c>
    </row>
    <row r="7712" spans="1:2" hidden="1">
      <c r="A7712" s="190" t="str">
        <f t="shared" si="86"/>
        <v/>
      </c>
      <c r="B7712" s="190" t="str">
        <f t="shared" si="85"/>
        <v/>
      </c>
    </row>
    <row r="7713" spans="1:2" hidden="1">
      <c r="A7713" s="190" t="str">
        <f t="shared" si="86"/>
        <v/>
      </c>
      <c r="B7713" s="190" t="str">
        <f t="shared" si="85"/>
        <v/>
      </c>
    </row>
    <row r="7714" spans="1:2" hidden="1">
      <c r="A7714" s="190" t="str">
        <f t="shared" si="86"/>
        <v/>
      </c>
      <c r="B7714" s="190" t="str">
        <f t="shared" si="85"/>
        <v/>
      </c>
    </row>
    <row r="7715" spans="1:2" hidden="1">
      <c r="A7715" s="190" t="str">
        <f t="shared" si="86"/>
        <v/>
      </c>
      <c r="B7715" s="190" t="str">
        <f t="shared" si="85"/>
        <v/>
      </c>
    </row>
    <row r="7716" spans="1:2" hidden="1">
      <c r="A7716" s="190" t="str">
        <f t="shared" si="86"/>
        <v/>
      </c>
      <c r="B7716" s="190" t="str">
        <f t="shared" si="85"/>
        <v/>
      </c>
    </row>
    <row r="7717" spans="1:2" hidden="1">
      <c r="A7717" s="190" t="str">
        <f t="shared" si="86"/>
        <v/>
      </c>
      <c r="B7717" s="190" t="str">
        <f t="shared" si="85"/>
        <v/>
      </c>
    </row>
    <row r="7718" spans="1:2" hidden="1">
      <c r="A7718" s="190" t="str">
        <f t="shared" si="86"/>
        <v/>
      </c>
      <c r="B7718" s="190" t="str">
        <f t="shared" si="85"/>
        <v/>
      </c>
    </row>
    <row r="7719" spans="1:2" hidden="1">
      <c r="A7719" s="190" t="str">
        <f t="shared" si="86"/>
        <v/>
      </c>
      <c r="B7719" s="190" t="str">
        <f t="shared" si="85"/>
        <v/>
      </c>
    </row>
    <row r="7720" spans="1:2" hidden="1">
      <c r="A7720" s="190" t="str">
        <f t="shared" si="86"/>
        <v/>
      </c>
      <c r="B7720" s="190" t="str">
        <f t="shared" si="85"/>
        <v/>
      </c>
    </row>
    <row r="7721" spans="1:2" hidden="1">
      <c r="A7721" s="190" t="str">
        <f t="shared" si="86"/>
        <v/>
      </c>
      <c r="B7721" s="190" t="str">
        <f t="shared" si="85"/>
        <v/>
      </c>
    </row>
    <row r="7722" spans="1:2" hidden="1">
      <c r="A7722" s="190" t="str">
        <f t="shared" si="86"/>
        <v/>
      </c>
      <c r="B7722" s="190" t="str">
        <f t="shared" si="85"/>
        <v/>
      </c>
    </row>
    <row r="7723" spans="1:2" hidden="1">
      <c r="A7723" s="190" t="str">
        <f t="shared" si="86"/>
        <v/>
      </c>
      <c r="B7723" s="190" t="str">
        <f t="shared" si="85"/>
        <v/>
      </c>
    </row>
    <row r="7724" spans="1:2" hidden="1">
      <c r="A7724" s="190" t="str">
        <f t="shared" si="86"/>
        <v/>
      </c>
      <c r="B7724" s="190" t="str">
        <f t="shared" si="85"/>
        <v/>
      </c>
    </row>
    <row r="7725" spans="1:2" hidden="1">
      <c r="A7725" s="190" t="str">
        <f t="shared" si="86"/>
        <v/>
      </c>
      <c r="B7725" s="190" t="str">
        <f t="shared" si="85"/>
        <v/>
      </c>
    </row>
    <row r="7726" spans="1:2" hidden="1">
      <c r="A7726" s="190" t="str">
        <f t="shared" si="86"/>
        <v/>
      </c>
      <c r="B7726" s="190" t="str">
        <f t="shared" si="85"/>
        <v/>
      </c>
    </row>
    <row r="7727" spans="1:2" hidden="1">
      <c r="A7727" s="190" t="str">
        <f t="shared" si="86"/>
        <v/>
      </c>
      <c r="B7727" s="190" t="str">
        <f t="shared" si="85"/>
        <v/>
      </c>
    </row>
    <row r="7728" spans="1:2" hidden="1">
      <c r="A7728" s="190" t="str">
        <f t="shared" si="86"/>
        <v/>
      </c>
      <c r="B7728" s="190" t="str">
        <f t="shared" si="85"/>
        <v/>
      </c>
    </row>
    <row r="7729" spans="1:2" hidden="1">
      <c r="A7729" s="190" t="str">
        <f t="shared" si="86"/>
        <v/>
      </c>
      <c r="B7729" s="190" t="str">
        <f t="shared" si="85"/>
        <v/>
      </c>
    </row>
    <row r="7730" spans="1:2" hidden="1">
      <c r="A7730" s="190" t="str">
        <f t="shared" si="86"/>
        <v/>
      </c>
      <c r="B7730" s="190" t="str">
        <f t="shared" si="85"/>
        <v/>
      </c>
    </row>
    <row r="7731" spans="1:2" hidden="1">
      <c r="A7731" s="190" t="str">
        <f t="shared" si="86"/>
        <v/>
      </c>
      <c r="B7731" s="190" t="str">
        <f t="shared" si="85"/>
        <v/>
      </c>
    </row>
    <row r="7732" spans="1:2" hidden="1">
      <c r="A7732" s="190" t="str">
        <f t="shared" si="86"/>
        <v/>
      </c>
      <c r="B7732" s="190" t="str">
        <f t="shared" si="85"/>
        <v/>
      </c>
    </row>
    <row r="7733" spans="1:2" hidden="1">
      <c r="A7733" s="190" t="str">
        <f t="shared" si="86"/>
        <v/>
      </c>
      <c r="B7733" s="190" t="str">
        <f t="shared" si="85"/>
        <v/>
      </c>
    </row>
    <row r="7734" spans="1:2" hidden="1">
      <c r="A7734" s="190" t="str">
        <f t="shared" si="86"/>
        <v/>
      </c>
      <c r="B7734" s="190" t="str">
        <f t="shared" si="85"/>
        <v/>
      </c>
    </row>
    <row r="7735" spans="1:2" hidden="1">
      <c r="A7735" s="190" t="str">
        <f t="shared" si="86"/>
        <v/>
      </c>
      <c r="B7735" s="190" t="str">
        <f t="shared" si="85"/>
        <v/>
      </c>
    </row>
    <row r="7736" spans="1:2" hidden="1">
      <c r="A7736" s="190" t="str">
        <f t="shared" si="86"/>
        <v/>
      </c>
      <c r="B7736" s="190" t="str">
        <f t="shared" si="85"/>
        <v/>
      </c>
    </row>
    <row r="7737" spans="1:2" hidden="1">
      <c r="A7737" s="190" t="str">
        <f t="shared" si="86"/>
        <v/>
      </c>
      <c r="B7737" s="190" t="str">
        <f t="shared" si="85"/>
        <v/>
      </c>
    </row>
    <row r="7738" spans="1:2" hidden="1">
      <c r="A7738" s="190" t="str">
        <f t="shared" si="86"/>
        <v/>
      </c>
      <c r="B7738" s="190" t="str">
        <f t="shared" si="85"/>
        <v/>
      </c>
    </row>
    <row r="7739" spans="1:2" hidden="1">
      <c r="A7739" s="190" t="str">
        <f t="shared" si="86"/>
        <v/>
      </c>
      <c r="B7739" s="190" t="str">
        <f t="shared" si="85"/>
        <v/>
      </c>
    </row>
    <row r="7740" spans="1:2" hidden="1">
      <c r="A7740" s="190" t="str">
        <f t="shared" si="86"/>
        <v/>
      </c>
      <c r="B7740" s="190" t="str">
        <f t="shared" ref="B7740:B7803" si="87">HYPERLINK("http://tw.stock.yahoo.com/d/s/earning_.html","")</f>
        <v/>
      </c>
    </row>
    <row r="7741" spans="1:2" hidden="1">
      <c r="A7741" s="190" t="str">
        <f t="shared" si="86"/>
        <v/>
      </c>
      <c r="B7741" s="190" t="str">
        <f t="shared" si="87"/>
        <v/>
      </c>
    </row>
    <row r="7742" spans="1:2" hidden="1">
      <c r="A7742" s="190" t="str">
        <f t="shared" si="86"/>
        <v/>
      </c>
      <c r="B7742" s="190" t="str">
        <f t="shared" si="87"/>
        <v/>
      </c>
    </row>
    <row r="7743" spans="1:2" hidden="1">
      <c r="A7743" s="190" t="str">
        <f t="shared" ref="A7743:A7806" si="88">HYPERLINK("http://tw.stock.yahoo.com/q/ta?s=","")</f>
        <v/>
      </c>
      <c r="B7743" s="190" t="str">
        <f t="shared" si="87"/>
        <v/>
      </c>
    </row>
    <row r="7744" spans="1:2" hidden="1">
      <c r="A7744" s="190" t="str">
        <f t="shared" si="88"/>
        <v/>
      </c>
      <c r="B7744" s="190" t="str">
        <f t="shared" si="87"/>
        <v/>
      </c>
    </row>
    <row r="7745" spans="1:2" hidden="1">
      <c r="A7745" s="190" t="str">
        <f t="shared" si="88"/>
        <v/>
      </c>
      <c r="B7745" s="190" t="str">
        <f t="shared" si="87"/>
        <v/>
      </c>
    </row>
    <row r="7746" spans="1:2" hidden="1">
      <c r="A7746" s="190" t="str">
        <f t="shared" si="88"/>
        <v/>
      </c>
      <c r="B7746" s="190" t="str">
        <f t="shared" si="87"/>
        <v/>
      </c>
    </row>
    <row r="7747" spans="1:2" hidden="1">
      <c r="A7747" s="190" t="str">
        <f t="shared" si="88"/>
        <v/>
      </c>
      <c r="B7747" s="190" t="str">
        <f t="shared" si="87"/>
        <v/>
      </c>
    </row>
    <row r="7748" spans="1:2" hidden="1">
      <c r="A7748" s="190" t="str">
        <f t="shared" si="88"/>
        <v/>
      </c>
      <c r="B7748" s="190" t="str">
        <f t="shared" si="87"/>
        <v/>
      </c>
    </row>
    <row r="7749" spans="1:2" hidden="1">
      <c r="A7749" s="190" t="str">
        <f t="shared" si="88"/>
        <v/>
      </c>
      <c r="B7749" s="190" t="str">
        <f t="shared" si="87"/>
        <v/>
      </c>
    </row>
    <row r="7750" spans="1:2" hidden="1">
      <c r="A7750" s="190" t="str">
        <f t="shared" si="88"/>
        <v/>
      </c>
      <c r="B7750" s="190" t="str">
        <f t="shared" si="87"/>
        <v/>
      </c>
    </row>
    <row r="7751" spans="1:2" hidden="1">
      <c r="A7751" s="190" t="str">
        <f t="shared" si="88"/>
        <v/>
      </c>
      <c r="B7751" s="190" t="str">
        <f t="shared" si="87"/>
        <v/>
      </c>
    </row>
    <row r="7752" spans="1:2" hidden="1">
      <c r="A7752" s="190" t="str">
        <f t="shared" si="88"/>
        <v/>
      </c>
      <c r="B7752" s="190" t="str">
        <f t="shared" si="87"/>
        <v/>
      </c>
    </row>
    <row r="7753" spans="1:2" hidden="1">
      <c r="A7753" s="190" t="str">
        <f t="shared" si="88"/>
        <v/>
      </c>
      <c r="B7753" s="190" t="str">
        <f t="shared" si="87"/>
        <v/>
      </c>
    </row>
    <row r="7754" spans="1:2" hidden="1">
      <c r="A7754" s="190" t="str">
        <f t="shared" si="88"/>
        <v/>
      </c>
      <c r="B7754" s="190" t="str">
        <f t="shared" si="87"/>
        <v/>
      </c>
    </row>
    <row r="7755" spans="1:2" hidden="1">
      <c r="A7755" s="190" t="str">
        <f t="shared" si="88"/>
        <v/>
      </c>
      <c r="B7755" s="190" t="str">
        <f t="shared" si="87"/>
        <v/>
      </c>
    </row>
    <row r="7756" spans="1:2" hidden="1">
      <c r="A7756" s="190" t="str">
        <f t="shared" si="88"/>
        <v/>
      </c>
      <c r="B7756" s="190" t="str">
        <f t="shared" si="87"/>
        <v/>
      </c>
    </row>
    <row r="7757" spans="1:2" hidden="1">
      <c r="A7757" s="190" t="str">
        <f t="shared" si="88"/>
        <v/>
      </c>
      <c r="B7757" s="190" t="str">
        <f t="shared" si="87"/>
        <v/>
      </c>
    </row>
    <row r="7758" spans="1:2" hidden="1">
      <c r="A7758" s="190" t="str">
        <f t="shared" si="88"/>
        <v/>
      </c>
      <c r="B7758" s="190" t="str">
        <f t="shared" si="87"/>
        <v/>
      </c>
    </row>
    <row r="7759" spans="1:2" hidden="1">
      <c r="A7759" s="190" t="str">
        <f t="shared" si="88"/>
        <v/>
      </c>
      <c r="B7759" s="190" t="str">
        <f t="shared" si="87"/>
        <v/>
      </c>
    </row>
    <row r="7760" spans="1:2" hidden="1">
      <c r="A7760" s="190" t="str">
        <f t="shared" si="88"/>
        <v/>
      </c>
      <c r="B7760" s="190" t="str">
        <f t="shared" si="87"/>
        <v/>
      </c>
    </row>
    <row r="7761" spans="1:2" hidden="1">
      <c r="A7761" s="190" t="str">
        <f t="shared" si="88"/>
        <v/>
      </c>
      <c r="B7761" s="190" t="str">
        <f t="shared" si="87"/>
        <v/>
      </c>
    </row>
    <row r="7762" spans="1:2" hidden="1">
      <c r="A7762" s="190" t="str">
        <f t="shared" si="88"/>
        <v/>
      </c>
      <c r="B7762" s="190" t="str">
        <f t="shared" si="87"/>
        <v/>
      </c>
    </row>
    <row r="7763" spans="1:2" hidden="1">
      <c r="A7763" s="190" t="str">
        <f t="shared" si="88"/>
        <v/>
      </c>
      <c r="B7763" s="190" t="str">
        <f t="shared" si="87"/>
        <v/>
      </c>
    </row>
    <row r="7764" spans="1:2" hidden="1">
      <c r="A7764" s="190" t="str">
        <f t="shared" si="88"/>
        <v/>
      </c>
      <c r="B7764" s="190" t="str">
        <f t="shared" si="87"/>
        <v/>
      </c>
    </row>
    <row r="7765" spans="1:2" hidden="1">
      <c r="A7765" s="190" t="str">
        <f t="shared" si="88"/>
        <v/>
      </c>
      <c r="B7765" s="190" t="str">
        <f t="shared" si="87"/>
        <v/>
      </c>
    </row>
    <row r="7766" spans="1:2" hidden="1">
      <c r="A7766" s="190" t="str">
        <f t="shared" si="88"/>
        <v/>
      </c>
      <c r="B7766" s="190" t="str">
        <f t="shared" si="87"/>
        <v/>
      </c>
    </row>
    <row r="7767" spans="1:2" hidden="1">
      <c r="A7767" s="190" t="str">
        <f t="shared" si="88"/>
        <v/>
      </c>
      <c r="B7767" s="190" t="str">
        <f t="shared" si="87"/>
        <v/>
      </c>
    </row>
    <row r="7768" spans="1:2" hidden="1">
      <c r="A7768" s="190" t="str">
        <f t="shared" si="88"/>
        <v/>
      </c>
      <c r="B7768" s="190" t="str">
        <f t="shared" si="87"/>
        <v/>
      </c>
    </row>
    <row r="7769" spans="1:2" hidden="1">
      <c r="A7769" s="190" t="str">
        <f t="shared" si="88"/>
        <v/>
      </c>
      <c r="B7769" s="190" t="str">
        <f t="shared" si="87"/>
        <v/>
      </c>
    </row>
    <row r="7770" spans="1:2" hidden="1">
      <c r="A7770" s="190" t="str">
        <f t="shared" si="88"/>
        <v/>
      </c>
      <c r="B7770" s="190" t="str">
        <f t="shared" si="87"/>
        <v/>
      </c>
    </row>
    <row r="7771" spans="1:2" hidden="1">
      <c r="A7771" s="190" t="str">
        <f t="shared" si="88"/>
        <v/>
      </c>
      <c r="B7771" s="190" t="str">
        <f t="shared" si="87"/>
        <v/>
      </c>
    </row>
    <row r="7772" spans="1:2" hidden="1">
      <c r="A7772" s="190" t="str">
        <f t="shared" si="88"/>
        <v/>
      </c>
      <c r="B7772" s="190" t="str">
        <f t="shared" si="87"/>
        <v/>
      </c>
    </row>
    <row r="7773" spans="1:2" hidden="1">
      <c r="A7773" s="190" t="str">
        <f t="shared" si="88"/>
        <v/>
      </c>
      <c r="B7773" s="190" t="str">
        <f t="shared" si="87"/>
        <v/>
      </c>
    </row>
    <row r="7774" spans="1:2" hidden="1">
      <c r="A7774" s="190" t="str">
        <f t="shared" si="88"/>
        <v/>
      </c>
      <c r="B7774" s="190" t="str">
        <f t="shared" si="87"/>
        <v/>
      </c>
    </row>
    <row r="7775" spans="1:2" hidden="1">
      <c r="A7775" s="190" t="str">
        <f t="shared" si="88"/>
        <v/>
      </c>
      <c r="B7775" s="190" t="str">
        <f t="shared" si="87"/>
        <v/>
      </c>
    </row>
    <row r="7776" spans="1:2" hidden="1">
      <c r="A7776" s="190" t="str">
        <f t="shared" si="88"/>
        <v/>
      </c>
      <c r="B7776" s="190" t="str">
        <f t="shared" si="87"/>
        <v/>
      </c>
    </row>
    <row r="7777" spans="1:2" hidden="1">
      <c r="A7777" s="190" t="str">
        <f t="shared" si="88"/>
        <v/>
      </c>
      <c r="B7777" s="190" t="str">
        <f t="shared" si="87"/>
        <v/>
      </c>
    </row>
    <row r="7778" spans="1:2" hidden="1">
      <c r="A7778" s="190" t="str">
        <f t="shared" si="88"/>
        <v/>
      </c>
      <c r="B7778" s="190" t="str">
        <f t="shared" si="87"/>
        <v/>
      </c>
    </row>
    <row r="7779" spans="1:2" hidden="1">
      <c r="A7779" s="190" t="str">
        <f t="shared" si="88"/>
        <v/>
      </c>
      <c r="B7779" s="190" t="str">
        <f t="shared" si="87"/>
        <v/>
      </c>
    </row>
    <row r="7780" spans="1:2" hidden="1">
      <c r="A7780" s="190" t="str">
        <f t="shared" si="88"/>
        <v/>
      </c>
      <c r="B7780" s="190" t="str">
        <f t="shared" si="87"/>
        <v/>
      </c>
    </row>
    <row r="7781" spans="1:2" hidden="1">
      <c r="A7781" s="190" t="str">
        <f t="shared" si="88"/>
        <v/>
      </c>
      <c r="B7781" s="190" t="str">
        <f t="shared" si="87"/>
        <v/>
      </c>
    </row>
    <row r="7782" spans="1:2" hidden="1">
      <c r="A7782" s="190" t="str">
        <f t="shared" si="88"/>
        <v/>
      </c>
      <c r="B7782" s="190" t="str">
        <f t="shared" si="87"/>
        <v/>
      </c>
    </row>
    <row r="7783" spans="1:2" hidden="1">
      <c r="A7783" s="190" t="str">
        <f t="shared" si="88"/>
        <v/>
      </c>
      <c r="B7783" s="190" t="str">
        <f t="shared" si="87"/>
        <v/>
      </c>
    </row>
    <row r="7784" spans="1:2" hidden="1">
      <c r="A7784" s="190" t="str">
        <f t="shared" si="88"/>
        <v/>
      </c>
      <c r="B7784" s="190" t="str">
        <f t="shared" si="87"/>
        <v/>
      </c>
    </row>
    <row r="7785" spans="1:2" hidden="1">
      <c r="A7785" s="190" t="str">
        <f t="shared" si="88"/>
        <v/>
      </c>
      <c r="B7785" s="190" t="str">
        <f t="shared" si="87"/>
        <v/>
      </c>
    </row>
    <row r="7786" spans="1:2" hidden="1">
      <c r="A7786" s="190" t="str">
        <f t="shared" si="88"/>
        <v/>
      </c>
      <c r="B7786" s="190" t="str">
        <f t="shared" si="87"/>
        <v/>
      </c>
    </row>
    <row r="7787" spans="1:2" hidden="1">
      <c r="A7787" s="190" t="str">
        <f t="shared" si="88"/>
        <v/>
      </c>
      <c r="B7787" s="190" t="str">
        <f t="shared" si="87"/>
        <v/>
      </c>
    </row>
    <row r="7788" spans="1:2" hidden="1">
      <c r="A7788" s="190" t="str">
        <f t="shared" si="88"/>
        <v/>
      </c>
      <c r="B7788" s="190" t="str">
        <f t="shared" si="87"/>
        <v/>
      </c>
    </row>
    <row r="7789" spans="1:2" hidden="1">
      <c r="A7789" s="190" t="str">
        <f t="shared" si="88"/>
        <v/>
      </c>
      <c r="B7789" s="190" t="str">
        <f t="shared" si="87"/>
        <v/>
      </c>
    </row>
    <row r="7790" spans="1:2" hidden="1">
      <c r="A7790" s="190" t="str">
        <f t="shared" si="88"/>
        <v/>
      </c>
      <c r="B7790" s="190" t="str">
        <f t="shared" si="87"/>
        <v/>
      </c>
    </row>
    <row r="7791" spans="1:2" hidden="1">
      <c r="A7791" s="190" t="str">
        <f t="shared" si="88"/>
        <v/>
      </c>
      <c r="B7791" s="190" t="str">
        <f t="shared" si="87"/>
        <v/>
      </c>
    </row>
    <row r="7792" spans="1:2" hidden="1">
      <c r="A7792" s="190" t="str">
        <f t="shared" si="88"/>
        <v/>
      </c>
      <c r="B7792" s="190" t="str">
        <f t="shared" si="87"/>
        <v/>
      </c>
    </row>
    <row r="7793" spans="1:2" hidden="1">
      <c r="A7793" s="190" t="str">
        <f t="shared" si="88"/>
        <v/>
      </c>
      <c r="B7793" s="190" t="str">
        <f t="shared" si="87"/>
        <v/>
      </c>
    </row>
    <row r="7794" spans="1:2" hidden="1">
      <c r="A7794" s="190" t="str">
        <f t="shared" si="88"/>
        <v/>
      </c>
      <c r="B7794" s="190" t="str">
        <f t="shared" si="87"/>
        <v/>
      </c>
    </row>
    <row r="7795" spans="1:2" hidden="1">
      <c r="A7795" s="190" t="str">
        <f t="shared" si="88"/>
        <v/>
      </c>
      <c r="B7795" s="190" t="str">
        <f t="shared" si="87"/>
        <v/>
      </c>
    </row>
    <row r="7796" spans="1:2" hidden="1">
      <c r="A7796" s="190" t="str">
        <f t="shared" si="88"/>
        <v/>
      </c>
      <c r="B7796" s="190" t="str">
        <f t="shared" si="87"/>
        <v/>
      </c>
    </row>
    <row r="7797" spans="1:2" hidden="1">
      <c r="A7797" s="190" t="str">
        <f t="shared" si="88"/>
        <v/>
      </c>
      <c r="B7797" s="190" t="str">
        <f t="shared" si="87"/>
        <v/>
      </c>
    </row>
    <row r="7798" spans="1:2" hidden="1">
      <c r="A7798" s="190" t="str">
        <f t="shared" si="88"/>
        <v/>
      </c>
      <c r="B7798" s="190" t="str">
        <f t="shared" si="87"/>
        <v/>
      </c>
    </row>
    <row r="7799" spans="1:2" hidden="1">
      <c r="A7799" s="190" t="str">
        <f t="shared" si="88"/>
        <v/>
      </c>
      <c r="B7799" s="190" t="str">
        <f t="shared" si="87"/>
        <v/>
      </c>
    </row>
    <row r="7800" spans="1:2" hidden="1">
      <c r="A7800" s="190" t="str">
        <f t="shared" si="88"/>
        <v/>
      </c>
      <c r="B7800" s="190" t="str">
        <f t="shared" si="87"/>
        <v/>
      </c>
    </row>
    <row r="7801" spans="1:2" hidden="1">
      <c r="A7801" s="190" t="str">
        <f t="shared" si="88"/>
        <v/>
      </c>
      <c r="B7801" s="190" t="str">
        <f t="shared" si="87"/>
        <v/>
      </c>
    </row>
    <row r="7802" spans="1:2" hidden="1">
      <c r="A7802" s="190" t="str">
        <f t="shared" si="88"/>
        <v/>
      </c>
      <c r="B7802" s="190" t="str">
        <f t="shared" si="87"/>
        <v/>
      </c>
    </row>
    <row r="7803" spans="1:2" hidden="1">
      <c r="A7803" s="190" t="str">
        <f t="shared" si="88"/>
        <v/>
      </c>
      <c r="B7803" s="190" t="str">
        <f t="shared" si="87"/>
        <v/>
      </c>
    </row>
    <row r="7804" spans="1:2" hidden="1">
      <c r="A7804" s="190" t="str">
        <f t="shared" si="88"/>
        <v/>
      </c>
      <c r="B7804" s="190" t="str">
        <f t="shared" ref="B7804:B7823" si="89">HYPERLINK("http://tw.stock.yahoo.com/d/s/earning_.html","")</f>
        <v/>
      </c>
    </row>
    <row r="7805" spans="1:2" hidden="1">
      <c r="A7805" s="190" t="str">
        <f t="shared" si="88"/>
        <v/>
      </c>
      <c r="B7805" s="190" t="str">
        <f t="shared" si="89"/>
        <v/>
      </c>
    </row>
    <row r="7806" spans="1:2" hidden="1">
      <c r="A7806" s="190" t="str">
        <f t="shared" si="88"/>
        <v/>
      </c>
      <c r="B7806" s="190" t="str">
        <f t="shared" si="89"/>
        <v/>
      </c>
    </row>
    <row r="7807" spans="1:2" hidden="1">
      <c r="A7807" s="190" t="str">
        <f t="shared" ref="A7807:A7824" si="90">HYPERLINK("http://tw.stock.yahoo.com/q/ta?s=","")</f>
        <v/>
      </c>
      <c r="B7807" s="190" t="str">
        <f t="shared" si="89"/>
        <v/>
      </c>
    </row>
    <row r="7808" spans="1:2" hidden="1">
      <c r="A7808" s="190" t="str">
        <f t="shared" si="90"/>
        <v/>
      </c>
      <c r="B7808" s="190" t="str">
        <f t="shared" si="89"/>
        <v/>
      </c>
    </row>
    <row r="7809" spans="1:2" hidden="1">
      <c r="A7809" s="190" t="str">
        <f t="shared" si="90"/>
        <v/>
      </c>
      <c r="B7809" s="190" t="str">
        <f t="shared" si="89"/>
        <v/>
      </c>
    </row>
    <row r="7810" spans="1:2" hidden="1">
      <c r="A7810" s="190" t="str">
        <f t="shared" si="90"/>
        <v/>
      </c>
      <c r="B7810" s="190" t="str">
        <f t="shared" si="89"/>
        <v/>
      </c>
    </row>
    <row r="7811" spans="1:2" hidden="1">
      <c r="A7811" s="190" t="str">
        <f t="shared" si="90"/>
        <v/>
      </c>
      <c r="B7811" s="190" t="str">
        <f t="shared" si="89"/>
        <v/>
      </c>
    </row>
    <row r="7812" spans="1:2" hidden="1">
      <c r="A7812" s="190" t="str">
        <f t="shared" si="90"/>
        <v/>
      </c>
      <c r="B7812" s="190" t="str">
        <f t="shared" si="89"/>
        <v/>
      </c>
    </row>
    <row r="7813" spans="1:2" hidden="1">
      <c r="A7813" s="190" t="str">
        <f t="shared" si="90"/>
        <v/>
      </c>
      <c r="B7813" s="190" t="str">
        <f t="shared" si="89"/>
        <v/>
      </c>
    </row>
    <row r="7814" spans="1:2" hidden="1">
      <c r="A7814" s="190" t="str">
        <f t="shared" si="90"/>
        <v/>
      </c>
      <c r="B7814" s="190" t="str">
        <f t="shared" si="89"/>
        <v/>
      </c>
    </row>
    <row r="7815" spans="1:2" hidden="1">
      <c r="A7815" s="190" t="str">
        <f t="shared" si="90"/>
        <v/>
      </c>
      <c r="B7815" s="190" t="str">
        <f t="shared" si="89"/>
        <v/>
      </c>
    </row>
    <row r="7816" spans="1:2" hidden="1">
      <c r="A7816" s="190" t="str">
        <f t="shared" si="90"/>
        <v/>
      </c>
      <c r="B7816" s="190" t="str">
        <f t="shared" si="89"/>
        <v/>
      </c>
    </row>
    <row r="7817" spans="1:2" hidden="1">
      <c r="A7817" s="190" t="str">
        <f t="shared" si="90"/>
        <v/>
      </c>
      <c r="B7817" s="190" t="str">
        <f t="shared" si="89"/>
        <v/>
      </c>
    </row>
    <row r="7818" spans="1:2" hidden="1">
      <c r="A7818" s="190" t="str">
        <f t="shared" si="90"/>
        <v/>
      </c>
      <c r="B7818" s="190" t="str">
        <f t="shared" si="89"/>
        <v/>
      </c>
    </row>
    <row r="7819" spans="1:2" hidden="1">
      <c r="A7819" s="190" t="str">
        <f t="shared" si="90"/>
        <v/>
      </c>
      <c r="B7819" s="190" t="str">
        <f t="shared" si="89"/>
        <v/>
      </c>
    </row>
    <row r="7820" spans="1:2" hidden="1">
      <c r="A7820" s="190" t="str">
        <f t="shared" si="90"/>
        <v/>
      </c>
      <c r="B7820" s="190" t="str">
        <f t="shared" si="89"/>
        <v/>
      </c>
    </row>
    <row r="7821" spans="1:2" hidden="1">
      <c r="A7821" s="190" t="str">
        <f t="shared" si="90"/>
        <v/>
      </c>
      <c r="B7821" s="190" t="str">
        <f t="shared" si="89"/>
        <v/>
      </c>
    </row>
    <row r="7822" spans="1:2" hidden="1">
      <c r="A7822" s="190" t="str">
        <f t="shared" si="90"/>
        <v/>
      </c>
      <c r="B7822" s="190" t="str">
        <f t="shared" si="89"/>
        <v/>
      </c>
    </row>
    <row r="7823" spans="1:2" hidden="1">
      <c r="A7823" s="190" t="str">
        <f t="shared" si="90"/>
        <v/>
      </c>
      <c r="B7823" s="190" t="str">
        <f t="shared" si="89"/>
        <v/>
      </c>
    </row>
    <row r="7824" spans="1:2" hidden="1">
      <c r="A7824" s="190" t="str">
        <f t="shared" si="90"/>
        <v/>
      </c>
    </row>
  </sheetData>
  <autoFilter ref="A1:K7824">
    <filterColumn colId="5">
      <customFilters>
        <customFilter operator="greaterThan" val="0"/>
      </customFilters>
    </filterColumn>
    <filterColumn colId="9">
      <customFilters>
        <customFilter operator="greaterThanOrEqual" val="18"/>
      </customFilters>
    </filterColumn>
    <filterColumn colId="10">
      <filters>
        <filter val="選"/>
      </filters>
    </filterColumn>
  </autoFilter>
  <phoneticPr fontId="2" type="noConversion"/>
  <pageMargins left="0.7" right="0.7" top="0.75" bottom="0.75" header="0.3" footer="0.3"/>
  <pageSetup paperSize="9" orientation="portrait" r:id="rId1"/>
  <legacyDrawing r:id="rId2"/>
  <controls>
    <control shapeId="12289" r:id="rId3" name="ComboBox1"/>
    <control shapeId="12293" r:id="rId4" name="CommandButton4"/>
    <control shapeId="12295" r:id="rId5" name="CommandButton5"/>
    <control shapeId="12296" r:id="rId6" name="CommandButton6"/>
  </controls>
</worksheet>
</file>

<file path=xl/worksheets/sheet9.xml><?xml version="1.0" encoding="utf-8"?>
<worksheet xmlns="http://schemas.openxmlformats.org/spreadsheetml/2006/main" xmlns:r="http://schemas.openxmlformats.org/officeDocument/2006/relationships">
  <sheetPr codeName="PSR" filterMode="1"/>
  <dimension ref="A1:AD1481"/>
  <sheetViews>
    <sheetView zoomScale="90" zoomScaleNormal="90" workbookViewId="0">
      <pane xSplit="10" ySplit="1" topLeftCell="K410" activePane="bottomRight" state="frozen"/>
      <selection pane="topRight" activeCell="K1" sqref="K1"/>
      <selection pane="bottomLeft" activeCell="A2" sqref="A2"/>
      <selection pane="bottomRight" activeCell="C752" sqref="C752"/>
    </sheetView>
  </sheetViews>
  <sheetFormatPr defaultColWidth="9" defaultRowHeight="16.5"/>
  <cols>
    <col min="1" max="1" width="14.375" style="64" bestFit="1" customWidth="1"/>
    <col min="2" max="2" width="13.625" style="52" bestFit="1" customWidth="1"/>
    <col min="3" max="3" width="14.375" style="161" customWidth="1"/>
    <col min="4" max="4" width="19.75" style="158" bestFit="1" customWidth="1"/>
    <col min="5" max="5" width="12.625" style="53" customWidth="1"/>
    <col min="6" max="6" width="14.375" style="161" customWidth="1"/>
    <col min="7" max="7" width="19.75" style="54" bestFit="1" customWidth="1"/>
    <col min="8" max="8" width="22.75" style="54" bestFit="1" customWidth="1"/>
    <col min="9" max="9" width="11.125" style="65" bestFit="1" customWidth="1"/>
    <col min="10" max="10" width="9.625" style="163" bestFit="1" customWidth="1"/>
    <col min="11" max="13" width="9.625" style="26" customWidth="1"/>
    <col min="14" max="14" width="10.5" style="26" customWidth="1"/>
    <col min="15" max="15" width="81" style="26" customWidth="1"/>
    <col min="16" max="23" width="7.375" style="26" customWidth="1"/>
    <col min="24" max="16384" width="9" style="26"/>
  </cols>
  <sheetData>
    <row r="1" spans="1:30" ht="33" customHeight="1">
      <c r="A1" s="63" t="s">
        <v>247</v>
      </c>
      <c r="B1" s="56" t="s">
        <v>225</v>
      </c>
      <c r="C1" s="159" t="s">
        <v>244</v>
      </c>
      <c r="D1" s="57" t="s">
        <v>246</v>
      </c>
      <c r="E1" s="55" t="s">
        <v>1899</v>
      </c>
      <c r="F1" s="159" t="s">
        <v>1897</v>
      </c>
      <c r="G1" s="57" t="s">
        <v>245</v>
      </c>
      <c r="H1" s="57" t="s">
        <v>1896</v>
      </c>
      <c r="I1" s="66" t="s">
        <v>540</v>
      </c>
      <c r="J1" s="162" t="s">
        <v>1898</v>
      </c>
      <c r="N1" s="26" t="e">
        <f>sum</f>
        <v>#NAME?</v>
      </c>
    </row>
    <row r="2" spans="1:30" hidden="1">
      <c r="A2" s="64">
        <v>1213</v>
      </c>
      <c r="B2" s="151">
        <v>0.35</v>
      </c>
      <c r="C2" s="160">
        <v>0</v>
      </c>
      <c r="D2" s="153">
        <v>0</v>
      </c>
      <c r="E2" s="26">
        <f>VLOOKUP(1213,季財報!$A:$H,8,0)</f>
        <v>4</v>
      </c>
      <c r="F2" s="160">
        <v>5.2725000000000001E-2</v>
      </c>
      <c r="G2" s="153">
        <v>0</v>
      </c>
      <c r="H2" s="153">
        <v>731852000</v>
      </c>
      <c r="I2" s="151">
        <v>0</v>
      </c>
      <c r="J2" s="153">
        <v>0</v>
      </c>
      <c r="N2" s="32"/>
      <c r="O2" s="32"/>
      <c r="P2" s="32"/>
      <c r="Q2" s="32"/>
      <c r="R2" s="32"/>
      <c r="S2" s="32"/>
      <c r="T2" s="32"/>
      <c r="U2" s="32"/>
      <c r="V2" s="32"/>
      <c r="W2" s="32"/>
      <c r="X2" s="32"/>
      <c r="Y2" s="32"/>
      <c r="Z2" s="32"/>
      <c r="AA2" s="32"/>
      <c r="AB2" s="32"/>
      <c r="AC2" s="32"/>
      <c r="AD2" s="32"/>
    </row>
    <row r="3" spans="1:30" hidden="1">
      <c r="A3" s="64">
        <v>1439</v>
      </c>
      <c r="B3" s="151">
        <v>0.01</v>
      </c>
      <c r="C3" s="160">
        <v>0</v>
      </c>
      <c r="D3" s="153">
        <v>0</v>
      </c>
      <c r="E3" s="26">
        <f>VLOOKUP(1439,季財報!$A:$H,8,0)</f>
        <v>0</v>
      </c>
      <c r="F3" s="160">
        <v>0.14474166666666666</v>
      </c>
      <c r="G3" s="153">
        <v>0</v>
      </c>
      <c r="H3" s="153">
        <v>388664000</v>
      </c>
      <c r="I3" s="151">
        <v>0</v>
      </c>
      <c r="J3" s="153">
        <v>0</v>
      </c>
      <c r="N3" s="32"/>
      <c r="O3" s="32"/>
      <c r="P3" s="32"/>
      <c r="Q3" s="32"/>
      <c r="R3" s="32"/>
      <c r="S3" s="32"/>
      <c r="T3" s="32"/>
      <c r="U3" s="32"/>
      <c r="V3" s="32"/>
      <c r="W3" s="32"/>
      <c r="X3" s="32"/>
      <c r="Y3" s="32"/>
      <c r="Z3" s="32"/>
      <c r="AA3" s="32"/>
      <c r="AB3" s="32"/>
      <c r="AC3" s="32"/>
      <c r="AD3" s="32"/>
    </row>
    <row r="4" spans="1:30" hidden="1">
      <c r="A4" s="64">
        <v>1603</v>
      </c>
      <c r="B4" s="151">
        <v>0.52</v>
      </c>
      <c r="C4" s="160">
        <v>0.36923076923076925</v>
      </c>
      <c r="D4" s="153">
        <v>282692307.69230771</v>
      </c>
      <c r="E4" s="26">
        <f>VLOOKUP(1603,季財報!$A:$H,8,0)</f>
        <v>1</v>
      </c>
      <c r="F4" s="160">
        <v>0.10598333333333336</v>
      </c>
      <c r="G4" s="153">
        <v>0</v>
      </c>
      <c r="H4" s="153">
        <v>2886864000</v>
      </c>
      <c r="I4" s="151">
        <v>0</v>
      </c>
      <c r="J4" s="153">
        <v>0</v>
      </c>
      <c r="N4" s="32"/>
      <c r="O4" s="32"/>
      <c r="P4" s="32"/>
      <c r="Q4" s="32"/>
      <c r="R4" s="32"/>
      <c r="S4" s="32"/>
      <c r="T4" s="32"/>
      <c r="U4" s="32"/>
      <c r="V4" s="32"/>
      <c r="W4" s="32"/>
      <c r="X4" s="32"/>
      <c r="Y4" s="32"/>
      <c r="Z4" s="32"/>
      <c r="AA4" s="32"/>
      <c r="AB4" s="32"/>
      <c r="AC4" s="32"/>
      <c r="AD4" s="32"/>
    </row>
    <row r="5" spans="1:30" hidden="1">
      <c r="A5" s="64">
        <v>1615</v>
      </c>
      <c r="B5" s="151">
        <v>0.16</v>
      </c>
      <c r="C5" s="160">
        <v>0</v>
      </c>
      <c r="D5" s="153">
        <v>0</v>
      </c>
      <c r="E5" s="26">
        <f>VLOOKUP(1615,季財報!$A:$H,8,0)</f>
        <v>2</v>
      </c>
      <c r="F5" s="160">
        <v>1.5049999999999996E-2</v>
      </c>
      <c r="G5" s="153">
        <v>0</v>
      </c>
      <c r="H5" s="153">
        <v>2553851000</v>
      </c>
      <c r="I5" s="151">
        <v>0</v>
      </c>
      <c r="J5" s="153">
        <v>0</v>
      </c>
      <c r="N5" s="32"/>
      <c r="O5" s="32"/>
      <c r="P5" s="32"/>
      <c r="Q5" s="32"/>
      <c r="R5" s="32"/>
      <c r="S5" s="32"/>
      <c r="T5" s="32"/>
      <c r="U5" s="32"/>
      <c r="V5" s="32"/>
      <c r="W5" s="32"/>
      <c r="X5" s="32"/>
      <c r="Y5" s="32"/>
      <c r="Z5" s="32"/>
      <c r="AA5" s="32"/>
      <c r="AB5" s="32"/>
      <c r="AC5" s="32"/>
      <c r="AD5" s="32"/>
    </row>
    <row r="6" spans="1:30" hidden="1">
      <c r="A6" s="64">
        <v>1781</v>
      </c>
      <c r="B6" s="151">
        <v>0.01</v>
      </c>
      <c r="C6" s="160">
        <v>0</v>
      </c>
      <c r="D6" s="153">
        <v>0</v>
      </c>
      <c r="E6" s="26">
        <f>VLOOKUP(1781,季財報!$A:$H,8,0)</f>
        <v>4</v>
      </c>
      <c r="F6" s="160">
        <v>2.5775000000000006E-2</v>
      </c>
      <c r="G6" s="153">
        <v>0</v>
      </c>
      <c r="H6" s="153">
        <v>692419000</v>
      </c>
      <c r="I6" s="151">
        <v>0</v>
      </c>
      <c r="J6" s="153">
        <v>0</v>
      </c>
      <c r="N6" s="32"/>
      <c r="O6" s="32"/>
      <c r="P6" s="32"/>
      <c r="Q6" s="32"/>
      <c r="R6" s="32"/>
      <c r="S6" s="32"/>
      <c r="T6" s="32"/>
      <c r="U6" s="32"/>
      <c r="V6" s="32"/>
      <c r="W6" s="32"/>
      <c r="X6" s="32"/>
      <c r="Y6" s="32"/>
      <c r="Z6" s="32"/>
      <c r="AA6" s="32"/>
      <c r="AB6" s="32"/>
      <c r="AC6" s="32"/>
      <c r="AD6" s="32"/>
    </row>
    <row r="7" spans="1:30" hidden="1">
      <c r="A7" s="64">
        <v>2033</v>
      </c>
      <c r="B7" s="151">
        <v>-0.05</v>
      </c>
      <c r="C7" s="160">
        <v>0.75</v>
      </c>
      <c r="D7" s="153">
        <v>80000000</v>
      </c>
      <c r="E7" s="26">
        <f>VLOOKUP(2033,季財報!$A:$H,8,0)</f>
        <v>1</v>
      </c>
      <c r="F7" s="160">
        <v>2.9033333333333338E-2</v>
      </c>
      <c r="G7" s="153">
        <v>0</v>
      </c>
      <c r="H7" s="153">
        <v>753110000</v>
      </c>
      <c r="I7" s="151">
        <v>0</v>
      </c>
      <c r="J7" s="153">
        <v>0</v>
      </c>
      <c r="N7" s="32"/>
      <c r="O7" s="32"/>
      <c r="P7" s="32"/>
      <c r="Q7" s="32"/>
      <c r="R7" s="32"/>
      <c r="S7" s="32"/>
      <c r="T7" s="32"/>
      <c r="U7" s="32"/>
      <c r="V7" s="32"/>
      <c r="W7" s="32"/>
      <c r="X7" s="32"/>
      <c r="Y7" s="32"/>
      <c r="Z7" s="32"/>
      <c r="AA7" s="32"/>
      <c r="AB7" s="32"/>
      <c r="AC7" s="32"/>
      <c r="AD7" s="32"/>
    </row>
    <row r="8" spans="1:30" hidden="1">
      <c r="A8" s="64">
        <v>2230</v>
      </c>
      <c r="B8" s="151">
        <v>0.28999999999999998</v>
      </c>
      <c r="C8" s="160">
        <v>0</v>
      </c>
      <c r="D8" s="153">
        <v>0</v>
      </c>
      <c r="E8" s="26">
        <f>VLOOKUP(2230,季財報!$A:$H,8,0)</f>
        <v>1</v>
      </c>
      <c r="F8" s="160">
        <v>-1.0433333333333341E-2</v>
      </c>
      <c r="G8" s="153">
        <v>0</v>
      </c>
      <c r="H8" s="153">
        <v>367383000</v>
      </c>
      <c r="I8" s="151">
        <v>0</v>
      </c>
      <c r="J8" s="153">
        <v>0</v>
      </c>
      <c r="N8" s="32"/>
      <c r="O8" s="32"/>
      <c r="P8" s="32"/>
      <c r="Q8" s="32"/>
      <c r="R8" s="32"/>
      <c r="S8" s="32"/>
      <c r="T8" s="32"/>
      <c r="U8" s="32"/>
      <c r="V8" s="32"/>
      <c r="W8" s="32"/>
      <c r="X8" s="32"/>
      <c r="Y8" s="32"/>
      <c r="Z8" s="32"/>
      <c r="AA8" s="32"/>
      <c r="AB8" s="32"/>
      <c r="AC8" s="32"/>
      <c r="AD8" s="32"/>
    </row>
    <row r="9" spans="1:30" hidden="1">
      <c r="A9" s="64">
        <v>2302</v>
      </c>
      <c r="B9" s="151">
        <v>0.11</v>
      </c>
      <c r="C9" s="160">
        <v>0</v>
      </c>
      <c r="D9" s="153">
        <v>0</v>
      </c>
      <c r="E9" s="26">
        <f>VLOOKUP(2302,季財報!$A:$H,8,0)</f>
        <v>2</v>
      </c>
      <c r="F9" s="160">
        <v>2.0600000000000004E-2</v>
      </c>
      <c r="G9" s="153">
        <v>0</v>
      </c>
      <c r="H9" s="153">
        <v>514062000</v>
      </c>
      <c r="I9" s="151">
        <v>0</v>
      </c>
      <c r="J9" s="153">
        <v>0</v>
      </c>
      <c r="N9" s="32"/>
      <c r="O9" s="32"/>
      <c r="P9" s="32"/>
      <c r="Q9" s="32"/>
      <c r="R9" s="32"/>
      <c r="S9" s="32"/>
      <c r="T9" s="32"/>
      <c r="U9" s="32"/>
      <c r="V9" s="32"/>
      <c r="W9" s="32"/>
      <c r="X9" s="32"/>
      <c r="Y9" s="32"/>
      <c r="Z9" s="32"/>
      <c r="AA9" s="32"/>
      <c r="AB9" s="32"/>
      <c r="AC9" s="32"/>
      <c r="AD9" s="32"/>
    </row>
    <row r="10" spans="1:30" hidden="1">
      <c r="A10" s="64">
        <v>2348</v>
      </c>
      <c r="B10" s="151">
        <v>0.53</v>
      </c>
      <c r="C10" s="160">
        <v>1</v>
      </c>
      <c r="D10" s="153">
        <v>84905660.377358481</v>
      </c>
      <c r="E10" s="26">
        <f>VLOOKUP(2348,季財報!$A:$H,8,0)</f>
        <v>2</v>
      </c>
      <c r="F10" s="160">
        <v>1.4991666666666653E-2</v>
      </c>
      <c r="G10" s="153">
        <v>0</v>
      </c>
      <c r="H10" s="153">
        <v>1113136000</v>
      </c>
      <c r="I10" s="151">
        <v>0</v>
      </c>
      <c r="J10" s="153">
        <v>0</v>
      </c>
      <c r="N10" s="32"/>
      <c r="O10" s="32"/>
      <c r="P10" s="154"/>
      <c r="Q10" s="155"/>
      <c r="R10" s="154"/>
      <c r="S10" s="155"/>
      <c r="T10" s="154"/>
      <c r="U10" s="155"/>
      <c r="V10" s="32"/>
      <c r="W10" s="32"/>
      <c r="X10" s="32"/>
      <c r="Y10" s="32"/>
      <c r="Z10" s="32"/>
      <c r="AA10" s="32"/>
      <c r="AB10" s="32"/>
      <c r="AC10" s="32"/>
      <c r="AD10" s="32"/>
    </row>
    <row r="11" spans="1:30" hidden="1">
      <c r="A11" s="64">
        <v>2361</v>
      </c>
      <c r="B11" s="151">
        <v>0.26</v>
      </c>
      <c r="C11" s="160">
        <v>0.70270270270270274</v>
      </c>
      <c r="D11" s="153">
        <v>73076923.076923072</v>
      </c>
      <c r="E11" s="26">
        <f>VLOOKUP(2361,季財報!$A:$H,8,0)</f>
        <v>3</v>
      </c>
      <c r="F11" s="160">
        <v>0.10519166666666668</v>
      </c>
      <c r="G11" s="153">
        <v>0</v>
      </c>
      <c r="H11" s="153">
        <v>204452000</v>
      </c>
      <c r="I11" s="151">
        <v>0</v>
      </c>
      <c r="J11" s="153">
        <v>0</v>
      </c>
      <c r="N11" s="32"/>
      <c r="O11" s="32"/>
      <c r="P11" s="154"/>
      <c r="Q11" s="155"/>
      <c r="R11" s="154"/>
      <c r="S11" s="155"/>
      <c r="T11" s="154"/>
      <c r="U11" s="155"/>
      <c r="V11" s="32"/>
      <c r="W11" s="32"/>
      <c r="X11" s="32"/>
      <c r="Y11" s="32"/>
      <c r="Z11" s="32"/>
      <c r="AA11" s="32"/>
      <c r="AB11" s="32"/>
      <c r="AC11" s="32"/>
      <c r="AD11" s="32"/>
    </row>
    <row r="12" spans="1:30" hidden="1">
      <c r="A12" s="64">
        <v>2429</v>
      </c>
      <c r="B12" s="151">
        <v>-0.45</v>
      </c>
      <c r="C12" s="160">
        <v>1</v>
      </c>
      <c r="D12" s="153">
        <v>35555555.555555552</v>
      </c>
      <c r="E12" s="26">
        <f>VLOOKUP(2429,季財報!$A:$H,8,0)</f>
        <v>3</v>
      </c>
      <c r="F12" s="160">
        <v>9.6416666666666647E-3</v>
      </c>
      <c r="G12" s="153">
        <v>0</v>
      </c>
      <c r="H12" s="153">
        <v>733119000</v>
      </c>
      <c r="I12" s="151">
        <v>0</v>
      </c>
      <c r="J12" s="153">
        <v>0</v>
      </c>
      <c r="N12" s="32"/>
      <c r="O12" s="32"/>
      <c r="P12" s="154"/>
      <c r="Q12" s="155"/>
      <c r="R12" s="154"/>
      <c r="S12" s="155"/>
      <c r="T12" s="154"/>
      <c r="U12" s="155"/>
      <c r="V12" s="32"/>
      <c r="W12" s="32"/>
      <c r="X12" s="32"/>
      <c r="Y12" s="32"/>
      <c r="Z12" s="32"/>
      <c r="AA12" s="32"/>
      <c r="AB12" s="32"/>
      <c r="AC12" s="32"/>
      <c r="AD12" s="32"/>
    </row>
    <row r="13" spans="1:30" hidden="1">
      <c r="A13" s="64">
        <v>2467</v>
      </c>
      <c r="B13" s="151">
        <v>0</v>
      </c>
      <c r="C13" s="160">
        <v>0</v>
      </c>
      <c r="D13" s="153">
        <v>0</v>
      </c>
      <c r="E13" s="26">
        <f>VLOOKUP(2467,季財報!$A:$H,8,0)</f>
        <v>0</v>
      </c>
      <c r="F13" s="160">
        <v>0.16686666666666664</v>
      </c>
      <c r="G13" s="153">
        <v>0</v>
      </c>
      <c r="H13" s="153">
        <v>3449999000</v>
      </c>
      <c r="I13" s="151">
        <v>0</v>
      </c>
      <c r="J13" s="153">
        <v>0</v>
      </c>
      <c r="N13" s="32"/>
      <c r="O13" s="32"/>
      <c r="P13" s="154"/>
      <c r="Q13" s="155"/>
      <c r="R13" s="154"/>
      <c r="S13" s="155"/>
      <c r="T13" s="154"/>
      <c r="U13" s="155"/>
      <c r="V13" s="32"/>
      <c r="W13" s="32"/>
      <c r="X13" s="32"/>
      <c r="Y13" s="32"/>
      <c r="Z13" s="32"/>
      <c r="AA13" s="32"/>
      <c r="AB13" s="32"/>
      <c r="AC13" s="32"/>
      <c r="AD13" s="32"/>
    </row>
    <row r="14" spans="1:30" hidden="1">
      <c r="A14" s="64">
        <v>2611</v>
      </c>
      <c r="B14" s="151">
        <v>0.18</v>
      </c>
      <c r="C14" s="160">
        <v>0</v>
      </c>
      <c r="D14" s="153">
        <v>0</v>
      </c>
      <c r="E14" s="26">
        <f>VLOOKUP(2611,季財報!$A:$H,8,0)</f>
        <v>2</v>
      </c>
      <c r="F14" s="160">
        <v>4.3666666666666689E-3</v>
      </c>
      <c r="G14" s="153">
        <v>0</v>
      </c>
      <c r="H14" s="153">
        <v>1367477000</v>
      </c>
      <c r="I14" s="151">
        <v>0</v>
      </c>
      <c r="J14" s="153">
        <v>0</v>
      </c>
      <c r="N14" s="32"/>
      <c r="O14" s="32"/>
      <c r="P14" s="154"/>
      <c r="Q14" s="155"/>
      <c r="R14" s="154"/>
      <c r="S14" s="155"/>
      <c r="T14" s="154"/>
      <c r="U14" s="155"/>
      <c r="V14" s="32"/>
      <c r="W14" s="32"/>
      <c r="X14" s="32"/>
      <c r="Y14" s="32"/>
      <c r="Z14" s="32"/>
      <c r="AA14" s="32"/>
      <c r="AB14" s="32"/>
      <c r="AC14" s="32"/>
      <c r="AD14" s="32"/>
    </row>
    <row r="15" spans="1:30" hidden="1">
      <c r="A15" s="64">
        <v>2712</v>
      </c>
      <c r="B15" s="151">
        <v>0.43</v>
      </c>
      <c r="C15" s="160">
        <v>0.96825396825396826</v>
      </c>
      <c r="D15" s="153">
        <v>106976744.18604651</v>
      </c>
      <c r="E15" s="26">
        <f>VLOOKUP(2712,季財報!$A:$H,8,0)</f>
        <v>2</v>
      </c>
      <c r="F15" s="160">
        <v>4.7124999999999979E-2</v>
      </c>
      <c r="G15" s="153">
        <v>0</v>
      </c>
      <c r="H15" s="153">
        <v>561367000</v>
      </c>
      <c r="I15" s="151">
        <v>0</v>
      </c>
      <c r="J15" s="153">
        <v>0</v>
      </c>
      <c r="N15" s="32"/>
      <c r="O15" s="32"/>
      <c r="P15" s="154"/>
      <c r="Q15" s="155"/>
      <c r="R15" s="154"/>
      <c r="S15" s="155"/>
      <c r="T15" s="154"/>
      <c r="U15" s="155"/>
      <c r="V15" s="32"/>
      <c r="W15" s="32"/>
      <c r="X15" s="32"/>
      <c r="Y15" s="32"/>
      <c r="Z15" s="32"/>
      <c r="AA15" s="32"/>
      <c r="AB15" s="32"/>
      <c r="AC15" s="32"/>
      <c r="AD15" s="32"/>
    </row>
    <row r="16" spans="1:30" hidden="1">
      <c r="A16" s="64">
        <v>2722</v>
      </c>
      <c r="B16" s="151">
        <v>0.93</v>
      </c>
      <c r="C16" s="160">
        <v>0.9850746268656716</v>
      </c>
      <c r="D16" s="153">
        <v>94623655.913978487</v>
      </c>
      <c r="E16" s="26">
        <f>VLOOKUP(2722,季財報!$A:$H,8,0)</f>
        <v>1</v>
      </c>
      <c r="F16" s="160">
        <v>4.7900000000000019E-2</v>
      </c>
      <c r="G16" s="153">
        <v>0</v>
      </c>
      <c r="H16" s="153">
        <v>728538000</v>
      </c>
      <c r="I16" s="151">
        <v>0</v>
      </c>
      <c r="J16" s="153">
        <v>0</v>
      </c>
      <c r="N16" s="32"/>
      <c r="O16" s="32"/>
      <c r="P16" s="154"/>
      <c r="Q16" s="155"/>
      <c r="R16" s="154"/>
      <c r="S16" s="155"/>
      <c r="T16" s="154"/>
      <c r="U16" s="155"/>
      <c r="V16" s="32"/>
      <c r="W16" s="32"/>
      <c r="X16" s="32"/>
      <c r="Y16" s="32"/>
      <c r="Z16" s="32"/>
      <c r="AA16" s="32"/>
      <c r="AB16" s="32"/>
      <c r="AC16" s="32"/>
      <c r="AD16" s="32"/>
    </row>
    <row r="17" spans="1:30" hidden="1">
      <c r="A17" s="64">
        <v>2734</v>
      </c>
      <c r="B17" s="151">
        <v>-0.34</v>
      </c>
      <c r="C17" s="160">
        <v>0.66666666666666663</v>
      </c>
      <c r="D17" s="153">
        <v>29411764.705882352</v>
      </c>
      <c r="E17" s="26">
        <f>VLOOKUP(2734,季財報!$A:$H,8,0)</f>
        <v>3</v>
      </c>
      <c r="F17" s="160">
        <v>1.55E-2</v>
      </c>
      <c r="G17" s="153">
        <v>0</v>
      </c>
      <c r="H17" s="153">
        <v>1756266000</v>
      </c>
      <c r="I17" s="151">
        <v>0</v>
      </c>
      <c r="J17" s="153">
        <v>0</v>
      </c>
      <c r="N17" s="32"/>
      <c r="O17" s="32"/>
      <c r="P17" s="154"/>
      <c r="Q17" s="155"/>
      <c r="R17" s="154"/>
      <c r="S17" s="155"/>
      <c r="T17" s="154"/>
      <c r="U17" s="155"/>
      <c r="V17" s="32"/>
      <c r="W17" s="32"/>
      <c r="X17" s="32"/>
      <c r="Y17" s="32"/>
      <c r="Z17" s="32"/>
      <c r="AA17" s="32"/>
      <c r="AB17" s="32"/>
      <c r="AC17" s="32"/>
      <c r="AD17" s="32"/>
    </row>
    <row r="18" spans="1:30" hidden="1">
      <c r="A18" s="64">
        <v>2910</v>
      </c>
      <c r="B18" s="151">
        <v>7.0000000000000007E-2</v>
      </c>
      <c r="C18" s="160">
        <v>1</v>
      </c>
      <c r="D18" s="153">
        <v>185714285.7142857</v>
      </c>
      <c r="E18" s="26">
        <f>VLOOKUP(2910,季財報!$A:$H,8,0)</f>
        <v>1</v>
      </c>
      <c r="F18" s="160">
        <v>6.426666666666668E-2</v>
      </c>
      <c r="G18" s="153">
        <v>0</v>
      </c>
      <c r="H18" s="153">
        <v>657309000</v>
      </c>
      <c r="I18" s="151">
        <v>0</v>
      </c>
      <c r="J18" s="153">
        <v>0</v>
      </c>
      <c r="N18" s="32"/>
      <c r="O18" s="32"/>
      <c r="P18" s="154"/>
      <c r="Q18" s="155"/>
      <c r="R18" s="154"/>
      <c r="S18" s="155"/>
      <c r="T18" s="154"/>
      <c r="U18" s="155"/>
      <c r="V18" s="32"/>
      <c r="W18" s="32"/>
      <c r="X18" s="32"/>
      <c r="Y18" s="32"/>
      <c r="Z18" s="32"/>
      <c r="AA18" s="32"/>
      <c r="AB18" s="32"/>
      <c r="AC18" s="32"/>
      <c r="AD18" s="32"/>
    </row>
    <row r="19" spans="1:30" hidden="1">
      <c r="A19" s="64">
        <v>3162</v>
      </c>
      <c r="B19" s="151">
        <v>0.11</v>
      </c>
      <c r="C19" s="160">
        <v>0.75</v>
      </c>
      <c r="D19" s="153">
        <v>54545454.545454547</v>
      </c>
      <c r="E19" s="26">
        <f>VLOOKUP(3162,季財報!$A:$H,8,0)</f>
        <v>2</v>
      </c>
      <c r="F19" s="160">
        <v>-1.6741666666666665E-2</v>
      </c>
      <c r="G19" s="153">
        <v>0</v>
      </c>
      <c r="H19" s="153">
        <v>805175000</v>
      </c>
      <c r="I19" s="151">
        <v>0</v>
      </c>
      <c r="J19" s="153">
        <v>0</v>
      </c>
      <c r="N19" s="32"/>
      <c r="O19" s="32"/>
      <c r="P19" s="154"/>
      <c r="Q19" s="155"/>
      <c r="R19" s="154"/>
      <c r="S19" s="155"/>
      <c r="T19" s="154"/>
      <c r="U19" s="155"/>
      <c r="V19" s="32"/>
      <c r="W19" s="32"/>
      <c r="X19" s="32"/>
      <c r="Y19" s="32"/>
      <c r="Z19" s="32"/>
      <c r="AA19" s="32"/>
      <c r="AB19" s="32"/>
      <c r="AC19" s="32"/>
      <c r="AD19" s="32"/>
    </row>
    <row r="20" spans="1:30" hidden="1">
      <c r="A20" s="64">
        <v>3219</v>
      </c>
      <c r="B20" s="151">
        <v>0.12</v>
      </c>
      <c r="C20" s="160">
        <v>0</v>
      </c>
      <c r="D20" s="153">
        <v>0</v>
      </c>
      <c r="E20" s="26">
        <f>VLOOKUP(3219,季財報!$A:$H,8,0)</f>
        <v>1</v>
      </c>
      <c r="F20" s="160">
        <v>2.287500000000001E-2</v>
      </c>
      <c r="G20" s="153">
        <v>0</v>
      </c>
      <c r="H20" s="153">
        <v>191049000</v>
      </c>
      <c r="I20" s="151">
        <v>0</v>
      </c>
      <c r="J20" s="153">
        <v>0</v>
      </c>
      <c r="N20" s="32"/>
      <c r="O20" s="32"/>
      <c r="P20" s="154"/>
      <c r="Q20" s="155"/>
      <c r="R20" s="154"/>
      <c r="S20" s="155"/>
      <c r="T20" s="154"/>
      <c r="U20" s="155"/>
      <c r="V20" s="32"/>
      <c r="W20" s="32"/>
      <c r="X20" s="32"/>
      <c r="Y20" s="32"/>
      <c r="Z20" s="32"/>
      <c r="AA20" s="32"/>
      <c r="AB20" s="32"/>
      <c r="AC20" s="32"/>
      <c r="AD20" s="32"/>
    </row>
    <row r="21" spans="1:30" hidden="1">
      <c r="A21" s="64">
        <v>3221</v>
      </c>
      <c r="B21" s="151">
        <v>0.57999999999999996</v>
      </c>
      <c r="C21" s="160">
        <v>0</v>
      </c>
      <c r="D21" s="153">
        <v>0</v>
      </c>
      <c r="E21" s="26">
        <f>VLOOKUP(3221,季財報!$A:$H,8,0)</f>
        <v>4</v>
      </c>
      <c r="F21" s="160">
        <v>1.2908333333333339E-2</v>
      </c>
      <c r="G21" s="153">
        <v>0</v>
      </c>
      <c r="H21" s="153">
        <v>1684721000</v>
      </c>
      <c r="I21" s="151">
        <v>0</v>
      </c>
      <c r="J21" s="153">
        <v>0</v>
      </c>
      <c r="N21" s="32"/>
      <c r="O21" s="32"/>
      <c r="P21" s="154"/>
      <c r="Q21" s="155"/>
      <c r="R21" s="154"/>
      <c r="S21" s="155"/>
      <c r="T21" s="154"/>
      <c r="U21" s="155"/>
      <c r="V21" s="32"/>
      <c r="W21" s="32"/>
      <c r="X21" s="32"/>
      <c r="Y21" s="32"/>
      <c r="Z21" s="32"/>
      <c r="AA21" s="32"/>
      <c r="AB21" s="32"/>
      <c r="AC21" s="32"/>
      <c r="AD21" s="32"/>
    </row>
    <row r="22" spans="1:30" hidden="1">
      <c r="A22" s="64">
        <v>3332</v>
      </c>
      <c r="B22" s="151">
        <v>0.84</v>
      </c>
      <c r="C22" s="160">
        <v>0.7</v>
      </c>
      <c r="D22" s="153">
        <v>48809523.809523813</v>
      </c>
      <c r="E22" s="26">
        <f>VLOOKUP(3332,季財報!$A:$H,8,0)</f>
        <v>4</v>
      </c>
      <c r="F22" s="160">
        <v>3.2583333333333332E-2</v>
      </c>
      <c r="G22" s="153">
        <v>0</v>
      </c>
      <c r="H22" s="153">
        <v>1147636000</v>
      </c>
      <c r="I22" s="151">
        <v>0</v>
      </c>
      <c r="J22" s="153">
        <v>0</v>
      </c>
      <c r="N22" s="32"/>
      <c r="O22" s="32"/>
      <c r="P22" s="154"/>
      <c r="Q22" s="155"/>
      <c r="R22" s="154"/>
      <c r="S22" s="155"/>
      <c r="T22" s="154"/>
      <c r="U22" s="155"/>
      <c r="V22" s="32"/>
      <c r="W22" s="32"/>
      <c r="X22" s="32"/>
      <c r="Y22" s="32"/>
      <c r="Z22" s="32"/>
      <c r="AA22" s="32"/>
      <c r="AB22" s="32"/>
      <c r="AC22" s="32"/>
      <c r="AD22" s="32"/>
    </row>
    <row r="23" spans="1:30" hidden="1">
      <c r="A23" s="64">
        <v>3372</v>
      </c>
      <c r="B23" s="151">
        <v>0</v>
      </c>
      <c r="C23" s="160">
        <v>0</v>
      </c>
      <c r="D23" s="153">
        <v>0</v>
      </c>
      <c r="E23" s="26">
        <f>VLOOKUP(3372,季財報!$A:$H,8,0)</f>
        <v>4</v>
      </c>
      <c r="F23" s="160">
        <v>-3.4483333333333338E-2</v>
      </c>
      <c r="G23" s="153">
        <v>0</v>
      </c>
      <c r="H23" s="153">
        <v>1892769000</v>
      </c>
      <c r="I23" s="151">
        <v>0</v>
      </c>
      <c r="J23" s="153">
        <v>0</v>
      </c>
      <c r="N23" s="32"/>
      <c r="O23" s="32"/>
      <c r="P23" s="154"/>
      <c r="Q23" s="155"/>
      <c r="R23" s="154"/>
      <c r="S23" s="155"/>
      <c r="T23" s="154"/>
      <c r="U23" s="155"/>
      <c r="V23" s="32"/>
      <c r="W23" s="32"/>
      <c r="X23" s="32"/>
      <c r="Y23" s="32"/>
      <c r="Z23" s="32"/>
      <c r="AA23" s="32"/>
      <c r="AB23" s="32"/>
      <c r="AC23" s="32"/>
      <c r="AD23" s="32"/>
    </row>
    <row r="24" spans="1:30" hidden="1">
      <c r="A24" s="64">
        <v>3380</v>
      </c>
      <c r="B24" s="151">
        <v>-0.65</v>
      </c>
      <c r="C24" s="160">
        <v>0</v>
      </c>
      <c r="D24" s="153">
        <v>0</v>
      </c>
      <c r="E24" s="26">
        <f>VLOOKUP(3380,季財報!$A:$H,8,0)</f>
        <v>0</v>
      </c>
      <c r="F24" s="160">
        <v>3.1616666666666661E-2</v>
      </c>
      <c r="G24" s="153">
        <v>0</v>
      </c>
      <c r="H24" s="153">
        <v>23737343000</v>
      </c>
      <c r="I24" s="151">
        <v>0</v>
      </c>
      <c r="J24" s="153">
        <v>0</v>
      </c>
      <c r="N24" s="32"/>
      <c r="O24" s="32"/>
      <c r="P24" s="154"/>
      <c r="Q24" s="155"/>
      <c r="R24" s="154"/>
      <c r="S24" s="155"/>
      <c r="T24" s="154"/>
      <c r="U24" s="155"/>
      <c r="V24" s="32"/>
      <c r="W24" s="32"/>
      <c r="X24" s="32"/>
      <c r="Y24" s="32"/>
      <c r="Z24" s="32"/>
      <c r="AA24" s="32"/>
      <c r="AB24" s="32"/>
      <c r="AC24" s="32"/>
      <c r="AD24" s="32"/>
    </row>
    <row r="25" spans="1:30" hidden="1">
      <c r="A25" s="64">
        <v>3444</v>
      </c>
      <c r="B25" s="151">
        <v>0.32</v>
      </c>
      <c r="C25" s="160">
        <v>0.5</v>
      </c>
      <c r="D25" s="153">
        <v>40625000</v>
      </c>
      <c r="E25" s="26">
        <f>VLOOKUP(3444,季財報!$A:$H,8,0)</f>
        <v>1</v>
      </c>
      <c r="F25" s="160">
        <v>-5.4833333333333331E-3</v>
      </c>
      <c r="G25" s="153">
        <v>0</v>
      </c>
      <c r="H25" s="153">
        <v>993445000</v>
      </c>
      <c r="I25" s="151">
        <v>0</v>
      </c>
      <c r="J25" s="153">
        <v>0</v>
      </c>
      <c r="N25" s="32"/>
      <c r="O25" s="32"/>
      <c r="P25" s="154"/>
      <c r="Q25" s="155"/>
      <c r="R25" s="154"/>
      <c r="S25" s="155"/>
      <c r="T25" s="154"/>
      <c r="U25" s="155"/>
      <c r="V25" s="32"/>
      <c r="W25" s="32"/>
      <c r="X25" s="32"/>
      <c r="Y25" s="32"/>
      <c r="Z25" s="32"/>
      <c r="AA25" s="32"/>
      <c r="AB25" s="32"/>
      <c r="AC25" s="32"/>
      <c r="AD25" s="32"/>
    </row>
    <row r="26" spans="1:30" hidden="1">
      <c r="A26" s="64">
        <v>3466</v>
      </c>
      <c r="B26" s="151">
        <v>0.32</v>
      </c>
      <c r="C26" s="160">
        <v>0</v>
      </c>
      <c r="D26" s="153">
        <v>81250000</v>
      </c>
      <c r="E26" s="26">
        <f>VLOOKUP(3466,季財報!$A:$H,8,0)</f>
        <v>2</v>
      </c>
      <c r="F26" s="160">
        <v>0.10055833333333335</v>
      </c>
      <c r="G26" s="153">
        <v>0</v>
      </c>
      <c r="H26" s="153">
        <v>1676865000</v>
      </c>
      <c r="I26" s="151">
        <v>0</v>
      </c>
      <c r="J26" s="153">
        <v>0</v>
      </c>
      <c r="N26" s="32"/>
      <c r="O26" s="32"/>
      <c r="P26" s="154"/>
      <c r="Q26" s="155"/>
      <c r="R26" s="154"/>
      <c r="S26" s="155"/>
      <c r="T26" s="154"/>
      <c r="U26" s="155"/>
      <c r="V26" s="32"/>
      <c r="W26" s="32"/>
      <c r="X26" s="32"/>
      <c r="Y26" s="32"/>
      <c r="Z26" s="32"/>
      <c r="AA26" s="32"/>
      <c r="AB26" s="32"/>
      <c r="AC26" s="32"/>
      <c r="AD26" s="32"/>
    </row>
    <row r="27" spans="1:30" hidden="1">
      <c r="A27" s="64">
        <v>3499</v>
      </c>
      <c r="B27" s="151">
        <v>0.3</v>
      </c>
      <c r="C27" s="160">
        <v>0</v>
      </c>
      <c r="D27" s="153">
        <v>0</v>
      </c>
      <c r="E27" s="26">
        <f>VLOOKUP(3499,季財報!$A:$H,8,0)</f>
        <v>5</v>
      </c>
      <c r="F27" s="160">
        <v>6.0108333333333326E-2</v>
      </c>
      <c r="G27" s="153">
        <v>0</v>
      </c>
      <c r="H27" s="153">
        <v>619683000</v>
      </c>
      <c r="I27" s="151">
        <v>0</v>
      </c>
      <c r="J27" s="153">
        <v>0</v>
      </c>
      <c r="N27" s="32"/>
      <c r="O27" s="32"/>
      <c r="P27" s="154"/>
      <c r="Q27" s="155"/>
      <c r="R27" s="154"/>
      <c r="S27" s="155"/>
      <c r="T27" s="154"/>
      <c r="U27" s="155"/>
      <c r="V27" s="32"/>
      <c r="W27" s="32"/>
      <c r="X27" s="32"/>
      <c r="Y27" s="32"/>
      <c r="Z27" s="32"/>
      <c r="AA27" s="32"/>
      <c r="AB27" s="32"/>
      <c r="AC27" s="32"/>
      <c r="AD27" s="32"/>
    </row>
    <row r="28" spans="1:30" hidden="1">
      <c r="A28" s="64">
        <v>3629</v>
      </c>
      <c r="B28" s="151">
        <v>-1.38</v>
      </c>
      <c r="C28" s="160">
        <v>0.9375</v>
      </c>
      <c r="D28" s="153">
        <v>14492753.623188406</v>
      </c>
      <c r="E28" s="26">
        <f>VLOOKUP(3629,季財報!$A:$H,8,0)</f>
        <v>2</v>
      </c>
      <c r="F28" s="160">
        <v>7.8791666666666663E-2</v>
      </c>
      <c r="G28" s="153">
        <v>0</v>
      </c>
      <c r="H28" s="153">
        <v>104904000</v>
      </c>
      <c r="I28" s="151">
        <v>0</v>
      </c>
      <c r="J28" s="153">
        <v>0</v>
      </c>
      <c r="N28" s="32"/>
      <c r="O28" s="32"/>
      <c r="P28" s="154"/>
      <c r="Q28" s="155"/>
      <c r="R28" s="154"/>
      <c r="S28" s="155"/>
      <c r="T28" s="154"/>
      <c r="U28" s="155"/>
      <c r="V28" s="32"/>
      <c r="W28" s="32"/>
      <c r="X28" s="32"/>
      <c r="Y28" s="32"/>
      <c r="Z28" s="32"/>
      <c r="AA28" s="32"/>
      <c r="AB28" s="32"/>
      <c r="AC28" s="32"/>
      <c r="AD28" s="32"/>
    </row>
    <row r="29" spans="1:30" hidden="1">
      <c r="A29" s="64">
        <v>4174</v>
      </c>
      <c r="B29" s="52">
        <v>-0.79</v>
      </c>
      <c r="C29" s="161">
        <v>1</v>
      </c>
      <c r="D29" s="158">
        <v>169620253.16455695</v>
      </c>
      <c r="E29" s="26">
        <f>VLOOKUP(4174,季財報!$A:$H,8,0)</f>
        <v>1</v>
      </c>
      <c r="F29" s="161">
        <v>0</v>
      </c>
      <c r="G29" s="54">
        <v>93460759493.670883</v>
      </c>
      <c r="H29" s="54">
        <v>0</v>
      </c>
      <c r="I29" s="65">
        <v>0</v>
      </c>
      <c r="J29" s="163">
        <v>0</v>
      </c>
      <c r="N29" s="32"/>
      <c r="O29" s="32"/>
      <c r="P29" s="154"/>
      <c r="Q29" s="155"/>
      <c r="R29" s="154"/>
      <c r="S29" s="155"/>
      <c r="T29" s="154"/>
      <c r="U29" s="155"/>
      <c r="V29" s="32"/>
      <c r="W29" s="32"/>
      <c r="X29" s="32"/>
      <c r="Y29" s="32"/>
      <c r="Z29" s="32"/>
      <c r="AA29" s="32"/>
      <c r="AB29" s="32"/>
      <c r="AC29" s="32"/>
      <c r="AD29" s="32"/>
    </row>
    <row r="30" spans="1:30" hidden="1">
      <c r="A30" s="64">
        <v>4406</v>
      </c>
      <c r="B30" s="52">
        <v>0</v>
      </c>
      <c r="C30" s="161">
        <v>0</v>
      </c>
      <c r="D30" s="158">
        <v>0</v>
      </c>
      <c r="E30" s="26">
        <f>VLOOKUP(4406,季財報!$A:$H,8,0)</f>
        <v>1</v>
      </c>
      <c r="F30" s="161">
        <v>4.2083333333333348E-3</v>
      </c>
      <c r="G30" s="54">
        <v>0</v>
      </c>
      <c r="H30" s="54">
        <v>766383000</v>
      </c>
      <c r="I30" s="65">
        <v>0</v>
      </c>
      <c r="J30" s="163">
        <v>0</v>
      </c>
      <c r="N30" s="32"/>
      <c r="O30" s="32"/>
      <c r="P30" s="154"/>
      <c r="Q30" s="155"/>
      <c r="R30" s="154"/>
      <c r="S30" s="155"/>
      <c r="T30" s="154"/>
      <c r="U30" s="155"/>
      <c r="V30" s="32"/>
      <c r="W30" s="32"/>
      <c r="X30" s="32"/>
      <c r="Y30" s="32"/>
      <c r="Z30" s="32"/>
      <c r="AA30" s="32"/>
      <c r="AB30" s="32"/>
      <c r="AC30" s="32"/>
      <c r="AD30" s="32"/>
    </row>
    <row r="31" spans="1:30" hidden="1">
      <c r="A31" s="64">
        <v>4413</v>
      </c>
      <c r="B31" s="52">
        <v>0.4</v>
      </c>
      <c r="C31" s="161">
        <v>0</v>
      </c>
      <c r="D31" s="158">
        <v>0</v>
      </c>
      <c r="E31" s="26">
        <f>VLOOKUP(4413,季財報!$A:$H,8,0)</f>
        <v>4</v>
      </c>
      <c r="F31" s="161">
        <v>0.4035583333333333</v>
      </c>
      <c r="G31" s="54">
        <v>0</v>
      </c>
      <c r="H31" s="54">
        <v>204404000</v>
      </c>
      <c r="I31" s="65">
        <v>0</v>
      </c>
      <c r="J31" s="163">
        <v>0</v>
      </c>
      <c r="N31" s="32"/>
      <c r="O31" s="32"/>
      <c r="P31" s="154"/>
      <c r="Q31" s="155"/>
      <c r="R31" s="154"/>
      <c r="S31" s="155"/>
      <c r="T31" s="154"/>
      <c r="U31" s="155"/>
      <c r="V31" s="32"/>
      <c r="W31" s="32"/>
      <c r="X31" s="32"/>
      <c r="Y31" s="32"/>
      <c r="Z31" s="32"/>
      <c r="AA31" s="32"/>
      <c r="AB31" s="32"/>
      <c r="AC31" s="32"/>
      <c r="AD31" s="32"/>
    </row>
    <row r="32" spans="1:30" hidden="1">
      <c r="A32" s="64">
        <v>4416</v>
      </c>
      <c r="B32" s="52">
        <v>-0.03</v>
      </c>
      <c r="C32" s="161">
        <v>1</v>
      </c>
      <c r="D32" s="158">
        <v>66666666.666666672</v>
      </c>
      <c r="E32" s="26">
        <f>VLOOKUP(4416,季財報!$A:$H,8,0)</f>
        <v>0</v>
      </c>
      <c r="F32" s="161">
        <v>12.922166666666664</v>
      </c>
      <c r="G32" s="54">
        <v>0</v>
      </c>
      <c r="H32" s="54">
        <v>1822587000</v>
      </c>
      <c r="I32" s="65">
        <v>0</v>
      </c>
      <c r="J32" s="163">
        <v>0</v>
      </c>
      <c r="N32" s="32"/>
      <c r="O32" s="32"/>
      <c r="P32" s="154"/>
      <c r="Q32" s="155"/>
      <c r="R32" s="154"/>
      <c r="S32" s="155"/>
      <c r="T32" s="154"/>
      <c r="U32" s="155"/>
      <c r="V32" s="32"/>
      <c r="W32" s="32"/>
      <c r="X32" s="32"/>
      <c r="Y32" s="32"/>
      <c r="Z32" s="32"/>
      <c r="AA32" s="32"/>
      <c r="AB32" s="32"/>
      <c r="AC32" s="32"/>
      <c r="AD32" s="32"/>
    </row>
    <row r="33" spans="1:30" hidden="1">
      <c r="A33" s="64">
        <v>4930</v>
      </c>
      <c r="B33" s="52">
        <v>0</v>
      </c>
      <c r="C33" s="161">
        <v>0</v>
      </c>
      <c r="D33" s="158">
        <v>0</v>
      </c>
      <c r="E33" s="26">
        <f>VLOOKUP(4930,季財報!$A:$H,8,0)</f>
        <v>3</v>
      </c>
      <c r="F33" s="161">
        <v>1.1958333333333329E-2</v>
      </c>
      <c r="G33" s="54">
        <v>0</v>
      </c>
      <c r="H33" s="54">
        <v>14135817000</v>
      </c>
      <c r="I33" s="65">
        <v>0</v>
      </c>
      <c r="J33" s="163">
        <v>0</v>
      </c>
      <c r="N33" s="32"/>
      <c r="O33" s="32"/>
      <c r="P33" s="154"/>
      <c r="Q33" s="155"/>
      <c r="R33" s="154"/>
      <c r="S33" s="155"/>
      <c r="T33" s="154"/>
      <c r="U33" s="155"/>
      <c r="V33" s="32"/>
      <c r="W33" s="32"/>
      <c r="X33" s="32"/>
      <c r="Y33" s="32"/>
      <c r="Z33" s="32"/>
      <c r="AA33" s="32"/>
      <c r="AB33" s="32"/>
      <c r="AC33" s="32"/>
      <c r="AD33" s="32"/>
    </row>
    <row r="34" spans="1:30" hidden="1">
      <c r="A34" s="64">
        <v>5205</v>
      </c>
      <c r="B34" s="52">
        <v>-0.2</v>
      </c>
      <c r="C34" s="161">
        <v>1</v>
      </c>
      <c r="D34" s="158">
        <v>15000000</v>
      </c>
      <c r="E34" s="26">
        <f>VLOOKUP(5205,季財報!$A:$H,8,0)</f>
        <v>0</v>
      </c>
      <c r="F34" s="161">
        <v>1.8261083333333332</v>
      </c>
      <c r="G34" s="54">
        <v>0</v>
      </c>
      <c r="H34" s="54">
        <v>3108000</v>
      </c>
      <c r="I34" s="65">
        <v>0</v>
      </c>
      <c r="J34" s="163">
        <v>0</v>
      </c>
      <c r="N34" s="32"/>
      <c r="O34" s="32"/>
      <c r="P34" s="154"/>
      <c r="Q34" s="155"/>
      <c r="R34" s="154"/>
      <c r="S34" s="155"/>
      <c r="T34" s="154"/>
      <c r="U34" s="155"/>
      <c r="V34" s="32"/>
      <c r="W34" s="32"/>
      <c r="X34" s="32"/>
      <c r="Y34" s="32"/>
      <c r="Z34" s="32"/>
      <c r="AA34" s="32"/>
      <c r="AB34" s="32"/>
      <c r="AC34" s="32"/>
      <c r="AD34" s="32"/>
    </row>
    <row r="35" spans="1:30" hidden="1">
      <c r="A35" s="64">
        <v>5251</v>
      </c>
      <c r="B35" s="52">
        <v>0.56000000000000005</v>
      </c>
      <c r="C35" s="161">
        <v>0</v>
      </c>
      <c r="D35" s="158">
        <v>30357142.857142854</v>
      </c>
      <c r="E35" s="26">
        <f>VLOOKUP(5251,季財報!$A:$H,8,0)</f>
        <v>2</v>
      </c>
      <c r="F35" s="161">
        <v>2.6941666666666659E-2</v>
      </c>
      <c r="G35" s="54">
        <v>0</v>
      </c>
      <c r="H35" s="54">
        <v>676288000</v>
      </c>
      <c r="I35" s="65">
        <v>0</v>
      </c>
      <c r="J35" s="163">
        <v>0</v>
      </c>
      <c r="N35" s="32"/>
      <c r="O35" s="32"/>
      <c r="P35" s="154"/>
      <c r="Q35" s="155"/>
      <c r="R35" s="154"/>
      <c r="S35" s="155"/>
      <c r="T35" s="154"/>
      <c r="U35" s="155"/>
      <c r="V35" s="32"/>
      <c r="W35" s="32"/>
      <c r="X35" s="32"/>
      <c r="Y35" s="32"/>
      <c r="Z35" s="32"/>
      <c r="AA35" s="32"/>
      <c r="AB35" s="32"/>
      <c r="AC35" s="32"/>
      <c r="AD35" s="32"/>
    </row>
    <row r="36" spans="1:30" hidden="1">
      <c r="A36" s="64">
        <v>5348</v>
      </c>
      <c r="B36" s="52">
        <v>0.11</v>
      </c>
      <c r="C36" s="161">
        <v>1</v>
      </c>
      <c r="D36" s="158">
        <v>27272727.272727273</v>
      </c>
      <c r="E36" s="26">
        <f>VLOOKUP(5348,季財報!$A:$H,8,0)</f>
        <v>5</v>
      </c>
      <c r="F36" s="161">
        <v>0.11885833333333333</v>
      </c>
      <c r="G36" s="54">
        <v>0</v>
      </c>
      <c r="H36" s="54">
        <v>212490000</v>
      </c>
      <c r="I36" s="65">
        <v>0</v>
      </c>
      <c r="J36" s="163">
        <v>0</v>
      </c>
      <c r="N36" s="32"/>
      <c r="O36" s="32"/>
      <c r="P36" s="154"/>
      <c r="Q36" s="155"/>
      <c r="R36" s="154"/>
      <c r="S36" s="155"/>
      <c r="T36" s="154"/>
      <c r="U36" s="155"/>
      <c r="V36" s="32"/>
      <c r="W36" s="32"/>
      <c r="X36" s="32"/>
      <c r="Y36" s="32"/>
      <c r="Z36" s="32"/>
      <c r="AA36" s="32"/>
      <c r="AB36" s="32"/>
      <c r="AC36" s="32"/>
      <c r="AD36" s="32"/>
    </row>
    <row r="37" spans="1:30" hidden="1">
      <c r="A37" s="64">
        <v>5364</v>
      </c>
      <c r="B37" s="52">
        <v>0.21</v>
      </c>
      <c r="C37" s="161">
        <v>0.5</v>
      </c>
      <c r="D37" s="158">
        <v>9523809.5238095243</v>
      </c>
      <c r="E37" s="26">
        <f>VLOOKUP(5364,季財報!$A:$H,8,0)</f>
        <v>3</v>
      </c>
      <c r="F37" s="161">
        <v>0.12008333333333333</v>
      </c>
      <c r="G37" s="54">
        <v>0</v>
      </c>
      <c r="H37" s="54">
        <v>387395000</v>
      </c>
      <c r="I37" s="65">
        <v>0</v>
      </c>
      <c r="J37" s="163">
        <v>0</v>
      </c>
      <c r="N37" s="32"/>
      <c r="O37" s="32"/>
      <c r="P37" s="154"/>
      <c r="Q37" s="155"/>
      <c r="R37" s="154"/>
      <c r="S37" s="155"/>
      <c r="T37" s="154"/>
      <c r="U37" s="155"/>
      <c r="V37" s="32"/>
      <c r="W37" s="32"/>
      <c r="X37" s="32"/>
      <c r="Y37" s="32"/>
      <c r="Z37" s="32"/>
      <c r="AA37" s="32"/>
      <c r="AB37" s="32"/>
      <c r="AC37" s="32"/>
      <c r="AD37" s="32"/>
    </row>
    <row r="38" spans="1:30" hidden="1">
      <c r="A38" s="64">
        <v>5426</v>
      </c>
      <c r="B38" s="52">
        <v>0.27</v>
      </c>
      <c r="C38" s="161">
        <v>0</v>
      </c>
      <c r="D38" s="158">
        <v>0</v>
      </c>
      <c r="E38" s="26">
        <f>VLOOKUP(5426,季財報!$A:$H,8,0)</f>
        <v>2</v>
      </c>
      <c r="F38" s="161">
        <v>-1.1999999999999997E-3</v>
      </c>
      <c r="G38" s="54">
        <v>0</v>
      </c>
      <c r="H38" s="54">
        <v>1646138000</v>
      </c>
      <c r="I38" s="65">
        <v>0</v>
      </c>
      <c r="J38" s="163">
        <v>0</v>
      </c>
      <c r="N38" s="32"/>
      <c r="O38" s="32"/>
      <c r="P38" s="154"/>
      <c r="Q38" s="155"/>
      <c r="R38" s="154"/>
      <c r="S38" s="155"/>
      <c r="T38" s="154"/>
      <c r="U38" s="155"/>
      <c r="V38" s="32"/>
      <c r="W38" s="32"/>
      <c r="X38" s="32"/>
      <c r="Y38" s="32"/>
      <c r="Z38" s="32"/>
      <c r="AA38" s="32"/>
      <c r="AB38" s="32"/>
      <c r="AC38" s="32"/>
      <c r="AD38" s="32"/>
    </row>
    <row r="39" spans="1:30" hidden="1">
      <c r="A39" s="64">
        <v>5878</v>
      </c>
      <c r="B39" s="52">
        <v>1.05</v>
      </c>
      <c r="C39" s="161">
        <v>0.70270270270270274</v>
      </c>
      <c r="D39" s="158">
        <v>23809523.80952381</v>
      </c>
      <c r="E39" s="26">
        <f>VLOOKUP(5878,季財報!$A:$H,8,0)</f>
        <v>1</v>
      </c>
      <c r="F39" s="161">
        <v>7.8774999999999998E-2</v>
      </c>
      <c r="G39" s="54">
        <v>0</v>
      </c>
      <c r="H39" s="54">
        <v>580110000</v>
      </c>
      <c r="I39" s="65">
        <v>0</v>
      </c>
      <c r="J39" s="163">
        <v>0</v>
      </c>
      <c r="N39" s="32"/>
      <c r="O39" s="32"/>
      <c r="P39" s="154"/>
      <c r="Q39" s="155"/>
      <c r="R39" s="154"/>
      <c r="S39" s="155"/>
      <c r="T39" s="154"/>
      <c r="U39" s="155"/>
      <c r="V39" s="32"/>
      <c r="W39" s="32"/>
      <c r="X39" s="32"/>
      <c r="Y39" s="32"/>
      <c r="Z39" s="32"/>
      <c r="AA39" s="32"/>
      <c r="AB39" s="32"/>
      <c r="AC39" s="32"/>
      <c r="AD39" s="32"/>
    </row>
    <row r="40" spans="1:30" hidden="1">
      <c r="A40" s="64">
        <v>6130</v>
      </c>
      <c r="B40" s="52">
        <v>-0.28999999999999998</v>
      </c>
      <c r="C40" s="161">
        <v>0</v>
      </c>
      <c r="D40" s="158">
        <v>0</v>
      </c>
      <c r="E40" s="26">
        <f>VLOOKUP(6130,季財報!$A:$H,8,0)</f>
        <v>2</v>
      </c>
      <c r="F40" s="161">
        <v>-1.5491666666666673E-2</v>
      </c>
      <c r="G40" s="54">
        <v>0</v>
      </c>
      <c r="H40" s="54">
        <v>254079000</v>
      </c>
      <c r="I40" s="65">
        <v>0</v>
      </c>
      <c r="J40" s="163">
        <v>0</v>
      </c>
      <c r="N40" s="32"/>
      <c r="O40" s="32"/>
      <c r="P40" s="154"/>
      <c r="Q40" s="155"/>
      <c r="R40" s="154"/>
      <c r="S40" s="155"/>
      <c r="T40" s="154"/>
      <c r="U40" s="155"/>
      <c r="V40" s="32"/>
      <c r="W40" s="32"/>
      <c r="X40" s="32"/>
      <c r="Y40" s="32"/>
      <c r="Z40" s="32"/>
      <c r="AA40" s="32"/>
      <c r="AB40" s="32"/>
      <c r="AC40" s="32"/>
      <c r="AD40" s="32"/>
    </row>
    <row r="41" spans="1:30" hidden="1">
      <c r="A41" s="64">
        <v>6140</v>
      </c>
      <c r="B41" s="52">
        <v>0.12</v>
      </c>
      <c r="C41" s="161">
        <v>0</v>
      </c>
      <c r="D41" s="158">
        <v>41666666.666666672</v>
      </c>
      <c r="E41" s="26">
        <f>VLOOKUP(6140,季財報!$A:$H,8,0)</f>
        <v>2</v>
      </c>
      <c r="F41" s="161">
        <v>8.3141666666666683E-2</v>
      </c>
      <c r="G41" s="54">
        <v>0</v>
      </c>
      <c r="H41" s="54">
        <v>1382127000</v>
      </c>
      <c r="I41" s="65">
        <v>0</v>
      </c>
      <c r="J41" s="163">
        <v>0</v>
      </c>
      <c r="N41" s="32"/>
      <c r="O41" s="32"/>
      <c r="P41" s="154"/>
      <c r="Q41" s="155"/>
      <c r="R41" s="154"/>
      <c r="S41" s="155"/>
      <c r="T41" s="154"/>
      <c r="U41" s="155"/>
      <c r="V41" s="32"/>
      <c r="W41" s="32"/>
      <c r="X41" s="32"/>
      <c r="Y41" s="32"/>
      <c r="Z41" s="32"/>
      <c r="AA41" s="32"/>
      <c r="AB41" s="32"/>
      <c r="AC41" s="32"/>
      <c r="AD41" s="32"/>
    </row>
    <row r="42" spans="1:30" hidden="1">
      <c r="A42" s="64">
        <v>6144</v>
      </c>
      <c r="B42" s="52">
        <v>-0.06</v>
      </c>
      <c r="C42" s="161">
        <v>0.8571428571428571</v>
      </c>
      <c r="D42" s="158">
        <v>66666666.666666672</v>
      </c>
      <c r="E42" s="26">
        <f>VLOOKUP(6144,季財報!$A:$H,8,0)</f>
        <v>2</v>
      </c>
      <c r="F42" s="161">
        <v>2.9541666666666678E-2</v>
      </c>
      <c r="G42" s="54">
        <v>0</v>
      </c>
      <c r="H42" s="54">
        <v>789336000</v>
      </c>
      <c r="I42" s="65">
        <v>0</v>
      </c>
      <c r="J42" s="163">
        <v>0</v>
      </c>
      <c r="N42" s="32"/>
      <c r="O42" s="32"/>
      <c r="P42" s="154"/>
      <c r="Q42" s="155"/>
      <c r="R42" s="154"/>
      <c r="S42" s="155"/>
      <c r="T42" s="154"/>
      <c r="U42" s="155"/>
      <c r="V42" s="32"/>
      <c r="W42" s="32"/>
      <c r="X42" s="32"/>
      <c r="Y42" s="32"/>
      <c r="Z42" s="32"/>
      <c r="AA42" s="32"/>
      <c r="AB42" s="32"/>
      <c r="AC42" s="32"/>
      <c r="AD42" s="32"/>
    </row>
    <row r="43" spans="1:30" hidden="1">
      <c r="A43" s="64">
        <v>6199</v>
      </c>
      <c r="B43" s="52">
        <v>-0.05</v>
      </c>
      <c r="C43" s="161">
        <v>0</v>
      </c>
      <c r="D43" s="158">
        <v>60000000</v>
      </c>
      <c r="E43" s="26">
        <f>VLOOKUP(6199,季財報!$A:$H,8,0)</f>
        <v>2</v>
      </c>
      <c r="F43" s="161">
        <v>-3.1249999999999997E-2</v>
      </c>
      <c r="G43" s="54">
        <v>0</v>
      </c>
      <c r="H43" s="54">
        <v>77762000</v>
      </c>
      <c r="I43" s="65">
        <v>0</v>
      </c>
      <c r="J43" s="163">
        <v>0</v>
      </c>
      <c r="N43" s="32"/>
      <c r="O43" s="32"/>
      <c r="P43" s="154"/>
      <c r="Q43" s="155"/>
      <c r="R43" s="154"/>
      <c r="S43" s="155"/>
      <c r="T43" s="154"/>
      <c r="U43" s="155"/>
      <c r="V43" s="32"/>
      <c r="W43" s="32"/>
      <c r="X43" s="32"/>
      <c r="Y43" s="32"/>
      <c r="Z43" s="32"/>
      <c r="AA43" s="32"/>
      <c r="AB43" s="32"/>
      <c r="AC43" s="32"/>
      <c r="AD43" s="32"/>
    </row>
    <row r="44" spans="1:30" hidden="1">
      <c r="A44" s="64">
        <v>6211</v>
      </c>
      <c r="B44" s="52">
        <v>0.72</v>
      </c>
      <c r="C44" s="161">
        <v>0</v>
      </c>
      <c r="D44" s="158">
        <v>0</v>
      </c>
      <c r="E44" s="26">
        <f>VLOOKUP(6211,季財報!$A:$H,8,0)</f>
        <v>4</v>
      </c>
      <c r="F44" s="161">
        <v>2.2258333333333335E-2</v>
      </c>
      <c r="G44" s="54">
        <v>0</v>
      </c>
      <c r="H44" s="54">
        <v>298036000</v>
      </c>
      <c r="I44" s="65">
        <v>0</v>
      </c>
      <c r="J44" s="163">
        <v>0</v>
      </c>
      <c r="N44" s="32"/>
      <c r="O44" s="32"/>
      <c r="P44" s="154"/>
      <c r="Q44" s="155"/>
      <c r="R44" s="32"/>
      <c r="S44" s="32"/>
      <c r="T44" s="154"/>
      <c r="U44" s="32"/>
      <c r="V44" s="32"/>
      <c r="W44" s="32"/>
      <c r="X44" s="32"/>
      <c r="Y44" s="32"/>
      <c r="Z44" s="32"/>
      <c r="AA44" s="32"/>
      <c r="AB44" s="32"/>
      <c r="AC44" s="32"/>
      <c r="AD44" s="32"/>
    </row>
    <row r="45" spans="1:30" hidden="1">
      <c r="A45" s="64">
        <v>6218</v>
      </c>
      <c r="B45" s="52">
        <v>0.67</v>
      </c>
      <c r="C45" s="161">
        <v>0</v>
      </c>
      <c r="D45" s="158">
        <v>0</v>
      </c>
      <c r="E45" s="26">
        <f>VLOOKUP(6218,季財報!$A:$H,8,0)</f>
        <v>2</v>
      </c>
      <c r="F45" s="161">
        <v>2.9558333333333336E-2</v>
      </c>
      <c r="G45" s="54">
        <v>0</v>
      </c>
      <c r="H45" s="54">
        <v>1023067000</v>
      </c>
      <c r="I45" s="65">
        <v>0</v>
      </c>
      <c r="J45" s="163">
        <v>0</v>
      </c>
      <c r="N45" s="32"/>
      <c r="O45" s="32"/>
      <c r="P45" s="154"/>
      <c r="Q45" s="155"/>
      <c r="R45" s="32"/>
      <c r="S45" s="32"/>
      <c r="T45" s="154"/>
      <c r="U45" s="32"/>
      <c r="V45" s="32"/>
      <c r="W45" s="32"/>
      <c r="X45" s="32"/>
      <c r="Y45" s="32"/>
      <c r="Z45" s="32"/>
      <c r="AA45" s="32"/>
      <c r="AB45" s="32"/>
      <c r="AC45" s="32"/>
      <c r="AD45" s="32"/>
    </row>
    <row r="46" spans="1:30" hidden="1">
      <c r="A46" s="64">
        <v>6229</v>
      </c>
      <c r="B46" s="52">
        <v>0.19</v>
      </c>
      <c r="C46" s="161">
        <v>0</v>
      </c>
      <c r="D46" s="158">
        <v>0</v>
      </c>
      <c r="E46" s="26">
        <f>VLOOKUP(6229,季財報!$A:$H,8,0)</f>
        <v>5</v>
      </c>
      <c r="F46" s="161">
        <v>6.2241666666666688E-2</v>
      </c>
      <c r="G46" s="54">
        <v>0</v>
      </c>
      <c r="H46" s="54">
        <v>883081000</v>
      </c>
      <c r="I46" s="65">
        <v>0</v>
      </c>
      <c r="J46" s="163">
        <v>0</v>
      </c>
      <c r="N46" s="32"/>
      <c r="O46" s="32"/>
      <c r="P46" s="154"/>
      <c r="Q46" s="155"/>
      <c r="R46" s="32"/>
      <c r="S46" s="32"/>
      <c r="T46" s="154"/>
      <c r="U46" s="32"/>
      <c r="V46" s="32"/>
      <c r="W46" s="32"/>
      <c r="X46" s="32"/>
      <c r="Y46" s="32"/>
      <c r="Z46" s="32"/>
      <c r="AA46" s="32"/>
      <c r="AB46" s="32"/>
      <c r="AC46" s="32"/>
      <c r="AD46" s="32"/>
    </row>
    <row r="47" spans="1:30" hidden="1">
      <c r="A47" s="64">
        <v>6240</v>
      </c>
      <c r="B47" s="52">
        <v>1.33</v>
      </c>
      <c r="C47" s="161">
        <v>0.7</v>
      </c>
      <c r="D47" s="158">
        <v>23308270.67669173</v>
      </c>
      <c r="E47" s="26">
        <f>VLOOKUP(6240,季財報!$A:$H,8,0)</f>
        <v>2</v>
      </c>
      <c r="F47" s="161">
        <v>4.1466666666666659E-2</v>
      </c>
      <c r="G47" s="54">
        <v>0</v>
      </c>
      <c r="H47" s="54">
        <v>241154000</v>
      </c>
      <c r="I47" s="65">
        <v>0</v>
      </c>
      <c r="J47" s="163">
        <v>0</v>
      </c>
      <c r="N47" s="32"/>
      <c r="O47" s="32"/>
      <c r="P47" s="154"/>
      <c r="Q47" s="155"/>
      <c r="R47" s="32"/>
      <c r="S47" s="32"/>
      <c r="T47" s="154"/>
      <c r="U47" s="32"/>
      <c r="V47" s="32"/>
      <c r="W47" s="32"/>
      <c r="X47" s="32"/>
      <c r="Y47" s="32"/>
      <c r="Z47" s="32"/>
      <c r="AA47" s="32"/>
      <c r="AB47" s="32"/>
      <c r="AC47" s="32"/>
      <c r="AD47" s="32"/>
    </row>
    <row r="48" spans="1:30" hidden="1">
      <c r="A48" s="64">
        <v>6242</v>
      </c>
      <c r="B48" s="52">
        <v>0.38</v>
      </c>
      <c r="C48" s="161">
        <v>0.9642857142857143</v>
      </c>
      <c r="D48" s="158">
        <v>21052631.578947369</v>
      </c>
      <c r="E48" s="26">
        <f>VLOOKUP(6242,季財報!$A:$H,8,0)</f>
        <v>1</v>
      </c>
      <c r="F48" s="161">
        <v>7.4650000000000008E-2</v>
      </c>
      <c r="G48" s="54">
        <v>0</v>
      </c>
      <c r="H48" s="54">
        <v>446380000</v>
      </c>
      <c r="I48" s="65">
        <v>0</v>
      </c>
      <c r="J48" s="163">
        <v>0</v>
      </c>
      <c r="N48" s="32"/>
      <c r="O48" s="32"/>
      <c r="P48" s="154"/>
      <c r="Q48" s="155"/>
      <c r="R48" s="32"/>
      <c r="S48" s="32"/>
      <c r="T48" s="154"/>
      <c r="U48" s="32"/>
      <c r="V48" s="32"/>
      <c r="W48" s="32"/>
      <c r="X48" s="32"/>
      <c r="Y48" s="32"/>
      <c r="Z48" s="32"/>
      <c r="AA48" s="32"/>
      <c r="AB48" s="32"/>
      <c r="AC48" s="32"/>
      <c r="AD48" s="32"/>
    </row>
    <row r="49" spans="1:30" hidden="1">
      <c r="A49" s="64">
        <v>6250</v>
      </c>
      <c r="B49" s="52">
        <v>-2.48</v>
      </c>
      <c r="C49" s="161">
        <v>0.97826086956521741</v>
      </c>
      <c r="D49" s="158">
        <v>18145161.290322579</v>
      </c>
      <c r="E49" s="26">
        <f>VLOOKUP(6250,季財報!$A:$H,8,0)</f>
        <v>0</v>
      </c>
      <c r="F49" s="161">
        <v>0.59587500000000004</v>
      </c>
      <c r="G49" s="54">
        <v>0</v>
      </c>
      <c r="H49" s="54">
        <v>135458000</v>
      </c>
      <c r="I49" s="65">
        <v>0</v>
      </c>
      <c r="J49" s="163">
        <v>0</v>
      </c>
      <c r="N49" s="32"/>
      <c r="O49" s="32"/>
      <c r="P49" s="154"/>
      <c r="Q49" s="155"/>
      <c r="R49" s="32"/>
      <c r="S49" s="32"/>
      <c r="T49" s="154"/>
      <c r="U49" s="32"/>
      <c r="V49" s="32"/>
      <c r="W49" s="32"/>
      <c r="X49" s="32"/>
      <c r="Y49" s="32"/>
      <c r="Z49" s="32"/>
      <c r="AA49" s="32"/>
      <c r="AB49" s="32"/>
      <c r="AC49" s="32"/>
      <c r="AD49" s="32"/>
    </row>
    <row r="50" spans="1:30" hidden="1">
      <c r="A50" s="64">
        <v>8034</v>
      </c>
      <c r="B50" s="52">
        <v>-0.01</v>
      </c>
      <c r="C50" s="161">
        <v>0</v>
      </c>
      <c r="D50" s="158">
        <v>0</v>
      </c>
      <c r="E50" s="26">
        <f>VLOOKUP(8034,季財報!$A:$H,8,0)</f>
        <v>3</v>
      </c>
      <c r="F50" s="161">
        <v>2.7358333333333328E-2</v>
      </c>
      <c r="G50" s="54">
        <v>0</v>
      </c>
      <c r="H50" s="54">
        <v>212557000</v>
      </c>
      <c r="I50" s="65">
        <v>0</v>
      </c>
      <c r="J50" s="163">
        <v>0</v>
      </c>
      <c r="N50" s="32"/>
      <c r="O50" s="32"/>
      <c r="P50" s="154"/>
      <c r="Q50" s="155"/>
      <c r="R50" s="32"/>
      <c r="S50" s="32"/>
      <c r="T50" s="154"/>
      <c r="U50" s="32"/>
      <c r="V50" s="32"/>
      <c r="W50" s="32"/>
      <c r="X50" s="32"/>
      <c r="Y50" s="32"/>
      <c r="Z50" s="32"/>
      <c r="AA50" s="32"/>
      <c r="AB50" s="32"/>
      <c r="AC50" s="32"/>
      <c r="AD50" s="32"/>
    </row>
    <row r="51" spans="1:30" hidden="1">
      <c r="A51" s="64">
        <v>8068</v>
      </c>
      <c r="B51" s="52">
        <v>0</v>
      </c>
      <c r="C51" s="161">
        <v>0</v>
      </c>
      <c r="D51" s="158">
        <v>0</v>
      </c>
      <c r="E51" s="26">
        <f>VLOOKUP(8068,季財報!$A:$H,8,0)</f>
        <v>1</v>
      </c>
      <c r="F51" s="161">
        <v>0.13315000000000002</v>
      </c>
      <c r="G51" s="54">
        <v>0</v>
      </c>
      <c r="H51" s="54">
        <v>1501135000</v>
      </c>
      <c r="I51" s="65">
        <v>0</v>
      </c>
      <c r="J51" s="163">
        <v>0</v>
      </c>
      <c r="N51" s="32"/>
      <c r="O51" s="32"/>
      <c r="P51" s="154"/>
      <c r="Q51" s="155"/>
      <c r="R51" s="32"/>
      <c r="S51" s="32"/>
      <c r="T51" s="154"/>
      <c r="U51" s="32"/>
      <c r="V51" s="32"/>
      <c r="W51" s="32"/>
      <c r="X51" s="32"/>
      <c r="Y51" s="32"/>
      <c r="Z51" s="32"/>
      <c r="AA51" s="32"/>
      <c r="AB51" s="32"/>
      <c r="AC51" s="32"/>
      <c r="AD51" s="32"/>
    </row>
    <row r="52" spans="1:30" hidden="1">
      <c r="A52" s="64">
        <v>8077</v>
      </c>
      <c r="B52" s="52">
        <v>-0.25</v>
      </c>
      <c r="C52" s="161">
        <v>1</v>
      </c>
      <c r="D52" s="158">
        <v>52000000</v>
      </c>
      <c r="E52" s="26">
        <f>VLOOKUP(8077,季財報!$A:$H,8,0)</f>
        <v>4</v>
      </c>
      <c r="F52" s="161">
        <v>0.91625833333333351</v>
      </c>
      <c r="G52" s="54">
        <v>0</v>
      </c>
      <c r="H52" s="54">
        <v>214415000</v>
      </c>
      <c r="I52" s="65">
        <v>0</v>
      </c>
      <c r="J52" s="163">
        <v>0</v>
      </c>
      <c r="N52" s="32"/>
      <c r="O52" s="32"/>
      <c r="P52" s="154"/>
      <c r="Q52" s="155"/>
      <c r="R52" s="32"/>
      <c r="S52" s="32"/>
      <c r="T52" s="154"/>
      <c r="U52" s="32"/>
      <c r="V52" s="32"/>
      <c r="W52" s="32"/>
      <c r="X52" s="32"/>
      <c r="Y52" s="32"/>
      <c r="Z52" s="32"/>
      <c r="AA52" s="32"/>
      <c r="AB52" s="32"/>
      <c r="AC52" s="32"/>
      <c r="AD52" s="32"/>
    </row>
    <row r="53" spans="1:30" hidden="1">
      <c r="A53" s="64">
        <v>8087</v>
      </c>
      <c r="B53" s="52">
        <v>-0.03</v>
      </c>
      <c r="C53" s="161">
        <v>0.5</v>
      </c>
      <c r="D53" s="158">
        <v>33333333.333333336</v>
      </c>
      <c r="E53" s="26">
        <f>VLOOKUP(8087,季財報!$A:$H,8,0)</f>
        <v>2</v>
      </c>
      <c r="F53" s="161">
        <v>4.8749999999999988E-2</v>
      </c>
      <c r="G53" s="54">
        <v>0</v>
      </c>
      <c r="H53" s="54">
        <v>148626000</v>
      </c>
      <c r="I53" s="65">
        <v>0</v>
      </c>
      <c r="J53" s="163">
        <v>0</v>
      </c>
      <c r="N53" s="32"/>
      <c r="O53" s="32"/>
      <c r="P53" s="154"/>
      <c r="Q53" s="155"/>
      <c r="R53" s="32"/>
      <c r="S53" s="32"/>
      <c r="T53" s="154"/>
      <c r="U53" s="32"/>
      <c r="V53" s="32"/>
      <c r="W53" s="32"/>
      <c r="X53" s="32"/>
      <c r="Y53" s="32"/>
      <c r="Z53" s="32"/>
      <c r="AA53" s="32"/>
      <c r="AB53" s="32"/>
      <c r="AC53" s="32"/>
      <c r="AD53" s="32"/>
    </row>
    <row r="54" spans="1:30" hidden="1">
      <c r="A54" s="64">
        <v>8183</v>
      </c>
      <c r="B54" s="52">
        <v>0</v>
      </c>
      <c r="C54" s="161">
        <v>0</v>
      </c>
      <c r="D54" s="158">
        <v>0</v>
      </c>
      <c r="E54" s="26">
        <f>VLOOKUP(8183,季財報!$A:$H,8,0)</f>
        <v>4</v>
      </c>
      <c r="F54" s="161">
        <v>9.4166666666667398E-4</v>
      </c>
      <c r="G54" s="54">
        <v>0</v>
      </c>
      <c r="H54" s="54">
        <v>2671009000</v>
      </c>
      <c r="I54" s="65">
        <v>0</v>
      </c>
      <c r="J54" s="163">
        <v>0</v>
      </c>
      <c r="N54" s="32"/>
      <c r="O54" s="32"/>
      <c r="P54" s="154"/>
      <c r="Q54" s="155"/>
      <c r="R54" s="32"/>
      <c r="S54" s="32"/>
      <c r="T54" s="154"/>
      <c r="U54" s="32"/>
      <c r="V54" s="32"/>
      <c r="W54" s="32"/>
      <c r="X54" s="32"/>
      <c r="Y54" s="32"/>
      <c r="Z54" s="32"/>
      <c r="AA54" s="32"/>
      <c r="AB54" s="32"/>
      <c r="AC54" s="32"/>
      <c r="AD54" s="32"/>
    </row>
    <row r="55" spans="1:30" hidden="1">
      <c r="A55" s="64">
        <v>8390</v>
      </c>
      <c r="B55" s="52">
        <v>0</v>
      </c>
      <c r="C55" s="161">
        <v>0</v>
      </c>
      <c r="D55" s="158">
        <v>0</v>
      </c>
      <c r="E55" s="26">
        <f>VLOOKUP(8390,季財報!$A:$H,8,0)</f>
        <v>0</v>
      </c>
      <c r="F55" s="161">
        <v>3.6874999999999998E-2</v>
      </c>
      <c r="G55" s="54">
        <v>0</v>
      </c>
      <c r="H55" s="54">
        <v>3318233000</v>
      </c>
      <c r="I55" s="65">
        <v>0</v>
      </c>
      <c r="J55" s="163">
        <v>0</v>
      </c>
      <c r="K55" s="32"/>
      <c r="N55" s="32"/>
      <c r="O55" s="32"/>
      <c r="P55" s="154"/>
      <c r="Q55" s="32"/>
      <c r="R55" s="32"/>
      <c r="S55" s="32"/>
      <c r="T55" s="154"/>
      <c r="U55" s="32"/>
      <c r="V55" s="32"/>
      <c r="W55" s="32"/>
      <c r="X55" s="32"/>
      <c r="Y55" s="32"/>
      <c r="Z55" s="32"/>
      <c r="AA55" s="32"/>
      <c r="AB55" s="32"/>
      <c r="AC55" s="32"/>
      <c r="AD55" s="32"/>
    </row>
    <row r="56" spans="1:30" hidden="1">
      <c r="A56" s="64">
        <v>8917</v>
      </c>
      <c r="B56" s="52">
        <v>0.34</v>
      </c>
      <c r="C56" s="161">
        <v>0.91764705882352937</v>
      </c>
      <c r="D56" s="158">
        <v>123529411.76470587</v>
      </c>
      <c r="E56" s="26">
        <f>VLOOKUP(8917,季財報!$A:$H,8,0)</f>
        <v>3</v>
      </c>
      <c r="F56" s="161">
        <v>-1.8024999999999999E-2</v>
      </c>
      <c r="G56" s="54">
        <v>0</v>
      </c>
      <c r="H56" s="54">
        <v>1705930000</v>
      </c>
      <c r="I56" s="65">
        <v>0</v>
      </c>
      <c r="J56" s="163">
        <v>0</v>
      </c>
      <c r="N56" s="32"/>
      <c r="O56" s="32"/>
      <c r="P56" s="32"/>
      <c r="Q56" s="32"/>
      <c r="R56" s="32"/>
      <c r="S56" s="32"/>
      <c r="T56" s="32"/>
      <c r="U56" s="32"/>
      <c r="V56" s="32"/>
      <c r="W56" s="32"/>
      <c r="X56" s="32"/>
      <c r="Y56" s="32"/>
      <c r="Z56" s="32"/>
      <c r="AA56" s="32"/>
      <c r="AB56" s="32"/>
      <c r="AC56" s="32"/>
      <c r="AD56" s="32"/>
    </row>
    <row r="57" spans="1:30" hidden="1">
      <c r="A57" s="64">
        <v>8921</v>
      </c>
      <c r="B57" s="52">
        <v>0.24</v>
      </c>
      <c r="C57" s="161">
        <v>0.7142857142857143</v>
      </c>
      <c r="D57" s="158">
        <v>45833333.333333336</v>
      </c>
      <c r="E57" s="26">
        <f>VLOOKUP(8921,季財報!$A:$H,8,0)</f>
        <v>3</v>
      </c>
      <c r="F57" s="161">
        <v>-5.0750000000000005E-3</v>
      </c>
      <c r="G57" s="54">
        <v>0</v>
      </c>
      <c r="H57" s="54">
        <v>732698000</v>
      </c>
      <c r="I57" s="65">
        <v>0</v>
      </c>
      <c r="J57" s="163">
        <v>0</v>
      </c>
      <c r="N57" s="32"/>
      <c r="O57" s="32"/>
      <c r="P57" s="32"/>
      <c r="Q57" s="32"/>
      <c r="R57" s="32"/>
      <c r="S57" s="32"/>
      <c r="T57" s="32"/>
      <c r="U57" s="32"/>
      <c r="V57" s="32"/>
      <c r="W57" s="32"/>
      <c r="X57" s="32"/>
      <c r="Y57" s="32"/>
      <c r="Z57" s="32"/>
      <c r="AA57" s="32"/>
      <c r="AB57" s="32"/>
      <c r="AC57" s="32"/>
      <c r="AD57" s="32"/>
    </row>
    <row r="58" spans="1:30" hidden="1">
      <c r="A58" s="64">
        <v>8923</v>
      </c>
      <c r="B58" s="52">
        <v>0.27</v>
      </c>
      <c r="C58" s="161">
        <v>9.0909090909090912E-2</v>
      </c>
      <c r="D58" s="158">
        <v>29629629.629629627</v>
      </c>
      <c r="E58" s="26">
        <f>VLOOKUP(8923,季財報!$A:$H,8,0)</f>
        <v>1</v>
      </c>
      <c r="F58" s="161">
        <v>3.008333333333334E-2</v>
      </c>
      <c r="G58" s="54">
        <v>0</v>
      </c>
      <c r="H58" s="54">
        <v>400543000</v>
      </c>
      <c r="I58" s="65">
        <v>0</v>
      </c>
      <c r="J58" s="163">
        <v>0</v>
      </c>
      <c r="N58" s="32"/>
      <c r="O58" s="32"/>
      <c r="P58" s="32"/>
      <c r="Q58" s="32"/>
      <c r="R58" s="32"/>
      <c r="S58" s="32"/>
      <c r="T58" s="32"/>
      <c r="U58" s="32"/>
      <c r="V58" s="32"/>
      <c r="W58" s="32"/>
      <c r="X58" s="32"/>
      <c r="Y58" s="32"/>
      <c r="Z58" s="32"/>
      <c r="AA58" s="32"/>
      <c r="AB58" s="32"/>
      <c r="AC58" s="32"/>
      <c r="AD58" s="32"/>
    </row>
    <row r="59" spans="1:30" hidden="1">
      <c r="A59" s="64">
        <v>8925</v>
      </c>
      <c r="B59" s="52">
        <v>-0.9</v>
      </c>
      <c r="C59" s="161">
        <v>9.6907993966817499E-2</v>
      </c>
      <c r="D59" s="158">
        <v>364444444.44444442</v>
      </c>
      <c r="E59" s="26">
        <f>VLOOKUP(8925,季財報!$A:$H,8,0)</f>
        <v>3</v>
      </c>
      <c r="F59" s="161">
        <v>2.9899999999999999E-2</v>
      </c>
      <c r="G59" s="54">
        <v>0</v>
      </c>
      <c r="H59" s="54">
        <v>1806236000</v>
      </c>
      <c r="I59" s="65">
        <v>0</v>
      </c>
      <c r="J59" s="163">
        <v>0</v>
      </c>
      <c r="N59" s="32"/>
      <c r="O59" s="32"/>
      <c r="P59" s="32"/>
      <c r="Q59" s="32"/>
      <c r="R59" s="32"/>
      <c r="S59" s="32"/>
      <c r="T59" s="32"/>
      <c r="U59" s="32"/>
      <c r="V59" s="32"/>
      <c r="W59" s="32"/>
      <c r="X59" s="32"/>
      <c r="Y59" s="32"/>
      <c r="Z59" s="32"/>
      <c r="AA59" s="32"/>
      <c r="AB59" s="32"/>
      <c r="AC59" s="32"/>
      <c r="AD59" s="32"/>
    </row>
    <row r="60" spans="1:30" hidden="1">
      <c r="A60" s="64">
        <v>8927</v>
      </c>
      <c r="B60" s="52">
        <v>-0.15</v>
      </c>
      <c r="C60" s="161">
        <v>0</v>
      </c>
      <c r="D60" s="158">
        <v>0</v>
      </c>
      <c r="E60" s="26">
        <f>VLOOKUP(8927,季財報!$A:$H,8,0)</f>
        <v>3</v>
      </c>
      <c r="F60" s="161">
        <v>4.0999999999999995E-3</v>
      </c>
      <c r="G60" s="54">
        <v>0</v>
      </c>
      <c r="H60" s="54">
        <v>3340658000</v>
      </c>
      <c r="I60" s="65">
        <v>0</v>
      </c>
      <c r="J60" s="163">
        <v>0</v>
      </c>
    </row>
    <row r="61" spans="1:30" hidden="1">
      <c r="A61" s="64">
        <v>8934</v>
      </c>
      <c r="B61" s="52">
        <v>-0.42</v>
      </c>
      <c r="C61" s="161">
        <v>1</v>
      </c>
      <c r="D61" s="158">
        <v>7142857.1428571427</v>
      </c>
      <c r="E61" s="26">
        <f>VLOOKUP(8934,季財報!$A:$H,8,0)</f>
        <v>2</v>
      </c>
      <c r="F61" s="161">
        <v>2.9424999999999996E-2</v>
      </c>
      <c r="G61" s="54">
        <v>0</v>
      </c>
      <c r="H61" s="54">
        <v>681555000</v>
      </c>
      <c r="I61" s="65">
        <v>0</v>
      </c>
      <c r="J61" s="163">
        <v>0</v>
      </c>
      <c r="P61" s="152"/>
      <c r="Q61" s="152"/>
      <c r="R61" s="152"/>
      <c r="S61" s="152"/>
      <c r="T61" s="152"/>
      <c r="U61" s="152"/>
      <c r="V61" s="152"/>
      <c r="W61" s="152"/>
    </row>
    <row r="62" spans="1:30" hidden="1">
      <c r="A62" s="64">
        <v>9931</v>
      </c>
      <c r="B62" s="52">
        <v>0.12</v>
      </c>
      <c r="C62" s="161">
        <v>0.6987951807228916</v>
      </c>
      <c r="D62" s="158">
        <v>100000000</v>
      </c>
      <c r="E62" s="26">
        <f>VLOOKUP(9931,季財報!$A:$H,8,0)</f>
        <v>2</v>
      </c>
      <c r="F62" s="161">
        <v>-9.7916666666666673E-3</v>
      </c>
      <c r="G62" s="54">
        <v>0</v>
      </c>
      <c r="H62" s="54">
        <v>1339161000</v>
      </c>
      <c r="I62" s="65">
        <v>0</v>
      </c>
      <c r="J62" s="163">
        <v>0</v>
      </c>
      <c r="P62" s="152"/>
      <c r="Q62" s="152"/>
      <c r="R62" s="152"/>
      <c r="S62" s="152"/>
      <c r="T62" s="152"/>
      <c r="U62" s="152"/>
      <c r="V62" s="152"/>
      <c r="W62" s="152"/>
    </row>
    <row r="63" spans="1:30" hidden="1">
      <c r="A63" s="64">
        <v>5506</v>
      </c>
      <c r="B63" s="52">
        <v>-1.64</v>
      </c>
      <c r="C63" s="161">
        <v>0.12840466926070038</v>
      </c>
      <c r="D63" s="158">
        <v>152439024.39024392</v>
      </c>
      <c r="E63" s="26">
        <f>VLOOKUP(5506,季財報!$A:$H,8,0)</f>
        <v>0</v>
      </c>
      <c r="F63" s="161">
        <v>-4.6883333333333312E-2</v>
      </c>
      <c r="G63" s="54">
        <v>71646341.463414639</v>
      </c>
      <c r="H63" s="54">
        <v>3769969000</v>
      </c>
      <c r="I63" s="65">
        <v>1.9004490876029654E-2</v>
      </c>
      <c r="J63" s="163">
        <v>0</v>
      </c>
      <c r="P63" s="152"/>
      <c r="Q63" s="152"/>
      <c r="R63" s="152"/>
      <c r="S63" s="152"/>
      <c r="T63" s="152"/>
      <c r="U63" s="152"/>
      <c r="V63" s="152"/>
      <c r="W63" s="152"/>
    </row>
    <row r="64" spans="1:30" hidden="1">
      <c r="A64" s="64">
        <v>1613</v>
      </c>
      <c r="B64" s="151">
        <v>-0.73</v>
      </c>
      <c r="C64" s="160">
        <v>0</v>
      </c>
      <c r="D64" s="153">
        <v>227397260.2739726</v>
      </c>
      <c r="E64" s="26">
        <f>VLOOKUP(1613,季財報!$A:$H,8,0)</f>
        <v>1</v>
      </c>
      <c r="F64" s="160">
        <v>2.3191666666666669E-2</v>
      </c>
      <c r="G64" s="153">
        <v>716301369.86301363</v>
      </c>
      <c r="H64" s="153">
        <v>36680381000</v>
      </c>
      <c r="I64" s="151">
        <v>1.9528187830519361E-2</v>
      </c>
      <c r="J64" s="153">
        <v>0</v>
      </c>
    </row>
    <row r="65" spans="1:10" hidden="1">
      <c r="A65" s="64">
        <v>3312</v>
      </c>
      <c r="B65" s="151">
        <v>-0.37</v>
      </c>
      <c r="C65" s="160">
        <v>0.79069767441860461</v>
      </c>
      <c r="D65" s="153">
        <v>108108108.1081081</v>
      </c>
      <c r="E65" s="26">
        <f>VLOOKUP(3312,季財報!$A:$H,8,0)</f>
        <v>3</v>
      </c>
      <c r="F65" s="160">
        <v>3.7175E-2</v>
      </c>
      <c r="G65" s="153">
        <v>721081081.08108103</v>
      </c>
      <c r="H65" s="153">
        <v>16429555000</v>
      </c>
      <c r="I65" s="151">
        <v>4.3889264260722885E-2</v>
      </c>
      <c r="J65" s="153">
        <v>0</v>
      </c>
    </row>
    <row r="66" spans="1:10" hidden="1">
      <c r="A66" s="64">
        <v>3048</v>
      </c>
      <c r="B66" s="151">
        <v>0.68</v>
      </c>
      <c r="C66" s="160">
        <v>1</v>
      </c>
      <c r="D66" s="153">
        <v>201470588.2352941</v>
      </c>
      <c r="E66" s="26">
        <f>VLOOKUP(3048,季財報!$A:$H,8,0)</f>
        <v>2</v>
      </c>
      <c r="F66" s="160">
        <v>9.9916666666666678E-3</v>
      </c>
      <c r="G66" s="153">
        <v>3888382352.9411764</v>
      </c>
      <c r="H66" s="153">
        <v>72561758000</v>
      </c>
      <c r="I66" s="151">
        <v>5.3587212605036065E-2</v>
      </c>
      <c r="J66" s="153">
        <v>7.0955882352941178</v>
      </c>
    </row>
    <row r="67" spans="1:10" hidden="1">
      <c r="A67" s="64">
        <v>8112</v>
      </c>
      <c r="B67" s="52">
        <v>0.35</v>
      </c>
      <c r="C67" s="161">
        <v>1</v>
      </c>
      <c r="D67" s="158">
        <v>285714285.71428573</v>
      </c>
      <c r="E67" s="26">
        <f>VLOOKUP(8112,季財報!$A:$H,8,0)</f>
        <v>4</v>
      </c>
      <c r="F67" s="161">
        <v>7.0349999999999982E-2</v>
      </c>
      <c r="G67" s="54">
        <v>3828571428.5714288</v>
      </c>
      <c r="H67" s="54">
        <v>69525125000</v>
      </c>
      <c r="I67" s="65">
        <v>5.5067451206616727E-2</v>
      </c>
      <c r="J67" s="163">
        <v>9.571428571428573</v>
      </c>
    </row>
    <row r="68" spans="1:10" hidden="1">
      <c r="A68" s="64">
        <v>3231</v>
      </c>
      <c r="B68" s="151">
        <v>0.27</v>
      </c>
      <c r="C68" s="160">
        <v>0.20844686648501362</v>
      </c>
      <c r="D68" s="153">
        <v>2433333333.333333</v>
      </c>
      <c r="E68" s="26">
        <f>VLOOKUP(3231,季財報!$A:$H,8,0)</f>
        <v>3</v>
      </c>
      <c r="F68" s="160">
        <v>1.0750000000000001E-2</v>
      </c>
      <c r="G68" s="153">
        <v>39785000000</v>
      </c>
      <c r="H68" s="153">
        <v>622791733000</v>
      </c>
      <c r="I68" s="151">
        <v>6.3881708590373981E-2</v>
      </c>
      <c r="J68" s="153">
        <v>50</v>
      </c>
    </row>
    <row r="69" spans="1:10" hidden="1">
      <c r="A69" s="64">
        <v>3360</v>
      </c>
      <c r="B69" s="151">
        <v>0.46</v>
      </c>
      <c r="C69" s="160">
        <v>1</v>
      </c>
      <c r="D69" s="153">
        <v>76086956.521739125</v>
      </c>
      <c r="E69" s="26">
        <f>VLOOKUP(3360,季財報!$A:$H,8,0)</f>
        <v>1</v>
      </c>
      <c r="F69" s="160">
        <v>2.6908333333333329E-2</v>
      </c>
      <c r="G69" s="153">
        <v>924456521.73913038</v>
      </c>
      <c r="H69" s="153">
        <v>12249172000</v>
      </c>
      <c r="I69" s="151">
        <v>7.5470939728753128E-2</v>
      </c>
      <c r="J69" s="153">
        <v>6.6032608695652177</v>
      </c>
    </row>
    <row r="70" spans="1:10" hidden="1">
      <c r="A70" s="64">
        <v>5014</v>
      </c>
      <c r="B70" s="52">
        <v>-0.64</v>
      </c>
      <c r="C70" s="161">
        <v>0.33606557377049179</v>
      </c>
      <c r="D70" s="158">
        <v>165625000</v>
      </c>
      <c r="E70" s="26">
        <f>VLOOKUP(5014,季財報!$A:$H,8,0)</f>
        <v>3</v>
      </c>
      <c r="F70" s="161">
        <v>7.9341666666666658E-2</v>
      </c>
      <c r="G70" s="54">
        <v>1162687500</v>
      </c>
      <c r="H70" s="54">
        <v>14612514000</v>
      </c>
      <c r="I70" s="65">
        <v>7.9567930610708049E-2</v>
      </c>
      <c r="J70" s="163">
        <v>0</v>
      </c>
    </row>
    <row r="71" spans="1:10" hidden="1">
      <c r="A71" s="64">
        <v>5384</v>
      </c>
      <c r="B71" s="52">
        <v>0.04</v>
      </c>
      <c r="C71" s="161">
        <v>1</v>
      </c>
      <c r="D71" s="158">
        <v>75000000</v>
      </c>
      <c r="E71" s="26">
        <f>VLOOKUP(5384,季財報!$A:$H,8,0)</f>
        <v>0</v>
      </c>
      <c r="F71" s="161">
        <v>2.8908333333333331E-2</v>
      </c>
      <c r="G71" s="54">
        <v>978750000</v>
      </c>
      <c r="H71" s="54">
        <v>11335106000</v>
      </c>
      <c r="I71" s="65">
        <v>8.6346788464086707E-2</v>
      </c>
      <c r="J71" s="163">
        <v>50</v>
      </c>
    </row>
    <row r="72" spans="1:10" hidden="1">
      <c r="A72" s="64">
        <v>8096</v>
      </c>
      <c r="B72" s="52">
        <v>1.18</v>
      </c>
      <c r="C72" s="161">
        <v>0.27814569536423839</v>
      </c>
      <c r="D72" s="158">
        <v>122033898.30508475</v>
      </c>
      <c r="E72" s="26">
        <f>VLOOKUP(8096,季財報!$A:$H,8,0)</f>
        <v>3</v>
      </c>
      <c r="F72" s="161">
        <v>0.19891666666666666</v>
      </c>
      <c r="G72" s="54">
        <v>3191186440.6779661</v>
      </c>
      <c r="H72" s="54">
        <v>36255810000</v>
      </c>
      <c r="I72" s="65">
        <v>8.801862213747165E-2</v>
      </c>
      <c r="J72" s="163">
        <v>19.918533091202583</v>
      </c>
    </row>
    <row r="73" spans="1:10" hidden="1">
      <c r="A73" s="64">
        <v>3579</v>
      </c>
      <c r="B73" s="151">
        <v>-1.61</v>
      </c>
      <c r="C73" s="160">
        <v>0.12664907651715041</v>
      </c>
      <c r="D73" s="153">
        <v>115527950.310559</v>
      </c>
      <c r="E73" s="26">
        <f>VLOOKUP(3579,季財報!$A:$H,8,0)</f>
        <v>3</v>
      </c>
      <c r="F73" s="160">
        <v>-7.6250000000000007E-3</v>
      </c>
      <c r="G73" s="153">
        <v>1403664596.2732921</v>
      </c>
      <c r="H73" s="153">
        <v>15715217000</v>
      </c>
      <c r="I73" s="151">
        <v>8.9318817314027035E-2</v>
      </c>
      <c r="J73" s="153">
        <v>0</v>
      </c>
    </row>
    <row r="74" spans="1:10" hidden="1">
      <c r="A74" s="64">
        <v>2475</v>
      </c>
      <c r="B74" s="151">
        <v>-0.56999999999999995</v>
      </c>
      <c r="C74" s="160">
        <v>1</v>
      </c>
      <c r="D74" s="153">
        <v>6435087719.2982464</v>
      </c>
      <c r="E74" s="26">
        <f>VLOOKUP(2475,季財報!$A:$H,8,0)</f>
        <v>2</v>
      </c>
      <c r="F74" s="160">
        <v>-8.9499999999999979E-3</v>
      </c>
      <c r="G74" s="153">
        <v>4504561403.5087719</v>
      </c>
      <c r="H74" s="153">
        <v>49746489000</v>
      </c>
      <c r="I74" s="151">
        <v>9.0550338205954026E-2</v>
      </c>
      <c r="J74" s="153">
        <v>0</v>
      </c>
    </row>
    <row r="75" spans="1:10" hidden="1">
      <c r="A75" s="64">
        <v>2028</v>
      </c>
      <c r="B75" s="151">
        <v>-1.5</v>
      </c>
      <c r="C75" s="160">
        <v>0.73712737127371275</v>
      </c>
      <c r="D75" s="153">
        <v>343333333.33333331</v>
      </c>
      <c r="E75" s="26">
        <f>VLOOKUP(2028,季財報!$A:$H,8,0)</f>
        <v>1</v>
      </c>
      <c r="F75" s="160">
        <v>-7.7016666666666692E-2</v>
      </c>
      <c r="G75" s="153">
        <v>600833333.33333325</v>
      </c>
      <c r="H75" s="153">
        <v>6493612000</v>
      </c>
      <c r="I75" s="151">
        <v>9.2526829957400178E-2</v>
      </c>
      <c r="J75" s="153">
        <v>0</v>
      </c>
    </row>
    <row r="76" spans="1:10" hidden="1">
      <c r="A76" s="64">
        <v>6265</v>
      </c>
      <c r="B76" s="52">
        <v>0.41</v>
      </c>
      <c r="C76" s="161">
        <v>0</v>
      </c>
      <c r="D76" s="158">
        <v>117073170.73170732</v>
      </c>
      <c r="E76" s="26">
        <f>VLOOKUP(6265,季財報!$A:$H,8,0)</f>
        <v>3</v>
      </c>
      <c r="F76" s="161">
        <v>2.4425000000000002E-2</v>
      </c>
      <c r="G76" s="54">
        <v>875707317.07317078</v>
      </c>
      <c r="H76" s="54">
        <v>9379252000</v>
      </c>
      <c r="I76" s="65">
        <v>9.3366434452680322E-2</v>
      </c>
      <c r="J76" s="163">
        <v>0</v>
      </c>
    </row>
    <row r="77" spans="1:10" hidden="1">
      <c r="A77" s="64">
        <v>2324</v>
      </c>
      <c r="B77" s="151">
        <v>0.67</v>
      </c>
      <c r="C77" s="160">
        <v>0.73856655290102391</v>
      </c>
      <c r="D77" s="153">
        <v>4311940298.5074625</v>
      </c>
      <c r="E77" s="26">
        <f>VLOOKUP(2324,季財報!$A:$H,8,0)</f>
        <v>2</v>
      </c>
      <c r="F77" s="160">
        <v>1.106666666666666E-2</v>
      </c>
      <c r="G77" s="153">
        <v>79770895522.388062</v>
      </c>
      <c r="H77" s="153">
        <v>851525880000</v>
      </c>
      <c r="I77" s="151">
        <v>9.3679942554873455E-2</v>
      </c>
      <c r="J77" s="153">
        <v>9.3464631555714952</v>
      </c>
    </row>
    <row r="78" spans="1:10" hidden="1">
      <c r="A78" s="64">
        <v>3702</v>
      </c>
      <c r="B78" s="151">
        <v>0.98</v>
      </c>
      <c r="C78" s="160">
        <v>1</v>
      </c>
      <c r="D78" s="153">
        <v>1650000000</v>
      </c>
      <c r="E78" s="26">
        <f>VLOOKUP(3702,季財報!$A:$H,8,0)</f>
        <v>1</v>
      </c>
      <c r="F78" s="160">
        <v>3.0424999999999994E-2</v>
      </c>
      <c r="G78" s="153">
        <v>54037500000</v>
      </c>
      <c r="H78" s="153">
        <v>497600317000</v>
      </c>
      <c r="I78" s="151">
        <v>0.10859619287581763</v>
      </c>
      <c r="J78" s="153">
        <v>8.3545918367346932</v>
      </c>
    </row>
    <row r="79" spans="1:10" hidden="1">
      <c r="A79" s="64">
        <v>5469</v>
      </c>
      <c r="B79" s="52">
        <v>0.62</v>
      </c>
      <c r="C79" s="161">
        <v>0</v>
      </c>
      <c r="D79" s="158">
        <v>446774193.54838711</v>
      </c>
      <c r="E79" s="26">
        <f>VLOOKUP(5469,季財報!$A:$H,8,0)</f>
        <v>1</v>
      </c>
      <c r="F79" s="161">
        <v>-8.1000000000000013E-3</v>
      </c>
      <c r="G79" s="54">
        <v>4646451612.9032259</v>
      </c>
      <c r="H79" s="54">
        <v>41213420000</v>
      </c>
      <c r="I79" s="65">
        <v>0.11274122877701549</v>
      </c>
      <c r="J79" s="163">
        <v>0</v>
      </c>
    </row>
    <row r="80" spans="1:10" hidden="1">
      <c r="A80" s="64">
        <v>1785</v>
      </c>
      <c r="B80" s="151">
        <v>0.21</v>
      </c>
      <c r="C80" s="160">
        <v>3.608247422680412E-2</v>
      </c>
      <c r="D80" s="153">
        <v>395238095.23809522</v>
      </c>
      <c r="E80" s="26">
        <f>VLOOKUP(1785,季財報!$A:$H,8,0)</f>
        <v>1</v>
      </c>
      <c r="F80" s="160">
        <v>5.4825000000000006E-2</v>
      </c>
      <c r="G80" s="153">
        <v>7549047619.0476189</v>
      </c>
      <c r="H80" s="153">
        <v>66255933000</v>
      </c>
      <c r="I80" s="151">
        <v>0.11393768493227042</v>
      </c>
      <c r="J80" s="153">
        <v>50</v>
      </c>
    </row>
    <row r="81" spans="1:10" hidden="1">
      <c r="A81" s="64">
        <v>2038</v>
      </c>
      <c r="B81" s="151">
        <v>-0.42</v>
      </c>
      <c r="C81" s="160">
        <v>1</v>
      </c>
      <c r="D81" s="153">
        <v>173809523.80952382</v>
      </c>
      <c r="E81" s="26">
        <f>VLOOKUP(2038,季財報!$A:$H,8,0)</f>
        <v>2</v>
      </c>
      <c r="F81" s="160">
        <v>3.0341666666666666E-2</v>
      </c>
      <c r="G81" s="153">
        <v>978547619.0476191</v>
      </c>
      <c r="H81" s="153">
        <v>8579519000</v>
      </c>
      <c r="I81" s="151">
        <v>0.11405623311139228</v>
      </c>
      <c r="J81" s="153">
        <v>0</v>
      </c>
    </row>
    <row r="82" spans="1:10" hidden="1">
      <c r="A82" s="64">
        <v>3209</v>
      </c>
      <c r="B82" s="151">
        <v>1.04</v>
      </c>
      <c r="C82" s="160">
        <v>0.96491228070175439</v>
      </c>
      <c r="D82" s="153">
        <v>120192307.69230768</v>
      </c>
      <c r="E82" s="26">
        <f>VLOOKUP(3209,季財報!$A:$H,8,0)</f>
        <v>2</v>
      </c>
      <c r="F82" s="160">
        <v>2.3900000000000005E-2</v>
      </c>
      <c r="G82" s="153">
        <v>3004807692.3076921</v>
      </c>
      <c r="H82" s="153">
        <v>23644239000</v>
      </c>
      <c r="I82" s="151">
        <v>0.12708413632207372</v>
      </c>
      <c r="J82" s="153">
        <v>6.2281468531468533</v>
      </c>
    </row>
    <row r="83" spans="1:10" hidden="1">
      <c r="A83" s="64">
        <v>3315</v>
      </c>
      <c r="B83" s="151">
        <v>0.77</v>
      </c>
      <c r="C83" s="160">
        <v>0</v>
      </c>
      <c r="D83" s="153">
        <v>71428571.428571433</v>
      </c>
      <c r="E83" s="26">
        <f>VLOOKUP(3315,季財報!$A:$H,8,0)</f>
        <v>3</v>
      </c>
      <c r="F83" s="160">
        <v>2.6283333333333329E-2</v>
      </c>
      <c r="G83" s="153">
        <v>1164285714.2857144</v>
      </c>
      <c r="H83" s="153">
        <v>8966671000</v>
      </c>
      <c r="I83" s="151">
        <v>0.12984592768996592</v>
      </c>
      <c r="J83" s="153">
        <v>0</v>
      </c>
    </row>
    <row r="84" spans="1:10" hidden="1">
      <c r="A84" s="64">
        <v>2371</v>
      </c>
      <c r="B84" s="151">
        <v>-0.45</v>
      </c>
      <c r="C84" s="160">
        <v>0.99687304565353341</v>
      </c>
      <c r="D84" s="153">
        <v>2280000000</v>
      </c>
      <c r="E84" s="26">
        <f>VLOOKUP(2371,季財報!$A:$H,8,0)</f>
        <v>2</v>
      </c>
      <c r="F84" s="160">
        <v>-1.0641666666666667E-2</v>
      </c>
      <c r="G84" s="153">
        <v>12768000000</v>
      </c>
      <c r="H84" s="153">
        <v>98157983000</v>
      </c>
      <c r="I84" s="151">
        <v>0.13007602244638625</v>
      </c>
      <c r="J84" s="153">
        <v>0</v>
      </c>
    </row>
    <row r="85" spans="1:10" hidden="1">
      <c r="A85" s="64">
        <v>3095</v>
      </c>
      <c r="B85" s="151">
        <v>-2.41</v>
      </c>
      <c r="C85" s="160">
        <v>1</v>
      </c>
      <c r="D85" s="153">
        <v>109543568.46473028</v>
      </c>
      <c r="E85" s="26">
        <f>VLOOKUP(3095,季財報!$A:$H,8,0)</f>
        <v>2</v>
      </c>
      <c r="F85" s="160">
        <v>8.4083333333333475E-3</v>
      </c>
      <c r="G85" s="153">
        <v>660547717.84232366</v>
      </c>
      <c r="H85" s="153">
        <v>4941229000</v>
      </c>
      <c r="I85" s="151">
        <v>0.13368085507518954</v>
      </c>
      <c r="J85" s="153">
        <v>0</v>
      </c>
    </row>
    <row r="86" spans="1:10" hidden="1">
      <c r="A86" s="64">
        <v>6150</v>
      </c>
      <c r="B86" s="52">
        <v>-0.48</v>
      </c>
      <c r="C86" s="161">
        <v>1</v>
      </c>
      <c r="D86" s="158">
        <v>50000000</v>
      </c>
      <c r="E86" s="26">
        <f>VLOOKUP(6150,季財報!$A:$H,8,0)</f>
        <v>2</v>
      </c>
      <c r="F86" s="161">
        <v>3.9733333333333322E-2</v>
      </c>
      <c r="G86" s="54">
        <v>356000000</v>
      </c>
      <c r="H86" s="54">
        <v>2624866000</v>
      </c>
      <c r="I86" s="65">
        <v>0.13562597100194829</v>
      </c>
      <c r="J86" s="163">
        <v>0</v>
      </c>
    </row>
    <row r="87" spans="1:10" hidden="1">
      <c r="A87" s="64">
        <v>3036</v>
      </c>
      <c r="B87" s="151">
        <v>1.1399999999999999</v>
      </c>
      <c r="C87" s="160">
        <v>1</v>
      </c>
      <c r="D87" s="153">
        <v>445614035.08771932</v>
      </c>
      <c r="E87" s="26">
        <f>VLOOKUP(3036,季財報!$A:$H,8,0)</f>
        <v>1</v>
      </c>
      <c r="F87" s="160">
        <v>7.6083333333333359E-3</v>
      </c>
      <c r="G87" s="153">
        <v>15685614035.087721</v>
      </c>
      <c r="H87" s="153">
        <v>115599589000</v>
      </c>
      <c r="I87" s="151">
        <v>0.13568918515002437</v>
      </c>
      <c r="J87" s="153">
        <v>7.719298245614036</v>
      </c>
    </row>
    <row r="88" spans="1:10" hidden="1">
      <c r="A88" s="64">
        <v>6148</v>
      </c>
      <c r="B88" s="52">
        <v>0.13</v>
      </c>
      <c r="C88" s="161">
        <v>1</v>
      </c>
      <c r="D88" s="158">
        <v>92307692.307692304</v>
      </c>
      <c r="E88" s="26">
        <f>VLOOKUP(6148,季財報!$A:$H,8,0)</f>
        <v>3</v>
      </c>
      <c r="F88" s="161">
        <v>5.5133333333333333E-2</v>
      </c>
      <c r="G88" s="54">
        <v>717230769.23076916</v>
      </c>
      <c r="H88" s="54">
        <v>5263953000</v>
      </c>
      <c r="I88" s="65">
        <v>0.13625326237349938</v>
      </c>
      <c r="J88" s="163">
        <v>14.942307692307692</v>
      </c>
    </row>
    <row r="89" spans="1:10" hidden="1">
      <c r="A89" s="64">
        <v>3033</v>
      </c>
      <c r="B89" s="151">
        <v>0.45</v>
      </c>
      <c r="C89" s="160">
        <v>1</v>
      </c>
      <c r="D89" s="153">
        <v>277777777.77777779</v>
      </c>
      <c r="E89" s="26">
        <f>VLOOKUP(3033,季財報!$A:$H,8,0)</f>
        <v>3</v>
      </c>
      <c r="F89" s="160">
        <v>4.2758333333333336E-2</v>
      </c>
      <c r="G89" s="153">
        <v>5388888888.8888884</v>
      </c>
      <c r="H89" s="153">
        <v>38851589000</v>
      </c>
      <c r="I89" s="151">
        <v>0.13870446557253779</v>
      </c>
      <c r="J89" s="153">
        <v>10.777777777777777</v>
      </c>
    </row>
    <row r="90" spans="1:10" hidden="1">
      <c r="A90" s="64">
        <v>2353</v>
      </c>
      <c r="B90" s="151">
        <v>0.06</v>
      </c>
      <c r="C90" s="160">
        <v>8.8082901554404139E-2</v>
      </c>
      <c r="D90" s="153">
        <v>3183333333.3333335</v>
      </c>
      <c r="E90" s="26">
        <f>VLOOKUP(2353,季財報!$A:$H,8,0)</f>
        <v>1</v>
      </c>
      <c r="F90" s="160">
        <v>1.7333333333333329E-2</v>
      </c>
      <c r="G90" s="153">
        <v>38677500000</v>
      </c>
      <c r="H90" s="153">
        <v>274987400000</v>
      </c>
      <c r="I90" s="151">
        <v>0.14065189895973415</v>
      </c>
      <c r="J90" s="153">
        <v>50</v>
      </c>
    </row>
    <row r="91" spans="1:10" hidden="1">
      <c r="A91" s="64">
        <v>1309</v>
      </c>
      <c r="B91" s="151">
        <v>-0.55000000000000004</v>
      </c>
      <c r="C91" s="160">
        <v>1</v>
      </c>
      <c r="D91" s="153">
        <v>329090909.09090906</v>
      </c>
      <c r="E91" s="26">
        <f>VLOOKUP(1309,季財報!$A:$H,8,0)</f>
        <v>0</v>
      </c>
      <c r="F91" s="160">
        <v>-1.4091666666666664E-2</v>
      </c>
      <c r="G91" s="153">
        <v>2507672727.272727</v>
      </c>
      <c r="H91" s="153">
        <v>17714660000</v>
      </c>
      <c r="I91" s="151">
        <v>0.14155917907951532</v>
      </c>
      <c r="J91" s="153">
        <v>0</v>
      </c>
    </row>
    <row r="92" spans="1:10" hidden="1">
      <c r="A92" s="64">
        <v>5906</v>
      </c>
      <c r="B92" s="52">
        <v>-1.31</v>
      </c>
      <c r="C92" s="161">
        <v>1</v>
      </c>
      <c r="D92" s="158">
        <v>96183206.106870219</v>
      </c>
      <c r="E92" s="26">
        <f>VLOOKUP(5906,季財報!$A:$H,8,0)</f>
        <v>3</v>
      </c>
      <c r="F92" s="161">
        <v>-2.8874999999999998E-2</v>
      </c>
      <c r="G92" s="54">
        <v>180824427.48091599</v>
      </c>
      <c r="H92" s="54">
        <v>1255978000</v>
      </c>
      <c r="I92" s="65">
        <v>0.14397101500258444</v>
      </c>
      <c r="J92" s="163">
        <v>0</v>
      </c>
    </row>
    <row r="93" spans="1:10" hidden="1">
      <c r="A93" s="64">
        <v>3028</v>
      </c>
      <c r="B93" s="151">
        <v>0.41</v>
      </c>
      <c r="C93" s="160">
        <v>1</v>
      </c>
      <c r="D93" s="153">
        <v>214634146.34146342</v>
      </c>
      <c r="E93" s="26">
        <f>VLOOKUP(3028,季財報!$A:$H,8,0)</f>
        <v>1</v>
      </c>
      <c r="F93" s="160">
        <v>1.2166666666666695E-3</v>
      </c>
      <c r="G93" s="153">
        <v>3423414634.1463413</v>
      </c>
      <c r="H93" s="153">
        <v>23723882000</v>
      </c>
      <c r="I93" s="151">
        <v>0.14430246424874063</v>
      </c>
      <c r="J93" s="153">
        <v>9.7256097560975618</v>
      </c>
    </row>
    <row r="94" spans="1:10" hidden="1">
      <c r="A94" s="64">
        <v>2430</v>
      </c>
      <c r="B94" s="151">
        <v>0.92</v>
      </c>
      <c r="C94" s="160">
        <v>1</v>
      </c>
      <c r="D94" s="153">
        <v>168478260.86956522</v>
      </c>
      <c r="E94" s="26">
        <f>VLOOKUP(2430,季財報!$A:$H,8,0)</f>
        <v>2</v>
      </c>
      <c r="F94" s="160">
        <v>1.0424999999999999E-2</v>
      </c>
      <c r="G94" s="153">
        <v>3428532608.6956525</v>
      </c>
      <c r="H94" s="153">
        <v>23359407000</v>
      </c>
      <c r="I94" s="151">
        <v>0.14677310124763238</v>
      </c>
      <c r="J94" s="153">
        <v>5.5298913043478262</v>
      </c>
    </row>
    <row r="95" spans="1:10" hidden="1">
      <c r="A95" s="64">
        <v>2321</v>
      </c>
      <c r="B95" s="151">
        <v>-0.06</v>
      </c>
      <c r="C95" s="160">
        <v>1</v>
      </c>
      <c r="D95" s="153">
        <v>283333333.33333337</v>
      </c>
      <c r="E95" s="26">
        <f>VLOOKUP(2321,季財報!$A:$H,8,0)</f>
        <v>2</v>
      </c>
      <c r="F95" s="160">
        <v>2.4091666666666667E-2</v>
      </c>
      <c r="G95" s="153">
        <v>614833333.33333337</v>
      </c>
      <c r="H95" s="153">
        <v>4155645000</v>
      </c>
      <c r="I95" s="151">
        <v>0.14795136093995839</v>
      </c>
      <c r="J95" s="153">
        <v>0</v>
      </c>
    </row>
    <row r="96" spans="1:10" hidden="1">
      <c r="A96" s="64">
        <v>8287</v>
      </c>
      <c r="B96" s="52">
        <v>0.77</v>
      </c>
      <c r="C96" s="161">
        <v>0.27067669172932329</v>
      </c>
      <c r="D96" s="158">
        <v>137662337.66233766</v>
      </c>
      <c r="E96" s="26">
        <f>VLOOKUP(8287,季財報!$A:$H,8,0)</f>
        <v>2</v>
      </c>
      <c r="F96" s="161">
        <v>2.5849999999999998E-2</v>
      </c>
      <c r="G96" s="54">
        <v>2285194805.1948051</v>
      </c>
      <c r="H96" s="54">
        <v>15398183000</v>
      </c>
      <c r="I96" s="65">
        <v>0.14840678313764716</v>
      </c>
      <c r="J96" s="163">
        <v>19.911616161616163</v>
      </c>
    </row>
    <row r="97" spans="1:10" hidden="1">
      <c r="A97" s="64">
        <v>3584</v>
      </c>
      <c r="B97" s="151">
        <v>-3.01</v>
      </c>
      <c r="C97" s="160">
        <v>0.8558786346396966</v>
      </c>
      <c r="D97" s="153">
        <v>140531561.46179402</v>
      </c>
      <c r="E97" s="26">
        <f>VLOOKUP(3584,季財報!$A:$H,8,0)</f>
        <v>0</v>
      </c>
      <c r="F97" s="160">
        <v>-5.7483333333333324E-2</v>
      </c>
      <c r="G97" s="153">
        <v>843189368.77076411</v>
      </c>
      <c r="H97" s="153">
        <v>5668836000</v>
      </c>
      <c r="I97" s="151">
        <v>0.14874118227635516</v>
      </c>
      <c r="J97" s="153">
        <v>0</v>
      </c>
    </row>
    <row r="98" spans="1:10" hidden="1">
      <c r="A98" s="64">
        <v>2025</v>
      </c>
      <c r="B98" s="151">
        <v>-0.56000000000000005</v>
      </c>
      <c r="C98" s="160">
        <v>0.66666666666666663</v>
      </c>
      <c r="D98" s="153">
        <v>278571428.57142854</v>
      </c>
      <c r="E98" s="26">
        <f>VLOOKUP(2025,季財報!$A:$H,8,0)</f>
        <v>1</v>
      </c>
      <c r="F98" s="160">
        <v>-1.140833333333334E-2</v>
      </c>
      <c r="G98" s="153">
        <v>501428571.4285714</v>
      </c>
      <c r="H98" s="153">
        <v>3364500000</v>
      </c>
      <c r="I98" s="151">
        <v>0.14903509330615883</v>
      </c>
      <c r="J98" s="153">
        <v>0</v>
      </c>
    </row>
    <row r="99" spans="1:10" hidden="1">
      <c r="A99" s="64">
        <v>6152</v>
      </c>
      <c r="B99" s="52">
        <v>-0.41</v>
      </c>
      <c r="C99" s="161">
        <v>1</v>
      </c>
      <c r="D99" s="158">
        <v>168292682.92682928</v>
      </c>
      <c r="E99" s="26">
        <f>VLOOKUP(6152,季財報!$A:$H,8,0)</f>
        <v>3</v>
      </c>
      <c r="F99" s="161">
        <v>1.9425000000000005E-2</v>
      </c>
      <c r="G99" s="54">
        <v>1203292682.9268293</v>
      </c>
      <c r="H99" s="54">
        <v>8067066000</v>
      </c>
      <c r="I99" s="65">
        <v>0.1491611303200977</v>
      </c>
      <c r="J99" s="163">
        <v>0</v>
      </c>
    </row>
    <row r="100" spans="1:10" hidden="1">
      <c r="A100" s="64">
        <v>5609</v>
      </c>
      <c r="B100" s="52">
        <v>0.17</v>
      </c>
      <c r="C100" s="161">
        <v>0.85106382978723405</v>
      </c>
      <c r="D100" s="158">
        <v>129411764.70588234</v>
      </c>
      <c r="E100" s="26">
        <f>VLOOKUP(5609,季財報!$A:$H,8,0)</f>
        <v>1</v>
      </c>
      <c r="F100" s="161">
        <v>-9.4999999999999653E-4</v>
      </c>
      <c r="G100" s="54">
        <v>2277647058.8235292</v>
      </c>
      <c r="H100" s="54">
        <v>14976568000</v>
      </c>
      <c r="I100" s="65">
        <v>0.15208070759759706</v>
      </c>
      <c r="J100" s="163">
        <v>30.411764705882351</v>
      </c>
    </row>
    <row r="101" spans="1:10" hidden="1">
      <c r="A101" s="64">
        <v>2616</v>
      </c>
      <c r="B101" s="151">
        <v>0.55000000000000004</v>
      </c>
      <c r="C101" s="160">
        <v>0.64102564102564108</v>
      </c>
      <c r="D101" s="153">
        <v>110909090.90909091</v>
      </c>
      <c r="E101" s="26">
        <f>VLOOKUP(2616,季財報!$A:$H,8,0)</f>
        <v>3</v>
      </c>
      <c r="F101" s="160">
        <v>-1.9125E-2</v>
      </c>
      <c r="G101" s="153">
        <v>2539818181.8181815</v>
      </c>
      <c r="H101" s="153">
        <v>16379067000</v>
      </c>
      <c r="I101" s="151">
        <v>0.15506488750660716</v>
      </c>
      <c r="J101" s="153">
        <v>16.238181818181815</v>
      </c>
    </row>
    <row r="102" spans="1:10" hidden="1">
      <c r="A102" s="64">
        <v>8101</v>
      </c>
      <c r="B102" s="52">
        <v>-0.23</v>
      </c>
      <c r="C102" s="161">
        <v>0.40217391304347827</v>
      </c>
      <c r="D102" s="158">
        <v>421739130.43478256</v>
      </c>
      <c r="E102" s="26">
        <f>VLOOKUP(8101,季財報!$A:$H,8,0)</f>
        <v>4</v>
      </c>
      <c r="F102" s="161">
        <v>-1.0825000000000015E-2</v>
      </c>
      <c r="G102" s="54">
        <v>3432956521.7391305</v>
      </c>
      <c r="H102" s="54">
        <v>22131971000</v>
      </c>
      <c r="I102" s="65">
        <v>0.15511300469981323</v>
      </c>
      <c r="J102" s="163">
        <v>0</v>
      </c>
    </row>
    <row r="103" spans="1:10" hidden="1">
      <c r="A103" s="64">
        <v>2347</v>
      </c>
      <c r="B103" s="151">
        <v>0.19</v>
      </c>
      <c r="C103" s="160">
        <v>1</v>
      </c>
      <c r="D103" s="153">
        <v>1589473684.2105262</v>
      </c>
      <c r="E103" s="26">
        <f>VLOOKUP(2347,季財報!$A:$H,8,0)</f>
        <v>0</v>
      </c>
      <c r="F103" s="160">
        <v>2.9266666666666673E-2</v>
      </c>
      <c r="G103" s="153">
        <v>49671052631.578941</v>
      </c>
      <c r="H103" s="153">
        <v>316371540000</v>
      </c>
      <c r="I103" s="151">
        <v>0.15700227849691833</v>
      </c>
      <c r="J103" s="153">
        <v>41.118421052631575</v>
      </c>
    </row>
    <row r="104" spans="1:10" hidden="1">
      <c r="A104" s="64">
        <v>1210</v>
      </c>
      <c r="B104" s="151">
        <v>0.5</v>
      </c>
      <c r="C104" s="160">
        <v>1</v>
      </c>
      <c r="D104" s="153">
        <v>686000000</v>
      </c>
      <c r="E104" s="26">
        <f>VLOOKUP(1210,季財報!$A:$H,8,0)</f>
        <v>2</v>
      </c>
      <c r="F104" s="160">
        <v>-1.17E-2</v>
      </c>
      <c r="G104" s="153">
        <v>13068300000</v>
      </c>
      <c r="H104" s="153">
        <v>82214565000</v>
      </c>
      <c r="I104" s="151">
        <v>0.15895358687356675</v>
      </c>
      <c r="J104" s="153">
        <v>9.5250000000000004</v>
      </c>
    </row>
    <row r="105" spans="1:10" hidden="1">
      <c r="A105" s="64">
        <v>6190</v>
      </c>
      <c r="B105" s="52">
        <v>0.09</v>
      </c>
      <c r="C105" s="161">
        <v>1</v>
      </c>
      <c r="D105" s="158">
        <v>111111111.11111112</v>
      </c>
      <c r="E105" s="26">
        <f>VLOOKUP(6190,季財報!$A:$H,8,0)</f>
        <v>2</v>
      </c>
      <c r="F105" s="161">
        <v>-1.3416666666666648E-3</v>
      </c>
      <c r="G105" s="54">
        <v>652222222.22222233</v>
      </c>
      <c r="H105" s="54">
        <v>4036326000</v>
      </c>
      <c r="I105" s="65">
        <v>0.16158809328637536</v>
      </c>
      <c r="J105" s="163">
        <v>16.305555555555557</v>
      </c>
    </row>
    <row r="106" spans="1:10" hidden="1">
      <c r="A106" s="64">
        <v>2356</v>
      </c>
      <c r="B106" s="151">
        <v>0.54</v>
      </c>
      <c r="C106" s="160">
        <v>0.44555091551557985</v>
      </c>
      <c r="D106" s="153">
        <v>3598148148.1481481</v>
      </c>
      <c r="E106" s="26">
        <f>VLOOKUP(2356,季財報!$A:$H,8,0)</f>
        <v>4</v>
      </c>
      <c r="F106" s="160">
        <v>6.4583333333333376E-3</v>
      </c>
      <c r="G106" s="153">
        <v>65126481481.481483</v>
      </c>
      <c r="H106" s="153">
        <v>396505693000</v>
      </c>
      <c r="I106" s="151">
        <v>0.164251062799952</v>
      </c>
      <c r="J106" s="153">
        <v>18.807344655398008</v>
      </c>
    </row>
    <row r="107" spans="1:10" hidden="1">
      <c r="A107" s="64">
        <v>2352</v>
      </c>
      <c r="B107" s="151">
        <v>0.28999999999999998</v>
      </c>
      <c r="C107" s="160">
        <v>0.44444444444444442</v>
      </c>
      <c r="D107" s="153">
        <v>1975862068.9655173</v>
      </c>
      <c r="E107" s="26">
        <f>VLOOKUP(2352,季財報!$A:$H,8,0)</f>
        <v>1</v>
      </c>
      <c r="F107" s="160">
        <v>7.7499999999999911E-4</v>
      </c>
      <c r="G107" s="153">
        <v>22030862068.965519</v>
      </c>
      <c r="H107" s="153">
        <v>133829016000</v>
      </c>
      <c r="I107" s="151">
        <v>0.16461947287250112</v>
      </c>
      <c r="J107" s="153">
        <v>21.627155172413794</v>
      </c>
    </row>
    <row r="108" spans="1:10" hidden="1">
      <c r="A108" s="64">
        <v>2414</v>
      </c>
      <c r="B108" s="151">
        <v>0.35</v>
      </c>
      <c r="C108" s="160">
        <v>1</v>
      </c>
      <c r="D108" s="153">
        <v>160000000</v>
      </c>
      <c r="E108" s="26">
        <f>VLOOKUP(2414,季財報!$A:$H,8,0)</f>
        <v>1</v>
      </c>
      <c r="F108" s="160">
        <v>2.0033333333333334E-2</v>
      </c>
      <c r="G108" s="153">
        <v>2600000000</v>
      </c>
      <c r="H108" s="153">
        <v>15567329000</v>
      </c>
      <c r="I108" s="151">
        <v>0.16701644835796814</v>
      </c>
      <c r="J108" s="153">
        <v>11.607142857142858</v>
      </c>
    </row>
    <row r="109" spans="1:10" hidden="1">
      <c r="A109" s="64">
        <v>1609</v>
      </c>
      <c r="B109" s="151">
        <v>-0.45</v>
      </c>
      <c r="C109" s="160">
        <v>0.4578005115089514</v>
      </c>
      <c r="D109" s="153">
        <v>564444444.44444442</v>
      </c>
      <c r="E109" s="26">
        <f>VLOOKUP(1609,季財報!$A:$H,8,0)</f>
        <v>0</v>
      </c>
      <c r="F109" s="160">
        <v>2.6183333333333326E-2</v>
      </c>
      <c r="G109" s="153">
        <v>2635955555.5555553</v>
      </c>
      <c r="H109" s="153">
        <v>15733492000</v>
      </c>
      <c r="I109" s="151">
        <v>0.16753785844589081</v>
      </c>
      <c r="J109" s="153">
        <v>0</v>
      </c>
    </row>
    <row r="110" spans="1:10" hidden="1">
      <c r="A110" s="64">
        <v>1605</v>
      </c>
      <c r="B110" s="151">
        <v>0.19</v>
      </c>
      <c r="C110" s="160">
        <v>0.44581818181818184</v>
      </c>
      <c r="D110" s="153">
        <v>3500000000</v>
      </c>
      <c r="E110" s="26">
        <f>VLOOKUP(1605,季財報!$A:$H,8,0)</f>
        <v>1</v>
      </c>
      <c r="F110" s="160">
        <v>5.4833333333333305E-3</v>
      </c>
      <c r="G110" s="153">
        <v>25095000000</v>
      </c>
      <c r="H110" s="153">
        <v>149284728000</v>
      </c>
      <c r="I110" s="151">
        <v>0.16810158906542672</v>
      </c>
      <c r="J110" s="153">
        <v>21.1615652099253</v>
      </c>
    </row>
    <row r="111" spans="1:10" hidden="1">
      <c r="A111" s="64">
        <v>1714</v>
      </c>
      <c r="B111" s="151">
        <v>0.33</v>
      </c>
      <c r="C111" s="160">
        <v>0.36832061068702288</v>
      </c>
      <c r="D111" s="153">
        <v>954545454.5454545</v>
      </c>
      <c r="E111" s="26">
        <f>VLOOKUP(1714,季財報!$A:$H,8,0)</f>
        <v>1</v>
      </c>
      <c r="F111" s="160">
        <v>-1.4624999999999997E-2</v>
      </c>
      <c r="G111" s="153">
        <v>7369090909.0909081</v>
      </c>
      <c r="H111" s="153">
        <v>43806584000</v>
      </c>
      <c r="I111" s="151">
        <v>0.1682187980941611</v>
      </c>
      <c r="J111" s="153">
        <v>15.878787878787879</v>
      </c>
    </row>
    <row r="112" spans="1:10" hidden="1">
      <c r="A112" s="64">
        <v>6191</v>
      </c>
      <c r="B112" s="52">
        <v>0.04</v>
      </c>
      <c r="C112" s="161">
        <v>0</v>
      </c>
      <c r="D112" s="158">
        <v>600000000</v>
      </c>
      <c r="E112" s="26">
        <f>VLOOKUP(6191,季財報!$A:$H,8,0)</f>
        <v>0</v>
      </c>
      <c r="F112" s="161">
        <v>-5.0416666666666674E-3</v>
      </c>
      <c r="G112" s="54">
        <v>4038000000.0000005</v>
      </c>
      <c r="H112" s="54">
        <v>23799884000</v>
      </c>
      <c r="I112" s="65">
        <v>0.16966469248337515</v>
      </c>
      <c r="J112" s="163">
        <v>0</v>
      </c>
    </row>
    <row r="113" spans="1:10" hidden="1">
      <c r="A113" s="64">
        <v>4973</v>
      </c>
      <c r="B113" s="52">
        <v>0.31</v>
      </c>
      <c r="C113" s="161">
        <v>1</v>
      </c>
      <c r="D113" s="158">
        <v>64516129.032258064</v>
      </c>
      <c r="E113" s="26">
        <f>VLOOKUP(4973,季財報!$A:$H,8,0)</f>
        <v>4</v>
      </c>
      <c r="F113" s="161">
        <v>-3.4891666666666661E-2</v>
      </c>
      <c r="G113" s="54">
        <v>1041935483.8709676</v>
      </c>
      <c r="H113" s="54">
        <v>5814155000</v>
      </c>
      <c r="I113" s="65">
        <v>0.17920669192186442</v>
      </c>
      <c r="J113" s="163">
        <v>13.024193548387096</v>
      </c>
    </row>
    <row r="114" spans="1:10" hidden="1">
      <c r="A114" s="64">
        <v>5386</v>
      </c>
      <c r="B114" s="52">
        <v>1.02</v>
      </c>
      <c r="C114" s="161">
        <v>0.88461538461538458</v>
      </c>
      <c r="D114" s="158">
        <v>12745098.039215686</v>
      </c>
      <c r="E114" s="26">
        <f>VLOOKUP(5386,季財報!$A:$H,8,0)</f>
        <v>2</v>
      </c>
      <c r="F114" s="161">
        <v>0.32258333333333333</v>
      </c>
      <c r="G114" s="54">
        <v>323725490.19607842</v>
      </c>
      <c r="H114" s="54">
        <v>1791397000</v>
      </c>
      <c r="I114" s="65">
        <v>0.18071119366398314</v>
      </c>
      <c r="J114" s="163">
        <v>7.0375106564364875</v>
      </c>
    </row>
    <row r="115" spans="1:10" hidden="1">
      <c r="A115" s="64">
        <v>4938</v>
      </c>
      <c r="B115" s="52">
        <v>2.31</v>
      </c>
      <c r="C115" s="161">
        <v>0.96729147141518279</v>
      </c>
      <c r="D115" s="158">
        <v>2603463203.4632034</v>
      </c>
      <c r="E115" s="26">
        <f>VLOOKUP(4938,季財報!$A:$H,8,0)</f>
        <v>1</v>
      </c>
      <c r="F115" s="161">
        <v>8.0266666666666639E-2</v>
      </c>
      <c r="G115" s="54">
        <v>223897835497.83551</v>
      </c>
      <c r="H115" s="54">
        <v>1209035021000</v>
      </c>
      <c r="I115" s="65">
        <v>0.18518722089013459</v>
      </c>
      <c r="J115" s="163">
        <v>9.6220835005836456</v>
      </c>
    </row>
    <row r="116" spans="1:10" hidden="1">
      <c r="A116" s="64">
        <v>5491</v>
      </c>
      <c r="B116" s="52">
        <v>-0.17</v>
      </c>
      <c r="C116" s="161">
        <v>0.71098265895953761</v>
      </c>
      <c r="D116" s="158">
        <v>211764705.88235292</v>
      </c>
      <c r="E116" s="26">
        <f>VLOOKUP(5491,季財報!$A:$H,8,0)</f>
        <v>2</v>
      </c>
      <c r="F116" s="161">
        <v>-6.5000000000000127E-4</v>
      </c>
      <c r="G116" s="54">
        <v>1535294117.6470587</v>
      </c>
      <c r="H116" s="54">
        <v>8249914000</v>
      </c>
      <c r="I116" s="65">
        <v>0.18609819661720822</v>
      </c>
      <c r="J116" s="163">
        <v>0</v>
      </c>
    </row>
    <row r="117" spans="1:10" hidden="1">
      <c r="A117" s="64">
        <v>6120</v>
      </c>
      <c r="B117" s="52">
        <v>-0.23</v>
      </c>
      <c r="C117" s="161">
        <v>1</v>
      </c>
      <c r="D117" s="158">
        <v>752173913.04347825</v>
      </c>
      <c r="E117" s="26">
        <f>VLOOKUP(6120,季財報!$A:$H,8,0)</f>
        <v>0</v>
      </c>
      <c r="F117" s="161">
        <v>-8.7499999999999991E-3</v>
      </c>
      <c r="G117" s="54">
        <v>8198695652.173913</v>
      </c>
      <c r="H117" s="54">
        <v>43953009000</v>
      </c>
      <c r="I117" s="65">
        <v>0.18653320531875106</v>
      </c>
      <c r="J117" s="163">
        <v>0</v>
      </c>
    </row>
    <row r="118" spans="1:10" hidden="1">
      <c r="A118" s="64">
        <v>8053</v>
      </c>
      <c r="B118" s="52">
        <v>-0.62</v>
      </c>
      <c r="C118" s="161">
        <v>0.83483483483483478</v>
      </c>
      <c r="D118" s="158">
        <v>409677419.35483873</v>
      </c>
      <c r="E118" s="26">
        <f>VLOOKUP(8053,季財報!$A:$H,8,0)</f>
        <v>2</v>
      </c>
      <c r="F118" s="161">
        <v>-1.6325000000000003E-2</v>
      </c>
      <c r="G118" s="54">
        <v>696451612.90322578</v>
      </c>
      <c r="H118" s="54">
        <v>3665930000</v>
      </c>
      <c r="I118" s="65">
        <v>0.18997951758577653</v>
      </c>
      <c r="J118" s="163">
        <v>0</v>
      </c>
    </row>
    <row r="119" spans="1:10" hidden="1">
      <c r="A119" s="64">
        <v>6134</v>
      </c>
      <c r="B119" s="52">
        <v>0.02</v>
      </c>
      <c r="C119" s="161">
        <v>1</v>
      </c>
      <c r="D119" s="158">
        <v>50000000</v>
      </c>
      <c r="E119" s="26">
        <f>VLOOKUP(6134,季財報!$A:$H,8,0)</f>
        <v>2</v>
      </c>
      <c r="F119" s="161">
        <v>-2.475000000000005E-3</v>
      </c>
      <c r="G119" s="54">
        <v>337000000</v>
      </c>
      <c r="H119" s="54">
        <v>1679954000</v>
      </c>
      <c r="I119" s="65">
        <v>0.20060073073429391</v>
      </c>
      <c r="J119" s="163">
        <v>50</v>
      </c>
    </row>
    <row r="120" spans="1:10" hidden="1">
      <c r="A120" s="64">
        <v>3562</v>
      </c>
      <c r="B120" s="151">
        <v>-0.11</v>
      </c>
      <c r="C120" s="160">
        <v>0</v>
      </c>
      <c r="D120" s="153">
        <v>54545454.545454547</v>
      </c>
      <c r="E120" s="26">
        <f>VLOOKUP(3562,季財報!$A:$H,8,0)</f>
        <v>0</v>
      </c>
      <c r="F120" s="160">
        <v>8.8458333333333347E-2</v>
      </c>
      <c r="G120" s="153">
        <v>204000000.00000003</v>
      </c>
      <c r="H120" s="153">
        <v>1009620000</v>
      </c>
      <c r="I120" s="151">
        <v>0.20205621917156952</v>
      </c>
      <c r="J120" s="153">
        <v>0</v>
      </c>
    </row>
    <row r="121" spans="1:10" hidden="1">
      <c r="A121" s="64">
        <v>8171</v>
      </c>
      <c r="B121" s="52">
        <v>0.24</v>
      </c>
      <c r="C121" s="161">
        <v>1</v>
      </c>
      <c r="D121" s="158">
        <v>50000000</v>
      </c>
      <c r="E121" s="26">
        <f>VLOOKUP(8171,季財報!$A:$H,8,0)</f>
        <v>2</v>
      </c>
      <c r="F121" s="161">
        <v>1.8983333333333345E-2</v>
      </c>
      <c r="G121" s="54">
        <v>497499999.99999994</v>
      </c>
      <c r="H121" s="54">
        <v>2455810000</v>
      </c>
      <c r="I121" s="65">
        <v>0.20258081854866619</v>
      </c>
      <c r="J121" s="163">
        <v>10.364583333333332</v>
      </c>
    </row>
    <row r="122" spans="1:10" hidden="1">
      <c r="A122" s="64">
        <v>8240</v>
      </c>
      <c r="B122" s="52">
        <v>7.0000000000000007E-2</v>
      </c>
      <c r="C122" s="161">
        <v>0</v>
      </c>
      <c r="D122" s="158">
        <v>99999999.999999985</v>
      </c>
      <c r="E122" s="26">
        <f>VLOOKUP(8240,季財報!$A:$H,8,0)</f>
        <v>4</v>
      </c>
      <c r="F122" s="161">
        <v>-1.2274999999999996E-2</v>
      </c>
      <c r="G122" s="54">
        <v>2004999999.9999998</v>
      </c>
      <c r="H122" s="54">
        <v>9810982000</v>
      </c>
      <c r="I122" s="65">
        <v>0.2043628252503164</v>
      </c>
      <c r="J122" s="163">
        <v>0</v>
      </c>
    </row>
    <row r="123" spans="1:10" hidden="1">
      <c r="A123" s="64">
        <v>3024</v>
      </c>
      <c r="B123" s="151">
        <v>-0.34</v>
      </c>
      <c r="C123" s="160">
        <v>1</v>
      </c>
      <c r="D123" s="153">
        <v>279411764.70588231</v>
      </c>
      <c r="E123" s="26">
        <f>VLOOKUP(3024,季財報!$A:$H,8,0)</f>
        <v>0</v>
      </c>
      <c r="F123" s="160">
        <v>-7.0750000000000023E-3</v>
      </c>
      <c r="G123" s="153">
        <v>1153970588.2352939</v>
      </c>
      <c r="H123" s="153">
        <v>5620850000</v>
      </c>
      <c r="I123" s="151">
        <v>0.20530179389866193</v>
      </c>
      <c r="J123" s="153">
        <v>0</v>
      </c>
    </row>
    <row r="124" spans="1:10" hidden="1">
      <c r="A124" s="64">
        <v>1512</v>
      </c>
      <c r="B124" s="151">
        <v>-0.04</v>
      </c>
      <c r="C124" s="160">
        <v>1</v>
      </c>
      <c r="D124" s="153">
        <v>175000000</v>
      </c>
      <c r="E124" s="26">
        <f>VLOOKUP(1512,季財報!$A:$H,8,0)</f>
        <v>5</v>
      </c>
      <c r="F124" s="160">
        <v>6.5983333333333338E-2</v>
      </c>
      <c r="G124" s="153">
        <v>820750000.00000012</v>
      </c>
      <c r="H124" s="153">
        <v>3981773000</v>
      </c>
      <c r="I124" s="151">
        <v>0.20612676815077105</v>
      </c>
      <c r="J124" s="153">
        <v>0</v>
      </c>
    </row>
    <row r="125" spans="1:10" hidden="1">
      <c r="A125" s="64">
        <v>2382</v>
      </c>
      <c r="B125" s="151">
        <v>1.51</v>
      </c>
      <c r="C125" s="160">
        <v>0.66384180790960456</v>
      </c>
      <c r="D125" s="153">
        <v>3861589403.9735098</v>
      </c>
      <c r="E125" s="26">
        <f>VLOOKUP(2382,季財報!$A:$H,8,0)</f>
        <v>2</v>
      </c>
      <c r="F125" s="160">
        <v>2.9516666666666663E-2</v>
      </c>
      <c r="G125" s="153">
        <v>206981192052.98013</v>
      </c>
      <c r="H125" s="153">
        <v>991631104000</v>
      </c>
      <c r="I125" s="151">
        <v>0.20872801510366917</v>
      </c>
      <c r="J125" s="153">
        <v>13.367901930393122</v>
      </c>
    </row>
    <row r="126" spans="1:10" hidden="1">
      <c r="A126" s="64">
        <v>6139</v>
      </c>
      <c r="B126" s="52">
        <v>0.79</v>
      </c>
      <c r="C126" s="161">
        <v>0.60893854748603349</v>
      </c>
      <c r="D126" s="158">
        <v>187341772.15189871</v>
      </c>
      <c r="E126" s="26">
        <f>VLOOKUP(6139,季財報!$A:$H,8,0)</f>
        <v>2</v>
      </c>
      <c r="F126" s="161">
        <v>8.2999999999999931E-3</v>
      </c>
      <c r="G126" s="54">
        <v>3344050632.9113922</v>
      </c>
      <c r="H126" s="54">
        <v>16017819000</v>
      </c>
      <c r="I126" s="65">
        <v>0.2087706592833514</v>
      </c>
      <c r="J126" s="163">
        <v>9.2763616304726515</v>
      </c>
    </row>
    <row r="127" spans="1:10" hidden="1">
      <c r="A127" s="64">
        <v>6196</v>
      </c>
      <c r="B127" s="52">
        <v>1.19</v>
      </c>
      <c r="C127" s="161">
        <v>0.71014492753623193</v>
      </c>
      <c r="D127" s="158">
        <v>165546218.48739496</v>
      </c>
      <c r="E127" s="26">
        <f>VLOOKUP(6196,季財報!$A:$H,8,0)</f>
        <v>3</v>
      </c>
      <c r="F127" s="161">
        <v>4.2100000000000005E-2</v>
      </c>
      <c r="G127" s="54">
        <v>3766176470.5882354</v>
      </c>
      <c r="H127" s="54">
        <v>18036038000</v>
      </c>
      <c r="I127" s="65">
        <v>0.20881395739952618</v>
      </c>
      <c r="J127" s="163">
        <v>6.7301920768307326</v>
      </c>
    </row>
    <row r="128" spans="1:10" hidden="1">
      <c r="A128" s="64">
        <v>2392</v>
      </c>
      <c r="B128" s="151">
        <v>2</v>
      </c>
      <c r="C128" s="160">
        <v>0</v>
      </c>
      <c r="D128" s="153">
        <v>512500000</v>
      </c>
      <c r="E128" s="26">
        <f>VLOOKUP(2392,季財報!$A:$H,8,0)</f>
        <v>3</v>
      </c>
      <c r="F128" s="160">
        <v>4.3166666666666666E-2</v>
      </c>
      <c r="G128" s="153">
        <v>22960000000</v>
      </c>
      <c r="H128" s="153">
        <v>107819404000</v>
      </c>
      <c r="I128" s="151">
        <v>0.21294868222421262</v>
      </c>
      <c r="J128" s="153">
        <v>0</v>
      </c>
    </row>
    <row r="129" spans="1:10" hidden="1">
      <c r="A129" s="64">
        <v>2030</v>
      </c>
      <c r="B129" s="151">
        <v>-0.35</v>
      </c>
      <c r="C129" s="160">
        <v>0.58677685950413228</v>
      </c>
      <c r="D129" s="153">
        <v>282857142.85714287</v>
      </c>
      <c r="E129" s="26">
        <f>VLOOKUP(2030,季財報!$A:$H,8,0)</f>
        <v>2</v>
      </c>
      <c r="F129" s="160">
        <v>1.2733333333333327E-2</v>
      </c>
      <c r="G129" s="153">
        <v>2588142857.1428576</v>
      </c>
      <c r="H129" s="153">
        <v>12083650000</v>
      </c>
      <c r="I129" s="151">
        <v>0.21418551986716411</v>
      </c>
      <c r="J129" s="153">
        <v>0</v>
      </c>
    </row>
    <row r="130" spans="1:10" hidden="1">
      <c r="A130" s="64">
        <v>2014</v>
      </c>
      <c r="B130" s="151">
        <v>0.35</v>
      </c>
      <c r="C130" s="160">
        <v>0</v>
      </c>
      <c r="D130" s="153">
        <v>1454285714.2857144</v>
      </c>
      <c r="E130" s="26">
        <f>VLOOKUP(2014,季財報!$A:$H,8,0)</f>
        <v>4</v>
      </c>
      <c r="F130" s="160">
        <v>-9.1249999999999994E-3</v>
      </c>
      <c r="G130" s="153">
        <v>6587914285.7142868</v>
      </c>
      <c r="H130" s="153">
        <v>30743907000</v>
      </c>
      <c r="I130" s="151">
        <v>0.21428357448889912</v>
      </c>
      <c r="J130" s="153">
        <v>0</v>
      </c>
    </row>
    <row r="131" spans="1:10" hidden="1">
      <c r="A131" s="64">
        <v>2027</v>
      </c>
      <c r="B131" s="151">
        <v>-0.33</v>
      </c>
      <c r="C131" s="160">
        <v>1</v>
      </c>
      <c r="D131" s="153">
        <v>787878787.87878788</v>
      </c>
      <c r="E131" s="26">
        <f>VLOOKUP(2027,季財報!$A:$H,8,0)</f>
        <v>1</v>
      </c>
      <c r="F131" s="160">
        <v>-4.6166666666666691E-3</v>
      </c>
      <c r="G131" s="153">
        <v>11148484848.484848</v>
      </c>
      <c r="H131" s="153">
        <v>51385347000</v>
      </c>
      <c r="I131" s="151">
        <v>0.21695844242298973</v>
      </c>
      <c r="J131" s="153">
        <v>0</v>
      </c>
    </row>
    <row r="132" spans="1:10" hidden="1">
      <c r="A132" s="64">
        <v>2719</v>
      </c>
      <c r="B132" s="151">
        <v>-0.24</v>
      </c>
      <c r="C132" s="160">
        <v>1</v>
      </c>
      <c r="D132" s="153">
        <v>37500000</v>
      </c>
      <c r="E132" s="26">
        <f>VLOOKUP(2719,季財報!$A:$H,8,0)</f>
        <v>0</v>
      </c>
      <c r="F132" s="160">
        <v>3.1208333333333324E-2</v>
      </c>
      <c r="G132" s="153">
        <v>658125000</v>
      </c>
      <c r="H132" s="153">
        <v>3027090000</v>
      </c>
      <c r="I132" s="151">
        <v>0.21741177170153514</v>
      </c>
      <c r="J132" s="153">
        <v>0</v>
      </c>
    </row>
    <row r="133" spans="1:10" hidden="1">
      <c r="A133" s="64">
        <v>3483</v>
      </c>
      <c r="B133" s="151">
        <v>0.14000000000000001</v>
      </c>
      <c r="C133" s="160">
        <v>1</v>
      </c>
      <c r="D133" s="153">
        <v>49999999.999999993</v>
      </c>
      <c r="E133" s="26">
        <f>VLOOKUP(3483,季財報!$A:$H,8,0)</f>
        <v>3</v>
      </c>
      <c r="F133" s="160">
        <v>3.0974999999999999E-2</v>
      </c>
      <c r="G133" s="153">
        <v>597499999.99999988</v>
      </c>
      <c r="H133" s="153">
        <v>2733964000</v>
      </c>
      <c r="I133" s="151">
        <v>0.2185471352219707</v>
      </c>
      <c r="J133" s="153">
        <v>21.339285714285712</v>
      </c>
    </row>
    <row r="134" spans="1:10" hidden="1">
      <c r="A134" s="64">
        <v>3701</v>
      </c>
      <c r="B134" s="151">
        <v>-0.1</v>
      </c>
      <c r="C134" s="160">
        <v>1</v>
      </c>
      <c r="D134" s="153">
        <v>350000000</v>
      </c>
      <c r="E134" s="26">
        <f>VLOOKUP(3701,季財報!$A:$H,8,0)</f>
        <v>2</v>
      </c>
      <c r="F134" s="160">
        <v>8.0000000000000002E-3</v>
      </c>
      <c r="G134" s="153">
        <v>2971500000</v>
      </c>
      <c r="H134" s="153">
        <v>13134771000</v>
      </c>
      <c r="I134" s="151">
        <v>0.22623158028411763</v>
      </c>
      <c r="J134" s="153">
        <v>0</v>
      </c>
    </row>
    <row r="135" spans="1:10" hidden="1">
      <c r="A135" s="64">
        <v>8043</v>
      </c>
      <c r="B135" s="52">
        <v>1.06</v>
      </c>
      <c r="C135" s="161">
        <v>0.2808988764044944</v>
      </c>
      <c r="D135" s="158">
        <v>79245283.018867925</v>
      </c>
      <c r="E135" s="26">
        <f>VLOOKUP(8043,季財報!$A:$H,8,0)</f>
        <v>3</v>
      </c>
      <c r="F135" s="161">
        <v>3.3633333333333341E-2</v>
      </c>
      <c r="G135" s="54">
        <v>1184716981.1320753</v>
      </c>
      <c r="H135" s="54">
        <v>5203777000</v>
      </c>
      <c r="I135" s="65">
        <v>0.22766482520908857</v>
      </c>
      <c r="J135" s="163">
        <v>12.552358490566034</v>
      </c>
    </row>
    <row r="136" spans="1:10" hidden="1">
      <c r="A136" s="64">
        <v>2609</v>
      </c>
      <c r="B136" s="151">
        <v>-1.22</v>
      </c>
      <c r="C136" s="160">
        <v>0.7617813383600377</v>
      </c>
      <c r="D136" s="153">
        <v>3468852459.0163937</v>
      </c>
      <c r="E136" s="26">
        <f>VLOOKUP(2609,季財報!$A:$H,8,0)</f>
        <v>1</v>
      </c>
      <c r="F136" s="160">
        <v>-1.1899999999999999E-2</v>
      </c>
      <c r="G136" s="153">
        <v>29970885245.901642</v>
      </c>
      <c r="H136" s="153">
        <v>130817443000</v>
      </c>
      <c r="I136" s="151">
        <v>0.22910465575987174</v>
      </c>
      <c r="J136" s="153">
        <v>0</v>
      </c>
    </row>
    <row r="137" spans="1:10" hidden="1">
      <c r="A137" s="64">
        <v>1313</v>
      </c>
      <c r="B137" s="151">
        <v>-0.21</v>
      </c>
      <c r="C137" s="160">
        <v>0.11842105263157894</v>
      </c>
      <c r="D137" s="153">
        <v>1171428571.4285715</v>
      </c>
      <c r="E137" s="26">
        <f>VLOOKUP(1313,季財報!$A:$H,8,0)</f>
        <v>0</v>
      </c>
      <c r="F137" s="160">
        <v>1.585E-2</v>
      </c>
      <c r="G137" s="153">
        <v>10578000000</v>
      </c>
      <c r="H137" s="153">
        <v>45699494000</v>
      </c>
      <c r="I137" s="151">
        <v>0.23146864602045703</v>
      </c>
      <c r="J137" s="153">
        <v>0</v>
      </c>
    </row>
    <row r="138" spans="1:10" hidden="1">
      <c r="A138" s="64">
        <v>2013</v>
      </c>
      <c r="B138" s="151">
        <v>0.24</v>
      </c>
      <c r="C138" s="160">
        <v>0.70408163265306123</v>
      </c>
      <c r="D138" s="153">
        <v>191666666.66666669</v>
      </c>
      <c r="E138" s="26">
        <f>VLOOKUP(2013,季財報!$A:$H,8,0)</f>
        <v>0</v>
      </c>
      <c r="F138" s="160">
        <v>1.6458333333333332E-2</v>
      </c>
      <c r="G138" s="153">
        <v>3612916666.6666675</v>
      </c>
      <c r="H138" s="153">
        <v>15455815000</v>
      </c>
      <c r="I138" s="151">
        <v>0.23375775827199455</v>
      </c>
      <c r="J138" s="153">
        <v>27.88798309178744</v>
      </c>
    </row>
    <row r="139" spans="1:10" hidden="1">
      <c r="A139" s="64">
        <v>2409</v>
      </c>
      <c r="B139" s="151">
        <v>0.36</v>
      </c>
      <c r="C139" s="160">
        <v>0.98554913294797686</v>
      </c>
      <c r="D139" s="153">
        <v>9619444444.4444447</v>
      </c>
      <c r="E139" s="26">
        <f>VLOOKUP(2409,季財報!$A:$H,8,0)</f>
        <v>1</v>
      </c>
      <c r="F139" s="160">
        <v>-1.4983333333333329E-2</v>
      </c>
      <c r="G139" s="153">
        <v>88017916666.666672</v>
      </c>
      <c r="H139" s="153">
        <v>374551273000</v>
      </c>
      <c r="I139" s="151">
        <v>0.23499564148235233</v>
      </c>
      <c r="J139" s="153">
        <v>6.4473362658846538</v>
      </c>
    </row>
    <row r="140" spans="1:10" hidden="1">
      <c r="A140" s="64">
        <v>2331</v>
      </c>
      <c r="B140" s="151">
        <v>0.85</v>
      </c>
      <c r="C140" s="160">
        <v>0.73248407643312097</v>
      </c>
      <c r="D140" s="153">
        <v>555294117.64705884</v>
      </c>
      <c r="E140" s="26">
        <f>VLOOKUP(2331,季財報!$A:$H,8,0)</f>
        <v>4</v>
      </c>
      <c r="F140" s="160">
        <v>7.4766666666666676E-2</v>
      </c>
      <c r="G140" s="153">
        <v>12632941176.470589</v>
      </c>
      <c r="H140" s="153">
        <v>53248245000</v>
      </c>
      <c r="I140" s="151">
        <v>0.23724615105099875</v>
      </c>
      <c r="J140" s="153">
        <v>9.1349104859335046</v>
      </c>
    </row>
    <row r="141" spans="1:10" hidden="1">
      <c r="A141" s="150">
        <v>2023</v>
      </c>
      <c r="B141" s="156">
        <v>-0.26</v>
      </c>
      <c r="C141" s="160">
        <v>0</v>
      </c>
      <c r="D141" s="157">
        <v>1711538461.5384614</v>
      </c>
      <c r="E141" s="26">
        <f>VLOOKUP(2023,季財報!$A:$H,8,0)</f>
        <v>0</v>
      </c>
      <c r="F141" s="160">
        <v>-2.9449999999999994E-2</v>
      </c>
      <c r="G141" s="157">
        <v>12631153846.153845</v>
      </c>
      <c r="H141" s="157">
        <v>52980384000</v>
      </c>
      <c r="I141" s="156">
        <v>0.23841189686646749</v>
      </c>
      <c r="J141" s="157">
        <v>0</v>
      </c>
    </row>
    <row r="142" spans="1:10" hidden="1">
      <c r="A142" s="64">
        <v>2332</v>
      </c>
      <c r="B142" s="151">
        <v>-0.81</v>
      </c>
      <c r="C142" s="160">
        <v>0.70606060606060606</v>
      </c>
      <c r="D142" s="153">
        <v>651851851.85185182</v>
      </c>
      <c r="E142" s="26">
        <f>VLOOKUP(2332,季財報!$A:$H,8,0)</f>
        <v>2</v>
      </c>
      <c r="F142" s="160">
        <v>-5.8583333333333343E-3</v>
      </c>
      <c r="G142" s="153">
        <v>6714074074.0740738</v>
      </c>
      <c r="H142" s="153">
        <v>27995011000</v>
      </c>
      <c r="I142" s="151">
        <v>0.23983109254981447</v>
      </c>
      <c r="J142" s="153">
        <v>0</v>
      </c>
    </row>
    <row r="143" spans="1:10" hidden="1">
      <c r="A143" s="64">
        <v>5371</v>
      </c>
      <c r="B143" s="52">
        <v>1.27</v>
      </c>
      <c r="C143" s="161">
        <v>0.65109343936381714</v>
      </c>
      <c r="D143" s="158">
        <v>542519685.03937006</v>
      </c>
      <c r="E143" s="26">
        <f>VLOOKUP(5371,季財報!$A:$H,8,0)</f>
        <v>1</v>
      </c>
      <c r="F143" s="161">
        <v>-2.3666666666666662E-3</v>
      </c>
      <c r="G143" s="54">
        <v>16763858267.716534</v>
      </c>
      <c r="H143" s="54">
        <v>69761143000</v>
      </c>
      <c r="I143" s="65">
        <v>0.24030366399983633</v>
      </c>
      <c r="J143" s="163">
        <v>9.3422492035823765</v>
      </c>
    </row>
    <row r="144" spans="1:10" hidden="1">
      <c r="A144" s="64">
        <v>1449</v>
      </c>
      <c r="B144" s="151">
        <v>-0.55000000000000004</v>
      </c>
      <c r="C144" s="160">
        <v>1</v>
      </c>
      <c r="D144" s="153">
        <v>118181818.18181817</v>
      </c>
      <c r="E144" s="26">
        <f>VLOOKUP(1449,季財報!$A:$H,8,0)</f>
        <v>1</v>
      </c>
      <c r="F144" s="160">
        <v>3.5366666666666664E-2</v>
      </c>
      <c r="G144" s="153">
        <v>758727272.72727263</v>
      </c>
      <c r="H144" s="153">
        <v>3119608000</v>
      </c>
      <c r="I144" s="151">
        <v>0.24321237563414141</v>
      </c>
      <c r="J144" s="153">
        <v>0</v>
      </c>
    </row>
    <row r="145" spans="1:10" hidden="1">
      <c r="A145" s="64">
        <v>2022</v>
      </c>
      <c r="B145" s="151">
        <v>-0.36</v>
      </c>
      <c r="C145" s="160">
        <v>0.42662116040955633</v>
      </c>
      <c r="D145" s="153">
        <v>541666666.66666675</v>
      </c>
      <c r="E145" s="26">
        <f>VLOOKUP(2022,季財報!$A:$H,8,0)</f>
        <v>1</v>
      </c>
      <c r="F145" s="160">
        <v>4.908333333333334E-3</v>
      </c>
      <c r="G145" s="153">
        <v>2020416666.666667</v>
      </c>
      <c r="H145" s="153">
        <v>8296749000</v>
      </c>
      <c r="I145" s="151">
        <v>0.24351907797459788</v>
      </c>
      <c r="J145" s="153">
        <v>0</v>
      </c>
    </row>
    <row r="146" spans="1:10" hidden="1">
      <c r="A146" s="64">
        <v>5452</v>
      </c>
      <c r="B146" s="52">
        <v>0.28999999999999998</v>
      </c>
      <c r="C146" s="161">
        <v>0.80555555555555558</v>
      </c>
      <c r="D146" s="158">
        <v>148275862.06896552</v>
      </c>
      <c r="E146" s="26">
        <f>VLOOKUP(5452,季財報!$A:$H,8,0)</f>
        <v>1</v>
      </c>
      <c r="F146" s="161">
        <v>-9.8083333333333356E-3</v>
      </c>
      <c r="G146" s="54">
        <v>1380448275.8620691</v>
      </c>
      <c r="H146" s="54">
        <v>5668671000</v>
      </c>
      <c r="I146" s="65">
        <v>0.24352238397008208</v>
      </c>
      <c r="J146" s="163">
        <v>9.9631391200951249</v>
      </c>
    </row>
    <row r="147" spans="1:10" hidden="1">
      <c r="A147" s="64">
        <v>1616</v>
      </c>
      <c r="B147" s="151">
        <v>-0.5</v>
      </c>
      <c r="C147" s="160">
        <v>0.25170068027210885</v>
      </c>
      <c r="D147" s="153">
        <v>190000000</v>
      </c>
      <c r="E147" s="26">
        <f>VLOOKUP(1616,季財報!$A:$H,8,0)</f>
        <v>1</v>
      </c>
      <c r="F147" s="160">
        <v>8.6166666666666631E-3</v>
      </c>
      <c r="G147" s="153">
        <v>873999999.99999988</v>
      </c>
      <c r="H147" s="153">
        <v>3571620000</v>
      </c>
      <c r="I147" s="151">
        <v>0.24470688371103305</v>
      </c>
      <c r="J147" s="153">
        <v>0</v>
      </c>
    </row>
    <row r="148" spans="1:10" hidden="1">
      <c r="A148" s="64">
        <v>8374</v>
      </c>
      <c r="B148" s="52">
        <v>-0.95</v>
      </c>
      <c r="C148" s="161">
        <v>0.30882352941176472</v>
      </c>
      <c r="D148" s="158">
        <v>88421052.631578952</v>
      </c>
      <c r="E148" s="26">
        <f>VLOOKUP(8374,季財報!$A:$H,8,0)</f>
        <v>0</v>
      </c>
      <c r="F148" s="161">
        <v>2.0366666666666665E-2</v>
      </c>
      <c r="G148" s="54">
        <v>985894736.84210539</v>
      </c>
      <c r="H148" s="54">
        <v>4006285000</v>
      </c>
      <c r="I148" s="65">
        <v>0.24608701998038218</v>
      </c>
      <c r="J148" s="163">
        <v>0</v>
      </c>
    </row>
    <row r="149" spans="1:10" hidden="1">
      <c r="A149" s="64">
        <v>6108</v>
      </c>
      <c r="B149" s="52">
        <v>-0.82</v>
      </c>
      <c r="C149" s="161">
        <v>0</v>
      </c>
      <c r="D149" s="158">
        <v>160975609.75609758</v>
      </c>
      <c r="E149" s="26">
        <f>VLOOKUP(6108,季財報!$A:$H,8,0)</f>
        <v>1</v>
      </c>
      <c r="F149" s="161">
        <v>2.5583333333333313E-3</v>
      </c>
      <c r="G149" s="54">
        <v>1955853658.5365858</v>
      </c>
      <c r="H149" s="54">
        <v>7915996000</v>
      </c>
      <c r="I149" s="65">
        <v>0.24707613022247432</v>
      </c>
      <c r="J149" s="163">
        <v>0</v>
      </c>
    </row>
    <row r="150" spans="1:10" hidden="1">
      <c r="A150" s="64">
        <v>6154</v>
      </c>
      <c r="B150" s="52">
        <v>0.33</v>
      </c>
      <c r="C150" s="161">
        <v>0.93333333333333335</v>
      </c>
      <c r="D150" s="158">
        <v>78787878.787878782</v>
      </c>
      <c r="E150" s="26">
        <f>VLOOKUP(6154,季財報!$A:$H,8,0)</f>
        <v>2</v>
      </c>
      <c r="F150" s="161">
        <v>5.9166666666666623E-4</v>
      </c>
      <c r="G150" s="54">
        <v>1319696969.6969695</v>
      </c>
      <c r="H150" s="54">
        <v>5254343000</v>
      </c>
      <c r="I150" s="65">
        <v>0.25116307970320351</v>
      </c>
      <c r="J150" s="163">
        <v>13.595779220779221</v>
      </c>
    </row>
    <row r="151" spans="1:10" hidden="1">
      <c r="A151" s="64">
        <v>4402</v>
      </c>
      <c r="B151" s="52">
        <v>-1.28</v>
      </c>
      <c r="C151" s="161">
        <v>0.71296296296296291</v>
      </c>
      <c r="D151" s="158">
        <v>46093750</v>
      </c>
      <c r="E151" s="26">
        <f>VLOOKUP(4402,季財報!$A:$H,8,0)</f>
        <v>2</v>
      </c>
      <c r="F151" s="161">
        <v>0.16160833333333333</v>
      </c>
      <c r="G151" s="54">
        <v>269187500</v>
      </c>
      <c r="H151" s="54">
        <v>1071193000</v>
      </c>
      <c r="I151" s="65">
        <v>0.25129691848247704</v>
      </c>
      <c r="J151" s="163">
        <v>0</v>
      </c>
    </row>
    <row r="152" spans="1:10" hidden="1">
      <c r="A152" s="64">
        <v>4906</v>
      </c>
      <c r="B152" s="52">
        <v>0.5</v>
      </c>
      <c r="C152" s="161">
        <v>0.18124999999999999</v>
      </c>
      <c r="D152" s="158">
        <v>298000000</v>
      </c>
      <c r="E152" s="26">
        <f>VLOOKUP(4906,季財報!$A:$H,8,0)</f>
        <v>4</v>
      </c>
      <c r="F152" s="161">
        <v>9.9999999999999482E-4</v>
      </c>
      <c r="G152" s="54">
        <v>4559400000</v>
      </c>
      <c r="H152" s="54">
        <v>18131538000</v>
      </c>
      <c r="I152" s="65">
        <v>0.25146239662625419</v>
      </c>
      <c r="J152" s="163">
        <v>42.206896551724142</v>
      </c>
    </row>
    <row r="153" spans="1:10" hidden="1">
      <c r="A153" s="64">
        <v>6113</v>
      </c>
      <c r="B153" s="52">
        <v>-0.36</v>
      </c>
      <c r="C153" s="161">
        <v>0.75510204081632648</v>
      </c>
      <c r="D153" s="158">
        <v>50000000</v>
      </c>
      <c r="E153" s="26">
        <f>VLOOKUP(6113,季財報!$A:$H,8,0)</f>
        <v>2</v>
      </c>
      <c r="F153" s="161">
        <v>2.9200000000000004E-2</v>
      </c>
      <c r="G153" s="54">
        <v>413500000</v>
      </c>
      <c r="H153" s="54">
        <v>1640592000</v>
      </c>
      <c r="I153" s="65">
        <v>0.2520431649063265</v>
      </c>
      <c r="J153" s="163">
        <v>0</v>
      </c>
    </row>
    <row r="154" spans="1:10" hidden="1">
      <c r="A154" s="64">
        <v>6251</v>
      </c>
      <c r="B154" s="52">
        <v>0.17</v>
      </c>
      <c r="C154" s="161">
        <v>1</v>
      </c>
      <c r="D154" s="158">
        <v>294117647.05882353</v>
      </c>
      <c r="E154" s="26">
        <f>VLOOKUP(6251,季財報!$A:$H,8,0)</f>
        <v>2</v>
      </c>
      <c r="F154" s="161">
        <v>1.1008333333333328E-2</v>
      </c>
      <c r="G154" s="54">
        <v>2752941176.4705882</v>
      </c>
      <c r="H154" s="54">
        <v>10895826000</v>
      </c>
      <c r="I154" s="65">
        <v>0.25266016330203772</v>
      </c>
      <c r="J154" s="163">
        <v>13.76470588235294</v>
      </c>
    </row>
    <row r="155" spans="1:10" hidden="1">
      <c r="A155" s="64">
        <v>6276</v>
      </c>
      <c r="B155" s="52">
        <v>-0.62</v>
      </c>
      <c r="C155" s="161">
        <v>1</v>
      </c>
      <c r="D155" s="158">
        <v>43548387.096774191</v>
      </c>
      <c r="E155" s="26">
        <f>VLOOKUP(6276,季財報!$A:$H,8,0)</f>
        <v>2</v>
      </c>
      <c r="F155" s="161">
        <v>1.065833333333333E-2</v>
      </c>
      <c r="G155" s="54">
        <v>337064516.12903225</v>
      </c>
      <c r="H155" s="54">
        <v>1328524000</v>
      </c>
      <c r="I155" s="65">
        <v>0.25371353180599843</v>
      </c>
      <c r="J155" s="163">
        <v>0</v>
      </c>
    </row>
    <row r="156" spans="1:10" hidden="1">
      <c r="A156" s="64">
        <v>5381</v>
      </c>
      <c r="B156" s="52">
        <v>-1.28</v>
      </c>
      <c r="C156" s="161">
        <v>0.87535410764872523</v>
      </c>
      <c r="D156" s="158">
        <v>187500000</v>
      </c>
      <c r="E156" s="26">
        <f>VLOOKUP(5381,季財報!$A:$H,8,0)</f>
        <v>1</v>
      </c>
      <c r="F156" s="161">
        <v>-5.0116666666666664E-2</v>
      </c>
      <c r="G156" s="54">
        <v>286875000</v>
      </c>
      <c r="H156" s="54">
        <v>1121784000</v>
      </c>
      <c r="I156" s="65">
        <v>0.25573104982777434</v>
      </c>
      <c r="J156" s="163">
        <v>0</v>
      </c>
    </row>
    <row r="157" spans="1:10" hidden="1">
      <c r="A157" s="64">
        <v>2032</v>
      </c>
      <c r="B157" s="151">
        <v>-0.01</v>
      </c>
      <c r="C157" s="160">
        <v>0</v>
      </c>
      <c r="D157" s="153">
        <v>100000000</v>
      </c>
      <c r="E157" s="26">
        <f>VLOOKUP(2032,季財報!$A:$H,8,0)</f>
        <v>3</v>
      </c>
      <c r="F157" s="160">
        <v>1.0574999999999994E-2</v>
      </c>
      <c r="G157" s="153">
        <v>815000000</v>
      </c>
      <c r="H157" s="153">
        <v>3173449000</v>
      </c>
      <c r="I157" s="151">
        <v>0.25681837017075115</v>
      </c>
      <c r="J157" s="153">
        <v>0</v>
      </c>
    </row>
    <row r="158" spans="1:10" hidden="1">
      <c r="A158" s="64">
        <v>3322</v>
      </c>
      <c r="B158" s="151">
        <v>-0.02</v>
      </c>
      <c r="C158" s="160">
        <v>1</v>
      </c>
      <c r="D158" s="153">
        <v>50000000</v>
      </c>
      <c r="E158" s="26">
        <f>VLOOKUP(3322,季財報!$A:$H,8,0)</f>
        <v>1</v>
      </c>
      <c r="F158" s="160">
        <v>-1.6916666666666653E-3</v>
      </c>
      <c r="G158" s="153">
        <v>545000000</v>
      </c>
      <c r="H158" s="153">
        <v>2100468000</v>
      </c>
      <c r="I158" s="151">
        <v>0.25946598567557327</v>
      </c>
      <c r="J158" s="153">
        <v>0</v>
      </c>
    </row>
    <row r="159" spans="1:10" hidden="1">
      <c r="A159" s="64">
        <v>1626</v>
      </c>
      <c r="B159" s="151">
        <v>-1.1399999999999999</v>
      </c>
      <c r="C159" s="160">
        <v>0</v>
      </c>
      <c r="D159" s="153">
        <v>122807017.54385966</v>
      </c>
      <c r="E159" s="26">
        <f>VLOOKUP(1626,季財報!$A:$H,8,0)</f>
        <v>0</v>
      </c>
      <c r="F159" s="160">
        <v>0.15382500000000002</v>
      </c>
      <c r="G159" s="153">
        <v>2892105263.1578951</v>
      </c>
      <c r="H159" s="153">
        <v>11096305000</v>
      </c>
      <c r="I159" s="151">
        <v>0.26063678523237194</v>
      </c>
      <c r="J159" s="153">
        <v>0</v>
      </c>
    </row>
    <row r="160" spans="1:10" hidden="1">
      <c r="A160" s="64">
        <v>3481</v>
      </c>
      <c r="B160" s="151">
        <v>0.35</v>
      </c>
      <c r="C160" s="160">
        <v>1</v>
      </c>
      <c r="D160" s="153">
        <v>9948571428.5714283</v>
      </c>
      <c r="E160" s="26">
        <f>VLOOKUP(3481,季財報!$A:$H,8,0)</f>
        <v>1</v>
      </c>
      <c r="F160" s="160">
        <v>-1.2341666666666666E-2</v>
      </c>
      <c r="G160" s="153">
        <v>101475428571.42856</v>
      </c>
      <c r="H160" s="153">
        <v>388917509000</v>
      </c>
      <c r="I160" s="151">
        <v>0.26091761420653486</v>
      </c>
      <c r="J160" s="153">
        <v>7.2857142857142856</v>
      </c>
    </row>
    <row r="161" spans="1:10" hidden="1">
      <c r="A161" s="64">
        <v>5488</v>
      </c>
      <c r="B161" s="52">
        <v>-0.42</v>
      </c>
      <c r="C161" s="161">
        <v>1</v>
      </c>
      <c r="D161" s="158">
        <v>90476190.476190478</v>
      </c>
      <c r="E161" s="26">
        <f>VLOOKUP(5488,季財報!$A:$H,8,0)</f>
        <v>2</v>
      </c>
      <c r="F161" s="161">
        <v>5.8691666666666663E-2</v>
      </c>
      <c r="G161" s="54">
        <v>529285714.28571427</v>
      </c>
      <c r="H161" s="54">
        <v>2017829000</v>
      </c>
      <c r="I161" s="65">
        <v>0.2623045432916834</v>
      </c>
      <c r="J161" s="163">
        <v>0</v>
      </c>
    </row>
    <row r="162" spans="1:10" hidden="1">
      <c r="A162" s="64">
        <v>1304</v>
      </c>
      <c r="B162" s="151">
        <v>0.13</v>
      </c>
      <c r="C162" s="160">
        <v>0.62114537444933926</v>
      </c>
      <c r="D162" s="153">
        <v>1061538461.5384614</v>
      </c>
      <c r="E162" s="26">
        <f>VLOOKUP(1304,季財報!$A:$H,8,0)</f>
        <v>1</v>
      </c>
      <c r="F162" s="160">
        <v>1.6416666666666652E-3</v>
      </c>
      <c r="G162" s="153">
        <v>13853076923.076923</v>
      </c>
      <c r="H162" s="153">
        <v>52731553000</v>
      </c>
      <c r="I162" s="151">
        <v>0.2627094431123036</v>
      </c>
      <c r="J162" s="153">
        <v>40.403027823240592</v>
      </c>
    </row>
    <row r="163" spans="1:10" hidden="1">
      <c r="A163" s="64">
        <v>3010</v>
      </c>
      <c r="B163" s="151">
        <v>1.24</v>
      </c>
      <c r="C163" s="160">
        <v>0.6470588235294118</v>
      </c>
      <c r="D163" s="153">
        <v>230645161.29032257</v>
      </c>
      <c r="E163" s="26">
        <f>VLOOKUP(3010,季財報!$A:$H,8,0)</f>
        <v>1</v>
      </c>
      <c r="F163" s="160">
        <v>1.0074999999999995E-2</v>
      </c>
      <c r="G163" s="153">
        <v>10390564516.129032</v>
      </c>
      <c r="H163" s="153">
        <v>39390443000</v>
      </c>
      <c r="I163" s="151">
        <v>0.26378389590919382</v>
      </c>
      <c r="J163" s="153">
        <v>14.036840175953078</v>
      </c>
    </row>
    <row r="164" spans="1:10" hidden="1">
      <c r="A164" s="64">
        <v>9934</v>
      </c>
      <c r="B164" s="52">
        <v>0.36</v>
      </c>
      <c r="C164" s="161">
        <v>0.3987915407854985</v>
      </c>
      <c r="D164" s="158">
        <v>358333333.33333337</v>
      </c>
      <c r="E164" s="26">
        <f>VLOOKUP(9934,季財報!$A:$H,8,0)</f>
        <v>3</v>
      </c>
      <c r="F164" s="161">
        <v>1.2258333333333331E-2</v>
      </c>
      <c r="G164" s="54">
        <v>5267500000</v>
      </c>
      <c r="H164" s="54">
        <v>19766130000</v>
      </c>
      <c r="I164" s="65">
        <v>0.26649121502286993</v>
      </c>
      <c r="J164" s="163">
        <v>25.59816919191919</v>
      </c>
    </row>
    <row r="165" spans="1:10" hidden="1">
      <c r="A165" s="64">
        <v>3071</v>
      </c>
      <c r="B165" s="151">
        <v>0.02</v>
      </c>
      <c r="C165" s="160">
        <v>0.5</v>
      </c>
      <c r="D165" s="153">
        <v>100000000</v>
      </c>
      <c r="E165" s="26">
        <f>VLOOKUP(3071,季財報!$A:$H,8,0)</f>
        <v>0</v>
      </c>
      <c r="F165" s="160">
        <v>3.0833333333333338E-3</v>
      </c>
      <c r="G165" s="153">
        <v>647000000</v>
      </c>
      <c r="H165" s="153">
        <v>2419855000</v>
      </c>
      <c r="I165" s="151">
        <v>0.26737139208754246</v>
      </c>
      <c r="J165" s="153">
        <v>50</v>
      </c>
    </row>
    <row r="166" spans="1:10" hidden="1">
      <c r="A166" s="64">
        <v>6227</v>
      </c>
      <c r="B166" s="52">
        <v>0.54</v>
      </c>
      <c r="C166" s="161">
        <v>1</v>
      </c>
      <c r="D166" s="158">
        <v>75925925.925925925</v>
      </c>
      <c r="E166" s="26">
        <f>VLOOKUP(6227,季財報!$A:$H,8,0)</f>
        <v>2</v>
      </c>
      <c r="F166" s="161">
        <v>7.4733333333333318E-2</v>
      </c>
      <c r="G166" s="54">
        <v>1355277777.7777779</v>
      </c>
      <c r="H166" s="54">
        <v>5040798000</v>
      </c>
      <c r="I166" s="65">
        <v>0.26886175121037936</v>
      </c>
      <c r="J166" s="163">
        <v>8.2638888888888893</v>
      </c>
    </row>
    <row r="167" spans="1:10" hidden="1">
      <c r="A167" s="64">
        <v>3202</v>
      </c>
      <c r="B167" s="151">
        <v>0.05</v>
      </c>
      <c r="C167" s="160">
        <v>1</v>
      </c>
      <c r="D167" s="153">
        <v>100000000</v>
      </c>
      <c r="E167" s="26">
        <f>VLOOKUP(3202,季財報!$A:$H,8,0)</f>
        <v>2</v>
      </c>
      <c r="F167" s="160">
        <v>2.5133333333333341E-2</v>
      </c>
      <c r="G167" s="153">
        <v>620000000</v>
      </c>
      <c r="H167" s="153">
        <v>2305955000</v>
      </c>
      <c r="I167" s="151">
        <v>0.26886908027259854</v>
      </c>
      <c r="J167" s="153">
        <v>31</v>
      </c>
    </row>
    <row r="168" spans="1:10" hidden="1">
      <c r="A168" s="64">
        <v>3058</v>
      </c>
      <c r="B168" s="151">
        <v>7.0000000000000007E-2</v>
      </c>
      <c r="C168" s="160">
        <v>0.84210526315789469</v>
      </c>
      <c r="D168" s="153">
        <v>157142857.14285713</v>
      </c>
      <c r="E168" s="26">
        <f>VLOOKUP(3058,季財報!$A:$H,8,0)</f>
        <v>1</v>
      </c>
      <c r="F168" s="160">
        <v>1.080833333333333E-2</v>
      </c>
      <c r="G168" s="153">
        <v>1425285714.2857141</v>
      </c>
      <c r="H168" s="153">
        <v>5295064000</v>
      </c>
      <c r="I168" s="151">
        <v>0.26917251883748983</v>
      </c>
      <c r="J168" s="153">
        <v>38.466517857142854</v>
      </c>
    </row>
    <row r="169" spans="1:10" hidden="1">
      <c r="A169" s="64">
        <v>3673</v>
      </c>
      <c r="B169" s="151">
        <v>-55.15</v>
      </c>
      <c r="C169" s="160">
        <v>0.95716713314674129</v>
      </c>
      <c r="D169" s="153">
        <v>351586582.04895741</v>
      </c>
      <c r="E169" s="26">
        <f>VLOOKUP(3673,季財報!$A:$H,8,0)</f>
        <v>3</v>
      </c>
      <c r="F169" s="160">
        <v>3.4749999999999996E-2</v>
      </c>
      <c r="G169" s="153">
        <v>34631278331.822304</v>
      </c>
      <c r="H169" s="153">
        <v>127642324000</v>
      </c>
      <c r="I169" s="151">
        <v>0.27131500936807063</v>
      </c>
      <c r="J169" s="153">
        <v>0</v>
      </c>
    </row>
    <row r="170" spans="1:10" hidden="1">
      <c r="A170" s="64">
        <v>1712</v>
      </c>
      <c r="B170" s="151">
        <v>0.05</v>
      </c>
      <c r="C170" s="160">
        <v>0.74590163934426235</v>
      </c>
      <c r="D170" s="153">
        <v>340000000</v>
      </c>
      <c r="E170" s="26">
        <f>VLOOKUP(1712,季財報!$A:$H,8,0)</f>
        <v>2</v>
      </c>
      <c r="F170" s="160">
        <v>1.0408333333333334E-2</v>
      </c>
      <c r="G170" s="153">
        <v>4777000000</v>
      </c>
      <c r="H170" s="153">
        <v>17595206000</v>
      </c>
      <c r="I170" s="151">
        <v>0.27149440591943058</v>
      </c>
      <c r="J170" s="153">
        <v>50</v>
      </c>
    </row>
    <row r="171" spans="1:10" hidden="1">
      <c r="A171" s="64">
        <v>2368</v>
      </c>
      <c r="B171" s="151">
        <v>-0.04</v>
      </c>
      <c r="C171" s="160">
        <v>0</v>
      </c>
      <c r="D171" s="153">
        <v>550000000</v>
      </c>
      <c r="E171" s="26">
        <f>VLOOKUP(2368,季財報!$A:$H,8,0)</f>
        <v>2</v>
      </c>
      <c r="F171" s="160">
        <v>-8.3416666666666656E-3</v>
      </c>
      <c r="G171" s="153">
        <v>5555000000</v>
      </c>
      <c r="H171" s="153">
        <v>20329486000</v>
      </c>
      <c r="I171" s="151">
        <v>0.27324842349678691</v>
      </c>
      <c r="J171" s="153">
        <v>0</v>
      </c>
    </row>
    <row r="172" spans="1:10" hidden="1">
      <c r="A172" s="64">
        <v>2908</v>
      </c>
      <c r="B172" s="151">
        <v>0.3</v>
      </c>
      <c r="C172" s="160">
        <v>0.87786259541984735</v>
      </c>
      <c r="D172" s="153">
        <v>506666666.66666669</v>
      </c>
      <c r="E172" s="26">
        <f>VLOOKUP(2908,季財報!$A:$H,8,0)</f>
        <v>1</v>
      </c>
      <c r="F172" s="160">
        <v>4.8333333333333561E-4</v>
      </c>
      <c r="G172" s="153">
        <v>9930666666.6666679</v>
      </c>
      <c r="H172" s="153">
        <v>36254256000</v>
      </c>
      <c r="I172" s="151">
        <v>0.27391726551130074</v>
      </c>
      <c r="J172" s="153">
        <v>18.605797101449276</v>
      </c>
    </row>
    <row r="173" spans="1:10" hidden="1">
      <c r="A173" s="64">
        <v>8163</v>
      </c>
      <c r="B173" s="52">
        <v>1.58</v>
      </c>
      <c r="C173" s="161">
        <v>0.81818181818181823</v>
      </c>
      <c r="D173" s="158">
        <v>313924050.63291138</v>
      </c>
      <c r="E173" s="26">
        <f>VLOOKUP(8163,季財報!$A:$H,8,0)</f>
        <v>2</v>
      </c>
      <c r="F173" s="161">
        <v>-5.1999999999999989E-3</v>
      </c>
      <c r="G173" s="54">
        <v>5603544303.7974682</v>
      </c>
      <c r="H173" s="54">
        <v>20441590000</v>
      </c>
      <c r="I173" s="65">
        <v>0.27412467933255036</v>
      </c>
      <c r="J173" s="163">
        <v>3.4520042194092824</v>
      </c>
    </row>
    <row r="174" spans="1:10" hidden="1">
      <c r="A174" s="64">
        <v>6156</v>
      </c>
      <c r="B174" s="52">
        <v>0.51</v>
      </c>
      <c r="C174" s="161">
        <v>0</v>
      </c>
      <c r="D174" s="158">
        <v>78431372.549019605</v>
      </c>
      <c r="E174" s="26">
        <f>VLOOKUP(6156,季財報!$A:$H,8,0)</f>
        <v>2</v>
      </c>
      <c r="F174" s="161">
        <v>-9.9999999999999633E-4</v>
      </c>
      <c r="G174" s="54">
        <v>1145098039.2156863</v>
      </c>
      <c r="H174" s="54">
        <v>4163153000</v>
      </c>
      <c r="I174" s="65">
        <v>0.27505547819541737</v>
      </c>
      <c r="J174" s="163">
        <v>0</v>
      </c>
    </row>
    <row r="175" spans="1:10" hidden="1">
      <c r="A175" s="64">
        <v>3704</v>
      </c>
      <c r="B175" s="52">
        <v>0.23</v>
      </c>
      <c r="C175" s="161">
        <v>1</v>
      </c>
      <c r="D175" s="158">
        <v>460869565.21739131</v>
      </c>
      <c r="E175" s="26">
        <f>VLOOKUP(3704,季財報!$A:$H,8,0)</f>
        <v>3</v>
      </c>
      <c r="F175" s="161">
        <v>-1.3083333333333334E-2</v>
      </c>
      <c r="G175" s="54">
        <v>5691739130.434783</v>
      </c>
      <c r="H175" s="54">
        <v>20684543000</v>
      </c>
      <c r="I175" s="151">
        <v>0.27516871561700845</v>
      </c>
      <c r="J175" s="153">
        <v>13.42391304347826</v>
      </c>
    </row>
    <row r="176" spans="1:10" hidden="1">
      <c r="A176" s="64">
        <v>6170</v>
      </c>
      <c r="B176" s="52">
        <v>0.1</v>
      </c>
      <c r="C176" s="161">
        <v>0.30769230769230771</v>
      </c>
      <c r="D176" s="158">
        <v>100000000</v>
      </c>
      <c r="E176" s="26">
        <f>VLOOKUP(6170,季財報!$A:$H,8,0)</f>
        <v>4</v>
      </c>
      <c r="F176" s="161">
        <v>-7.3166666666666658E-3</v>
      </c>
      <c r="G176" s="54">
        <v>1005000000.0000001</v>
      </c>
      <c r="H176" s="54">
        <v>3630070000</v>
      </c>
      <c r="I176" s="65">
        <v>0.27685416534667379</v>
      </c>
      <c r="J176" s="163">
        <v>50</v>
      </c>
    </row>
    <row r="177" spans="1:10" hidden="1">
      <c r="A177" s="64">
        <v>2457</v>
      </c>
      <c r="B177" s="151">
        <v>-0.24</v>
      </c>
      <c r="C177" s="160">
        <v>1</v>
      </c>
      <c r="D177" s="153">
        <v>279166666.66666669</v>
      </c>
      <c r="E177" s="26">
        <f>VLOOKUP(2457,季財報!$A:$H,8,0)</f>
        <v>2</v>
      </c>
      <c r="F177" s="160">
        <v>5.6500000000000022E-3</v>
      </c>
      <c r="G177" s="153">
        <v>3070833333.3333335</v>
      </c>
      <c r="H177" s="153">
        <v>11012940000</v>
      </c>
      <c r="I177" s="151">
        <v>0.27883865101719735</v>
      </c>
      <c r="J177" s="153">
        <v>0</v>
      </c>
    </row>
    <row r="178" spans="1:10" hidden="1">
      <c r="A178" s="64">
        <v>6126</v>
      </c>
      <c r="B178" s="52">
        <v>-0.09</v>
      </c>
      <c r="C178" s="161">
        <v>1</v>
      </c>
      <c r="D178" s="158">
        <v>111111111.11111112</v>
      </c>
      <c r="E178" s="26">
        <f>VLOOKUP(6126,季財報!$A:$H,8,0)</f>
        <v>4</v>
      </c>
      <c r="F178" s="161">
        <v>-4.6916666666666678E-3</v>
      </c>
      <c r="G178" s="54">
        <v>817777777.77777791</v>
      </c>
      <c r="H178" s="54">
        <v>2931423000</v>
      </c>
      <c r="I178" s="65">
        <v>0.278969557712339</v>
      </c>
      <c r="J178" s="163">
        <v>0</v>
      </c>
    </row>
    <row r="179" spans="1:10" hidden="1">
      <c r="A179" s="64">
        <v>2453</v>
      </c>
      <c r="B179" s="151">
        <v>0.2</v>
      </c>
      <c r="C179" s="160">
        <v>0.63157894736842102</v>
      </c>
      <c r="D179" s="153">
        <v>100000000</v>
      </c>
      <c r="E179" s="26">
        <f>VLOOKUP(2453,季財報!$A:$H,8,0)</f>
        <v>3</v>
      </c>
      <c r="F179" s="160">
        <v>7.6391666666666677E-2</v>
      </c>
      <c r="G179" s="153">
        <v>1110000000</v>
      </c>
      <c r="H179" s="153">
        <v>3977588000</v>
      </c>
      <c r="I179" s="151">
        <v>0.27906359331333463</v>
      </c>
      <c r="J179" s="153">
        <v>21.96875</v>
      </c>
    </row>
    <row r="180" spans="1:10" hidden="1">
      <c r="A180" s="64">
        <v>4729</v>
      </c>
      <c r="B180" s="52">
        <v>0.04</v>
      </c>
      <c r="C180" s="161">
        <v>1</v>
      </c>
      <c r="D180" s="158">
        <v>125000000</v>
      </c>
      <c r="E180" s="26">
        <f>VLOOKUP(4729,季財報!$A:$H,8,0)</f>
        <v>2</v>
      </c>
      <c r="F180" s="161">
        <v>2.0508333333333337E-2</v>
      </c>
      <c r="G180" s="54">
        <v>1606250000</v>
      </c>
      <c r="H180" s="54">
        <v>5706956000</v>
      </c>
      <c r="I180" s="65">
        <v>0.28145477203609071</v>
      </c>
      <c r="J180" s="163">
        <v>50</v>
      </c>
    </row>
    <row r="181" spans="1:10" hidden="1">
      <c r="A181" s="64">
        <v>1725</v>
      </c>
      <c r="B181" s="151">
        <v>0.56999999999999995</v>
      </c>
      <c r="C181" s="160">
        <v>0.38059701492537312</v>
      </c>
      <c r="D181" s="153">
        <v>182456140.3508772</v>
      </c>
      <c r="E181" s="26">
        <f>VLOOKUP(1725,季財報!$A:$H,8,0)</f>
        <v>3</v>
      </c>
      <c r="F181" s="160">
        <v>-1.0666666666666661E-3</v>
      </c>
      <c r="G181" s="153">
        <v>2654736842.1052632</v>
      </c>
      <c r="H181" s="153">
        <v>9342638000</v>
      </c>
      <c r="I181" s="151">
        <v>0.2841528101704533</v>
      </c>
      <c r="J181" s="153">
        <v>16.767285861713109</v>
      </c>
    </row>
    <row r="182" spans="1:10" hidden="1">
      <c r="A182" s="64">
        <v>1904</v>
      </c>
      <c r="B182" s="151">
        <v>0.22</v>
      </c>
      <c r="C182" s="160">
        <v>1</v>
      </c>
      <c r="D182" s="153">
        <v>1095454545.4545455</v>
      </c>
      <c r="E182" s="26">
        <f>VLOOKUP(1904,季財報!$A:$H,8,0)</f>
        <v>1</v>
      </c>
      <c r="F182" s="160">
        <v>-5.5833333333333375E-4</v>
      </c>
      <c r="G182" s="153">
        <v>12597727272.727274</v>
      </c>
      <c r="H182" s="153">
        <v>44305501000</v>
      </c>
      <c r="I182" s="151">
        <v>0.28433776818655709</v>
      </c>
      <c r="J182" s="153">
        <v>13.068181818181818</v>
      </c>
    </row>
    <row r="183" spans="1:10" hidden="1">
      <c r="A183" s="64">
        <v>3207</v>
      </c>
      <c r="B183" s="151">
        <v>-0.16</v>
      </c>
      <c r="C183" s="160">
        <v>1</v>
      </c>
      <c r="D183" s="153">
        <v>37500000</v>
      </c>
      <c r="E183" s="26">
        <f>VLOOKUP(3207,季財報!$A:$H,8,0)</f>
        <v>3</v>
      </c>
      <c r="F183" s="160">
        <v>1.9016666666666668E-2</v>
      </c>
      <c r="G183" s="153">
        <v>285000000</v>
      </c>
      <c r="H183" s="153">
        <v>1000886000</v>
      </c>
      <c r="I183" s="151">
        <v>0.28474771352581613</v>
      </c>
      <c r="J183" s="153">
        <v>0</v>
      </c>
    </row>
    <row r="184" spans="1:10" hidden="1">
      <c r="A184" s="64">
        <v>2450</v>
      </c>
      <c r="B184" s="151">
        <v>0.42</v>
      </c>
      <c r="C184" s="160">
        <v>0.53197674418604646</v>
      </c>
      <c r="D184" s="153">
        <v>254761904.76190478</v>
      </c>
      <c r="E184" s="26">
        <f>VLOOKUP(2450,季財報!$A:$H,8,0)</f>
        <v>3</v>
      </c>
      <c r="F184" s="160">
        <v>-2.3000000000000003E-2</v>
      </c>
      <c r="G184" s="153">
        <v>10241428571.428574</v>
      </c>
      <c r="H184" s="153">
        <v>35957079000</v>
      </c>
      <c r="I184" s="151">
        <v>0.2848237080500497</v>
      </c>
      <c r="J184" s="153">
        <v>44.980483996877446</v>
      </c>
    </row>
    <row r="185" spans="1:10" hidden="1">
      <c r="A185" s="64">
        <v>6161</v>
      </c>
      <c r="B185" s="52">
        <v>0.35</v>
      </c>
      <c r="C185" s="161">
        <v>0.4</v>
      </c>
      <c r="D185" s="158">
        <v>120000000.00000001</v>
      </c>
      <c r="E185" s="26">
        <f>VLOOKUP(6161,季財報!$A:$H,8,0)</f>
        <v>2</v>
      </c>
      <c r="F185" s="161">
        <v>-1.491666666666662E-3</v>
      </c>
      <c r="G185" s="54">
        <v>895200000.00000012</v>
      </c>
      <c r="H185" s="54">
        <v>3132777000</v>
      </c>
      <c r="I185" s="65">
        <v>0.28575286399255362</v>
      </c>
      <c r="J185" s="163">
        <v>13.321428571428573</v>
      </c>
    </row>
    <row r="186" spans="1:10" hidden="1">
      <c r="A186" s="64">
        <v>1907</v>
      </c>
      <c r="B186" s="151">
        <v>0.27</v>
      </c>
      <c r="C186" s="160">
        <v>0.41609822646657574</v>
      </c>
      <c r="D186" s="153">
        <v>1674074074.074074</v>
      </c>
      <c r="E186" s="26">
        <f>VLOOKUP(1907,季財報!$A:$H,8,0)</f>
        <v>2</v>
      </c>
      <c r="F186" s="160">
        <v>1.0858333333333338E-2</v>
      </c>
      <c r="G186" s="153">
        <v>18331111111.111111</v>
      </c>
      <c r="H186" s="153">
        <v>63658800000</v>
      </c>
      <c r="I186" s="151">
        <v>0.28795879141785757</v>
      </c>
      <c r="J186" s="153">
        <v>24.366575591985423</v>
      </c>
    </row>
    <row r="187" spans="1:10" hidden="1">
      <c r="A187" s="64">
        <v>6220</v>
      </c>
      <c r="B187" s="52">
        <v>1.04</v>
      </c>
      <c r="C187" s="161">
        <v>0.95</v>
      </c>
      <c r="D187" s="158">
        <v>131730769.23076923</v>
      </c>
      <c r="E187" s="26">
        <f>VLOOKUP(6220,季財報!$A:$H,8,0)</f>
        <v>5</v>
      </c>
      <c r="F187" s="161">
        <v>3.8758333333333332E-2</v>
      </c>
      <c r="G187" s="54">
        <v>1995721153.846154</v>
      </c>
      <c r="H187" s="54">
        <v>6925635000</v>
      </c>
      <c r="I187" s="65">
        <v>0.28816435660356832</v>
      </c>
      <c r="J187" s="163">
        <v>3.8335020242914979</v>
      </c>
    </row>
    <row r="188" spans="1:10" hidden="1">
      <c r="A188" s="64">
        <v>3550</v>
      </c>
      <c r="B188" s="151">
        <v>0.48</v>
      </c>
      <c r="C188" s="160">
        <v>0.47540983606557374</v>
      </c>
      <c r="D188" s="153">
        <v>85416666.666666672</v>
      </c>
      <c r="E188" s="26">
        <f>VLOOKUP(3550,季財報!$A:$H,8,0)</f>
        <v>2</v>
      </c>
      <c r="F188" s="160">
        <v>5.1266666666666662E-2</v>
      </c>
      <c r="G188" s="153">
        <v>1054895833.3333334</v>
      </c>
      <c r="H188" s="153">
        <v>3635299000</v>
      </c>
      <c r="I188" s="151">
        <v>0.29018131200028757</v>
      </c>
      <c r="J188" s="153">
        <v>13.529992816091955</v>
      </c>
    </row>
    <row r="189" spans="1:10" hidden="1">
      <c r="A189" s="64">
        <v>2317</v>
      </c>
      <c r="B189" s="151">
        <v>2.42</v>
      </c>
      <c r="C189" s="160">
        <v>0.73099074715175927</v>
      </c>
      <c r="D189" s="153">
        <v>15643801652.892563</v>
      </c>
      <c r="E189" s="26">
        <f>VLOOKUP(2317,季財報!$A:$H,8,0)</f>
        <v>1</v>
      </c>
      <c r="F189" s="160">
        <v>2.6608333333333345E-2</v>
      </c>
      <c r="G189" s="153">
        <v>1337545041322.3142</v>
      </c>
      <c r="H189" s="153">
        <v>4586284270000</v>
      </c>
      <c r="I189" s="151">
        <v>0.29164023915209997</v>
      </c>
      <c r="J189" s="153">
        <v>12.08311413313341</v>
      </c>
    </row>
    <row r="190" spans="1:10" hidden="1">
      <c r="A190" s="64">
        <v>2312</v>
      </c>
      <c r="B190" s="151">
        <v>0.11</v>
      </c>
      <c r="C190" s="160">
        <v>3.6486486486486489E-2</v>
      </c>
      <c r="D190" s="153">
        <v>1445454545.4545455</v>
      </c>
      <c r="E190" s="26">
        <f>VLOOKUP(2312,季財報!$A:$H,8,0)</f>
        <v>1</v>
      </c>
      <c r="F190" s="160">
        <v>-4.9141666666666667E-2</v>
      </c>
      <c r="G190" s="153">
        <v>14165454545.454546</v>
      </c>
      <c r="H190" s="153">
        <v>48203089000</v>
      </c>
      <c r="I190" s="151">
        <v>0.29387026514949166</v>
      </c>
      <c r="J190" s="153">
        <v>50</v>
      </c>
    </row>
    <row r="191" spans="1:10" hidden="1">
      <c r="A191" s="64">
        <v>3522</v>
      </c>
      <c r="B191" s="151">
        <v>0.13</v>
      </c>
      <c r="C191" s="160">
        <v>1</v>
      </c>
      <c r="D191" s="153">
        <v>46153846.153846152</v>
      </c>
      <c r="E191" s="26">
        <f>VLOOKUP(3522,季財報!$A:$H,8,0)</f>
        <v>3</v>
      </c>
      <c r="F191" s="160">
        <v>-1.8491666666666667E-2</v>
      </c>
      <c r="G191" s="153">
        <v>473076923.07692307</v>
      </c>
      <c r="H191" s="153">
        <v>1608865000</v>
      </c>
      <c r="I191" s="151">
        <v>0.29404388999507297</v>
      </c>
      <c r="J191" s="153">
        <v>19.71153846153846</v>
      </c>
    </row>
    <row r="192" spans="1:10" hidden="1">
      <c r="A192" s="64">
        <v>6142</v>
      </c>
      <c r="B192" s="52">
        <v>0.03</v>
      </c>
      <c r="C192" s="161">
        <v>1</v>
      </c>
      <c r="D192" s="158">
        <v>266666666.66666669</v>
      </c>
      <c r="E192" s="26">
        <f>VLOOKUP(6142,季財報!$A:$H,8,0)</f>
        <v>2</v>
      </c>
      <c r="F192" s="161">
        <v>1.0974999999999997E-2</v>
      </c>
      <c r="G192" s="54">
        <v>1301333333.3333335</v>
      </c>
      <c r="H192" s="54">
        <v>4425333000</v>
      </c>
      <c r="I192" s="65">
        <v>0.29406449940226725</v>
      </c>
      <c r="J192" s="163">
        <v>40.666666666666664</v>
      </c>
    </row>
    <row r="193" spans="1:11" hidden="1">
      <c r="A193" s="64">
        <v>1528</v>
      </c>
      <c r="B193" s="151">
        <v>0.01</v>
      </c>
      <c r="C193" s="160">
        <v>0</v>
      </c>
      <c r="D193" s="153">
        <v>100000000</v>
      </c>
      <c r="E193" s="26">
        <f>VLOOKUP(1528,季財報!$A:$H,8,0)</f>
        <v>1</v>
      </c>
      <c r="F193" s="160">
        <v>4.0325000000000007E-2</v>
      </c>
      <c r="G193" s="153">
        <v>932000000</v>
      </c>
      <c r="H193" s="153">
        <v>3167340000</v>
      </c>
      <c r="I193" s="151">
        <v>0.29425322194649139</v>
      </c>
      <c r="J193" s="153">
        <v>0</v>
      </c>
    </row>
    <row r="194" spans="1:11" hidden="1">
      <c r="A194" s="64">
        <v>6278</v>
      </c>
      <c r="B194" s="52">
        <v>0.78</v>
      </c>
      <c r="C194" s="161">
        <v>1</v>
      </c>
      <c r="D194" s="158">
        <v>294871794.87179488</v>
      </c>
      <c r="E194" s="26">
        <f>VLOOKUP(6278,季財報!$A:$H,8,0)</f>
        <v>1</v>
      </c>
      <c r="F194" s="161">
        <v>-3.133333333333333E-3</v>
      </c>
      <c r="G194" s="54">
        <v>9096794871.7948723</v>
      </c>
      <c r="H194" s="54">
        <v>30399748000</v>
      </c>
      <c r="I194" s="65">
        <v>0.29923915394939699</v>
      </c>
      <c r="J194" s="163">
        <v>9.8878205128205128</v>
      </c>
    </row>
    <row r="195" spans="1:11" hidden="1">
      <c r="A195" s="64">
        <v>1336</v>
      </c>
      <c r="B195" s="151">
        <v>-0.54</v>
      </c>
      <c r="C195" s="160">
        <v>1</v>
      </c>
      <c r="D195" s="153">
        <v>62962962.962962955</v>
      </c>
      <c r="E195" s="26">
        <f>VLOOKUP(1336,季財報!$A:$H,8,0)</f>
        <v>2</v>
      </c>
      <c r="F195" s="160">
        <v>6.136666666666666E-2</v>
      </c>
      <c r="G195" s="153">
        <v>532666666.66666663</v>
      </c>
      <c r="H195" s="153">
        <v>1775192000</v>
      </c>
      <c r="I195" s="151">
        <v>0.30006143936355428</v>
      </c>
      <c r="J195" s="153">
        <v>0</v>
      </c>
    </row>
    <row r="196" spans="1:11" hidden="1">
      <c r="A196" s="64">
        <v>6189</v>
      </c>
      <c r="B196" s="52">
        <v>1.17</v>
      </c>
      <c r="C196" s="161">
        <v>0.86644951140065152</v>
      </c>
      <c r="D196" s="158">
        <v>178632478.63247865</v>
      </c>
      <c r="E196" s="26">
        <f>VLOOKUP(6189,季財報!$A:$H,8,0)</f>
        <v>4</v>
      </c>
      <c r="F196" s="161">
        <v>-4.4166666666666633E-4</v>
      </c>
      <c r="G196" s="54">
        <v>5421495726.4957275</v>
      </c>
      <c r="H196" s="54">
        <v>18024984000</v>
      </c>
      <c r="I196" s="65">
        <v>0.30077672892778867</v>
      </c>
      <c r="J196" s="163">
        <v>7.4846169911959386</v>
      </c>
    </row>
    <row r="197" spans="1:11" hidden="1">
      <c r="A197" s="64">
        <v>4915</v>
      </c>
      <c r="B197" s="52">
        <v>1.1499999999999999</v>
      </c>
      <c r="C197" s="161">
        <v>0.76444444444444448</v>
      </c>
      <c r="D197" s="158">
        <v>435652173.9130435</v>
      </c>
      <c r="E197" s="26">
        <f>VLOOKUP(4915,季財報!$A:$H,8,0)</f>
        <v>5</v>
      </c>
      <c r="F197" s="161">
        <v>5.2275000000000016E-2</v>
      </c>
      <c r="G197" s="54">
        <v>18645913043.47826</v>
      </c>
      <c r="H197" s="54">
        <v>61550058000</v>
      </c>
      <c r="I197" s="65">
        <v>0.30293900037394378</v>
      </c>
      <c r="J197" s="163">
        <v>12.171385237613752</v>
      </c>
    </row>
    <row r="198" spans="1:11" hidden="1">
      <c r="A198" s="64">
        <v>6112</v>
      </c>
      <c r="B198" s="52">
        <v>0.62</v>
      </c>
      <c r="C198" s="161">
        <v>0.75206611570247939</v>
      </c>
      <c r="D198" s="158">
        <v>91935483.870967746</v>
      </c>
      <c r="E198" s="26">
        <f>VLOOKUP(6112,季財報!$A:$H,8,0)</f>
        <v>2</v>
      </c>
      <c r="F198" s="161">
        <v>6.3666666666666663E-3</v>
      </c>
      <c r="G198" s="54">
        <v>2569596774.1935482</v>
      </c>
      <c r="H198" s="54">
        <v>8481423000</v>
      </c>
      <c r="I198" s="65">
        <v>0.30296764755083533</v>
      </c>
      <c r="J198" s="163">
        <v>14.985599078341012</v>
      </c>
    </row>
    <row r="199" spans="1:11" hidden="1">
      <c r="A199" s="64">
        <v>3540</v>
      </c>
      <c r="B199" s="151">
        <v>0.25</v>
      </c>
      <c r="C199" s="160">
        <v>0.36842105263157893</v>
      </c>
      <c r="D199" s="153">
        <v>64000000</v>
      </c>
      <c r="E199" s="26">
        <f>VLOOKUP(3540,季財報!$A:$H,8,0)</f>
        <v>2</v>
      </c>
      <c r="F199" s="160">
        <v>2.756666666666667E-2</v>
      </c>
      <c r="G199" s="153">
        <v>800000000</v>
      </c>
      <c r="H199" s="153">
        <v>2599195000</v>
      </c>
      <c r="I199" s="151">
        <v>0.30778760346953576</v>
      </c>
      <c r="J199" s="153">
        <v>33.928571428571431</v>
      </c>
    </row>
    <row r="200" spans="1:11" hidden="1">
      <c r="A200" s="64">
        <v>6125</v>
      </c>
      <c r="B200" s="52">
        <v>7.0000000000000007E-2</v>
      </c>
      <c r="C200" s="161">
        <v>0</v>
      </c>
      <c r="D200" s="158">
        <v>257142857.1428571</v>
      </c>
      <c r="E200" s="26">
        <f>VLOOKUP(6125,季財報!$A:$H,8,0)</f>
        <v>2</v>
      </c>
      <c r="F200" s="161">
        <v>1.9658333333333337E-2</v>
      </c>
      <c r="G200" s="54">
        <v>3188571428.5714283</v>
      </c>
      <c r="H200" s="54">
        <v>10329985000</v>
      </c>
      <c r="I200" s="65">
        <v>0.30867144807774921</v>
      </c>
      <c r="J200" s="163">
        <v>0</v>
      </c>
    </row>
    <row r="201" spans="1:11" hidden="1">
      <c r="A201" s="64">
        <v>8071</v>
      </c>
      <c r="B201" s="52">
        <v>-0.28000000000000003</v>
      </c>
      <c r="C201" s="161">
        <v>1</v>
      </c>
      <c r="D201" s="158">
        <v>53571428.571428567</v>
      </c>
      <c r="E201" s="26">
        <f>VLOOKUP(8071,季財報!$A:$H,8,0)</f>
        <v>1</v>
      </c>
      <c r="F201" s="161">
        <v>2.8408333333333327E-2</v>
      </c>
      <c r="G201" s="54">
        <v>685714285.71428573</v>
      </c>
      <c r="H201" s="54">
        <v>2220784000</v>
      </c>
      <c r="I201" s="65">
        <v>0.30877126533435295</v>
      </c>
      <c r="J201" s="163">
        <v>0</v>
      </c>
    </row>
    <row r="202" spans="1:11" hidden="1">
      <c r="A202" s="64">
        <v>3596</v>
      </c>
      <c r="B202" s="151">
        <v>1.42</v>
      </c>
      <c r="C202" s="160">
        <v>0.25776397515527949</v>
      </c>
      <c r="D202" s="153">
        <v>188732394.3661972</v>
      </c>
      <c r="E202" s="26">
        <f>VLOOKUP(3596,季財報!$A:$H,8,0)</f>
        <v>3</v>
      </c>
      <c r="F202" s="160">
        <v>1.7491666666666669E-2</v>
      </c>
      <c r="G202" s="153">
        <v>6030000000</v>
      </c>
      <c r="H202" s="153">
        <v>19508219000</v>
      </c>
      <c r="I202" s="151">
        <v>0.30910048733818296</v>
      </c>
      <c r="J202" s="153">
        <v>21.822289156626507</v>
      </c>
      <c r="K202" s="32"/>
    </row>
    <row r="203" spans="1:11" hidden="1">
      <c r="A203" s="64">
        <v>2636</v>
      </c>
      <c r="B203" s="151">
        <v>0.83</v>
      </c>
      <c r="C203" s="160">
        <v>0.77956989247311825</v>
      </c>
      <c r="D203" s="153">
        <v>106024096.38554217</v>
      </c>
      <c r="E203" s="26">
        <f>VLOOKUP(2636,季財報!$A:$H,8,0)</f>
        <v>2</v>
      </c>
      <c r="F203" s="160">
        <v>5.3833333333333329E-3</v>
      </c>
      <c r="G203" s="153">
        <v>3180722891.5662651</v>
      </c>
      <c r="H203" s="153">
        <v>10100009000</v>
      </c>
      <c r="I203" s="151">
        <v>0.31492277794665974</v>
      </c>
      <c r="J203" s="153">
        <v>11.591192355629415</v>
      </c>
    </row>
    <row r="204" spans="1:11" hidden="1">
      <c r="A204" s="64">
        <v>2387</v>
      </c>
      <c r="B204" s="151">
        <v>0.81</v>
      </c>
      <c r="C204" s="160">
        <v>0.63636363636363635</v>
      </c>
      <c r="D204" s="153">
        <v>351851851.85185182</v>
      </c>
      <c r="E204" s="26">
        <f>VLOOKUP(2387,季財報!$A:$H,8,0)</f>
        <v>4</v>
      </c>
      <c r="F204" s="160">
        <v>1.8733333333333331E-2</v>
      </c>
      <c r="G204" s="153">
        <v>5312962962.9629622</v>
      </c>
      <c r="H204" s="153">
        <v>16814989000</v>
      </c>
      <c r="I204" s="151">
        <v>0.3159658898951978</v>
      </c>
      <c r="J204" s="153">
        <v>7.3236331569664896</v>
      </c>
    </row>
    <row r="205" spans="1:11" hidden="1">
      <c r="A205" s="64">
        <v>3260</v>
      </c>
      <c r="B205" s="151">
        <v>0.33</v>
      </c>
      <c r="C205" s="160">
        <v>1</v>
      </c>
      <c r="D205" s="153">
        <v>218181818.18181816</v>
      </c>
      <c r="E205" s="26">
        <f>VLOOKUP(3260,季財報!$A:$H,8,0)</f>
        <v>2</v>
      </c>
      <c r="F205" s="160">
        <v>-7.9750000000000029E-3</v>
      </c>
      <c r="G205" s="153">
        <v>6719999999.999999</v>
      </c>
      <c r="H205" s="153">
        <v>21223199000</v>
      </c>
      <c r="I205" s="151">
        <v>0.3166346411773267</v>
      </c>
      <c r="J205" s="153">
        <v>23.333333333333332</v>
      </c>
      <c r="K205" s="32"/>
    </row>
    <row r="206" spans="1:11" hidden="1">
      <c r="A206" s="64">
        <v>3015</v>
      </c>
      <c r="B206" s="151">
        <v>0.7</v>
      </c>
      <c r="C206" s="160">
        <v>0</v>
      </c>
      <c r="D206" s="153">
        <v>210000000</v>
      </c>
      <c r="E206" s="26">
        <f>VLOOKUP(3015,季財報!$A:$H,8,0)</f>
        <v>3</v>
      </c>
      <c r="F206" s="160">
        <v>1.0283333333333334E-2</v>
      </c>
      <c r="G206" s="153">
        <v>4420500000</v>
      </c>
      <c r="H206" s="153">
        <v>13908004000</v>
      </c>
      <c r="I206" s="151">
        <v>0.31783856260035587</v>
      </c>
      <c r="J206" s="153">
        <v>0</v>
      </c>
    </row>
    <row r="207" spans="1:11" hidden="1">
      <c r="A207" s="64">
        <v>1617</v>
      </c>
      <c r="B207" s="151">
        <v>0.24</v>
      </c>
      <c r="C207" s="160">
        <v>0.24242424242424243</v>
      </c>
      <c r="D207" s="153">
        <v>141666666.66666669</v>
      </c>
      <c r="E207" s="26">
        <f>VLOOKUP(1617,季財報!$A:$H,8,0)</f>
        <v>2</v>
      </c>
      <c r="F207" s="160">
        <v>3.7666666666666738E-3</v>
      </c>
      <c r="G207" s="153">
        <v>967583333.33333349</v>
      </c>
      <c r="H207" s="153">
        <v>3041773000</v>
      </c>
      <c r="I207" s="151">
        <v>0.3180984686672324</v>
      </c>
      <c r="J207" s="153">
        <v>29.34765625</v>
      </c>
    </row>
    <row r="208" spans="1:11" hidden="1">
      <c r="A208" s="64">
        <v>3313</v>
      </c>
      <c r="B208" s="151">
        <v>0.04</v>
      </c>
      <c r="C208" s="160">
        <v>1</v>
      </c>
      <c r="D208" s="153">
        <v>75000000</v>
      </c>
      <c r="E208" s="26">
        <f>VLOOKUP(3313,季財報!$A:$H,8,0)</f>
        <v>4</v>
      </c>
      <c r="F208" s="160">
        <v>-1.8391666666666664E-2</v>
      </c>
      <c r="G208" s="153">
        <v>576750000</v>
      </c>
      <c r="H208" s="153">
        <v>1792992000</v>
      </c>
      <c r="I208" s="151">
        <v>0.32166903142903036</v>
      </c>
      <c r="J208" s="153">
        <v>48.0625</v>
      </c>
    </row>
    <row r="209" spans="1:10" hidden="1">
      <c r="A209" s="64">
        <v>6291</v>
      </c>
      <c r="B209" s="52">
        <v>-0.45</v>
      </c>
      <c r="C209" s="161">
        <v>1</v>
      </c>
      <c r="D209" s="158">
        <v>26666666.666666664</v>
      </c>
      <c r="E209" s="26">
        <f>VLOOKUP(6291,季財報!$A:$H,8,0)</f>
        <v>0</v>
      </c>
      <c r="F209" s="161">
        <v>1.1999999999999986E-3</v>
      </c>
      <c r="G209" s="54">
        <v>78666666.666666657</v>
      </c>
      <c r="H209" s="54">
        <v>243611000</v>
      </c>
      <c r="I209" s="65">
        <v>0.32291918947283438</v>
      </c>
      <c r="J209" s="163">
        <v>0</v>
      </c>
    </row>
    <row r="210" spans="1:10" hidden="1">
      <c r="A210" s="64">
        <v>2425</v>
      </c>
      <c r="B210" s="151">
        <v>1.1399999999999999</v>
      </c>
      <c r="C210" s="160">
        <v>0.640625</v>
      </c>
      <c r="D210" s="153">
        <v>108771929.82456142</v>
      </c>
      <c r="E210" s="26">
        <f>VLOOKUP(2425,季財報!$A:$H,8,0)</f>
        <v>2</v>
      </c>
      <c r="F210" s="160">
        <v>6.1774999999999997E-2</v>
      </c>
      <c r="G210" s="153">
        <v>2295087719.2982459</v>
      </c>
      <c r="H210" s="153">
        <v>7095075000</v>
      </c>
      <c r="I210" s="151">
        <v>0.32347617457155081</v>
      </c>
      <c r="J210" s="153">
        <v>7.2229353872486106</v>
      </c>
    </row>
    <row r="211" spans="1:10" hidden="1">
      <c r="A211" s="64">
        <v>9962</v>
      </c>
      <c r="B211" s="52">
        <v>-0.23</v>
      </c>
      <c r="C211" s="161">
        <v>1</v>
      </c>
      <c r="D211" s="158">
        <v>91304347.826086953</v>
      </c>
      <c r="E211" s="26">
        <f>VLOOKUP(9962,季財報!$A:$H,8,0)</f>
        <v>0</v>
      </c>
      <c r="F211" s="161">
        <v>-4.800000000000003E-3</v>
      </c>
      <c r="G211" s="54">
        <v>684782608.69565213</v>
      </c>
      <c r="H211" s="54">
        <v>2109701000</v>
      </c>
      <c r="I211" s="65">
        <v>0.32458751675979303</v>
      </c>
      <c r="J211" s="163">
        <v>0</v>
      </c>
    </row>
    <row r="212" spans="1:10" hidden="1">
      <c r="A212" s="64">
        <v>6275</v>
      </c>
      <c r="B212" s="52">
        <v>0.15</v>
      </c>
      <c r="C212" s="161">
        <v>0.23529411764705882</v>
      </c>
      <c r="D212" s="158">
        <v>53333333.333333336</v>
      </c>
      <c r="E212" s="26">
        <f>VLOOKUP(6275,季財報!$A:$H,8,0)</f>
        <v>1</v>
      </c>
      <c r="F212" s="161">
        <v>6.1583333333333325E-3</v>
      </c>
      <c r="G212" s="54">
        <v>674666666.66666675</v>
      </c>
      <c r="H212" s="54">
        <v>2071762000</v>
      </c>
      <c r="I212" s="65">
        <v>0.32564873120882937</v>
      </c>
      <c r="J212" s="163">
        <v>50</v>
      </c>
    </row>
    <row r="213" spans="1:10" hidden="1">
      <c r="A213" s="64">
        <v>1455</v>
      </c>
      <c r="B213" s="151">
        <v>-0.15</v>
      </c>
      <c r="C213" s="160">
        <v>0.10674157303370786</v>
      </c>
      <c r="D213" s="153">
        <v>613333333.33333337</v>
      </c>
      <c r="E213" s="26">
        <f>VLOOKUP(1455,季財報!$A:$H,8,0)</f>
        <v>0</v>
      </c>
      <c r="F213" s="160">
        <v>-1.61E-2</v>
      </c>
      <c r="G213" s="153">
        <v>5158133333.333334</v>
      </c>
      <c r="H213" s="153">
        <v>15802977000</v>
      </c>
      <c r="I213" s="151">
        <v>0.3264026349803163</v>
      </c>
      <c r="J213" s="153">
        <v>0</v>
      </c>
    </row>
    <row r="214" spans="1:10" hidden="1">
      <c r="A214" s="64">
        <v>1608</v>
      </c>
      <c r="B214" s="151">
        <v>-0.43</v>
      </c>
      <c r="C214" s="160">
        <v>0</v>
      </c>
      <c r="D214" s="153">
        <v>423255813.95348835</v>
      </c>
      <c r="E214" s="26">
        <f>VLOOKUP(1608,季財報!$A:$H,8,0)</f>
        <v>1</v>
      </c>
      <c r="F214" s="160">
        <v>1.6674999999999999E-2</v>
      </c>
      <c r="G214" s="153">
        <v>2878139534.8837209</v>
      </c>
      <c r="H214" s="153">
        <v>8751940000</v>
      </c>
      <c r="I214" s="151">
        <v>0.32885732019229119</v>
      </c>
      <c r="J214" s="153">
        <v>0</v>
      </c>
    </row>
    <row r="215" spans="1:10" hidden="1">
      <c r="A215" s="64">
        <v>3553</v>
      </c>
      <c r="B215" s="151">
        <v>-0.08</v>
      </c>
      <c r="C215" s="160">
        <v>1</v>
      </c>
      <c r="D215" s="153">
        <v>62500000</v>
      </c>
      <c r="E215" s="26">
        <f>VLOOKUP(3553,季財報!$A:$H,8,0)</f>
        <v>0</v>
      </c>
      <c r="F215" s="160">
        <v>5.0000000000000044E-4</v>
      </c>
      <c r="G215" s="153">
        <v>856250000</v>
      </c>
      <c r="H215" s="153">
        <v>2596749000</v>
      </c>
      <c r="I215" s="151">
        <v>0.32973922392961352</v>
      </c>
      <c r="J215" s="153">
        <v>0</v>
      </c>
    </row>
    <row r="216" spans="1:10" hidden="1">
      <c r="A216" s="64">
        <v>6246</v>
      </c>
      <c r="B216" s="52">
        <v>0.13</v>
      </c>
      <c r="C216" s="161">
        <v>0</v>
      </c>
      <c r="D216" s="158">
        <v>130769230.76923077</v>
      </c>
      <c r="E216" s="26">
        <f>VLOOKUP(6246,季財報!$A:$H,8,0)</f>
        <v>3</v>
      </c>
      <c r="F216" s="161">
        <v>-2.293333333333333E-2</v>
      </c>
      <c r="G216" s="54">
        <v>298153846.15384614</v>
      </c>
      <c r="H216" s="54">
        <v>901603000</v>
      </c>
      <c r="I216" s="65">
        <v>0.33069305021594442</v>
      </c>
      <c r="J216" s="163">
        <v>0</v>
      </c>
    </row>
    <row r="217" spans="1:10" hidden="1">
      <c r="A217" s="64">
        <v>1735</v>
      </c>
      <c r="B217" s="151">
        <v>0.28999999999999998</v>
      </c>
      <c r="C217" s="160">
        <v>0.92307692307692313</v>
      </c>
      <c r="D217" s="153">
        <v>100000000</v>
      </c>
      <c r="E217" s="26">
        <f>VLOOKUP(1735,季財報!$A:$H,8,0)</f>
        <v>2</v>
      </c>
      <c r="F217" s="160">
        <v>1.3016666666666668E-2</v>
      </c>
      <c r="G217" s="153">
        <v>1195000000</v>
      </c>
      <c r="H217" s="153">
        <v>3599863000</v>
      </c>
      <c r="I217" s="151">
        <v>0.33195707725543999</v>
      </c>
      <c r="J217" s="153">
        <v>11.160201149425287</v>
      </c>
    </row>
    <row r="218" spans="1:10" hidden="1">
      <c r="A218" s="64">
        <v>3011</v>
      </c>
      <c r="B218" s="151">
        <v>-0.33</v>
      </c>
      <c r="C218" s="160">
        <v>1</v>
      </c>
      <c r="D218" s="153">
        <v>115151515.15151514</v>
      </c>
      <c r="E218" s="26">
        <f>VLOOKUP(3011,季財報!$A:$H,8,0)</f>
        <v>1</v>
      </c>
      <c r="F218" s="160">
        <v>3.4499999999999947E-3</v>
      </c>
      <c r="G218" s="153">
        <v>693212121.21212113</v>
      </c>
      <c r="H218" s="153">
        <v>2086679000</v>
      </c>
      <c r="I218" s="151">
        <v>0.33220831819945529</v>
      </c>
      <c r="J218" s="153">
        <v>0</v>
      </c>
    </row>
    <row r="219" spans="1:10" hidden="1">
      <c r="A219" s="64">
        <v>2603</v>
      </c>
      <c r="B219" s="151">
        <v>-0.69</v>
      </c>
      <c r="C219" s="160">
        <v>0.87222438644331901</v>
      </c>
      <c r="D219" s="153">
        <v>3498550724.6376815</v>
      </c>
      <c r="E219" s="26">
        <f>VLOOKUP(2603,季財報!$A:$H,8,0)</f>
        <v>1</v>
      </c>
      <c r="F219" s="160">
        <v>-1.5300000000000003E-2</v>
      </c>
      <c r="G219" s="153">
        <v>46005942028.985512</v>
      </c>
      <c r="H219" s="153">
        <v>137950668000</v>
      </c>
      <c r="I219" s="151">
        <v>0.33349560894468094</v>
      </c>
      <c r="J219" s="153">
        <v>0</v>
      </c>
    </row>
    <row r="220" spans="1:10" hidden="1">
      <c r="A220" s="64">
        <v>8271</v>
      </c>
      <c r="B220" s="52">
        <v>0.32</v>
      </c>
      <c r="C220" s="161">
        <v>1</v>
      </c>
      <c r="D220" s="158">
        <v>150000000</v>
      </c>
      <c r="E220" s="26">
        <f>VLOOKUP(8271,季財報!$A:$H,8,0)</f>
        <v>2</v>
      </c>
      <c r="F220" s="161">
        <v>-1.6674999999999999E-2</v>
      </c>
      <c r="G220" s="54">
        <v>2617500000</v>
      </c>
      <c r="H220" s="54">
        <v>7811221000</v>
      </c>
      <c r="I220" s="65">
        <v>0.33509485904956471</v>
      </c>
      <c r="J220" s="163">
        <v>13.6328125</v>
      </c>
    </row>
    <row r="221" spans="1:10" hidden="1">
      <c r="A221" s="64">
        <v>5013</v>
      </c>
      <c r="B221" s="52">
        <v>0.47</v>
      </c>
      <c r="C221" s="161">
        <v>1</v>
      </c>
      <c r="D221" s="158">
        <v>110638297.87234043</v>
      </c>
      <c r="E221" s="26">
        <f>VLOOKUP(5013,季財報!$A:$H,8,0)</f>
        <v>2</v>
      </c>
      <c r="F221" s="161">
        <v>8.5499999999999934E-3</v>
      </c>
      <c r="G221" s="54">
        <v>1770212765.9574468</v>
      </c>
      <c r="H221" s="54">
        <v>5258931000</v>
      </c>
      <c r="I221" s="65">
        <v>0.33661076100018172</v>
      </c>
      <c r="J221" s="163">
        <v>8.5106382978723403</v>
      </c>
    </row>
    <row r="222" spans="1:10" hidden="1">
      <c r="A222" s="64">
        <v>2459</v>
      </c>
      <c r="B222" s="151">
        <v>1.01</v>
      </c>
      <c r="C222" s="160">
        <v>0.7366071428571429</v>
      </c>
      <c r="D222" s="153">
        <v>110891089.10891089</v>
      </c>
      <c r="E222" s="26">
        <f>VLOOKUP(2459,季財報!$A:$H,8,0)</f>
        <v>1</v>
      </c>
      <c r="F222" s="160">
        <v>7.2750000000000011E-3</v>
      </c>
      <c r="G222" s="153">
        <v>3737029702.9702973</v>
      </c>
      <c r="H222" s="153">
        <v>11079163000</v>
      </c>
      <c r="I222" s="151">
        <v>0.33730252934903993</v>
      </c>
      <c r="J222" s="153">
        <v>11.324332433243324</v>
      </c>
    </row>
    <row r="223" spans="1:10" hidden="1">
      <c r="A223" s="64">
        <v>1441</v>
      </c>
      <c r="B223" s="151">
        <v>-0.2</v>
      </c>
      <c r="C223" s="160">
        <v>0.73076923076923073</v>
      </c>
      <c r="D223" s="153">
        <v>90000000</v>
      </c>
      <c r="E223" s="26">
        <f>VLOOKUP(1441,季財報!$A:$H,8,0)</f>
        <v>2</v>
      </c>
      <c r="F223" s="160">
        <v>1.9241666666666667E-2</v>
      </c>
      <c r="G223" s="153">
        <v>653400000</v>
      </c>
      <c r="H223" s="153">
        <v>1922230000</v>
      </c>
      <c r="I223" s="151">
        <v>0.3399176997549721</v>
      </c>
      <c r="J223" s="153">
        <v>0</v>
      </c>
    </row>
    <row r="224" spans="1:10" hidden="1">
      <c r="A224" s="64">
        <v>8099</v>
      </c>
      <c r="B224" s="52">
        <v>0.36</v>
      </c>
      <c r="C224" s="161">
        <v>0.96</v>
      </c>
      <c r="D224" s="158">
        <v>66666666.666666672</v>
      </c>
      <c r="E224" s="26">
        <f>VLOOKUP(8099,季財報!$A:$H,8,0)</f>
        <v>1</v>
      </c>
      <c r="F224" s="161">
        <v>-1.2283333333333332E-2</v>
      </c>
      <c r="G224" s="54">
        <v>1170000000.0000002</v>
      </c>
      <c r="H224" s="54">
        <v>3431249000</v>
      </c>
      <c r="I224" s="65">
        <v>0.34098370593332056</v>
      </c>
      <c r="J224" s="163">
        <v>12.695312500000002</v>
      </c>
    </row>
    <row r="225" spans="1:10" hidden="1">
      <c r="A225" s="64">
        <v>3323</v>
      </c>
      <c r="B225" s="151">
        <v>0.76</v>
      </c>
      <c r="C225" s="160">
        <v>0.16666666666666666</v>
      </c>
      <c r="D225" s="153">
        <v>94736842.105263159</v>
      </c>
      <c r="E225" s="26">
        <f>VLOOKUP(3323,季財報!$A:$H,8,0)</f>
        <v>4</v>
      </c>
      <c r="F225" s="160">
        <v>2.2166666666666632E-3</v>
      </c>
      <c r="G225" s="153">
        <v>1719473684.2105262</v>
      </c>
      <c r="H225" s="153">
        <v>5013530000</v>
      </c>
      <c r="I225" s="151">
        <v>0.34296666903569467</v>
      </c>
      <c r="J225" s="153">
        <v>35.82236842105263</v>
      </c>
    </row>
    <row r="226" spans="1:10" hidden="1">
      <c r="A226" s="64">
        <v>6163</v>
      </c>
      <c r="B226" s="52">
        <v>-0.7</v>
      </c>
      <c r="C226" s="161">
        <v>1</v>
      </c>
      <c r="D226" s="158">
        <v>102857142.85714287</v>
      </c>
      <c r="E226" s="26">
        <f>VLOOKUP(6163,季財報!$A:$H,8,0)</f>
        <v>1</v>
      </c>
      <c r="F226" s="161">
        <v>8.2208333333333355E-2</v>
      </c>
      <c r="G226" s="54">
        <v>1152000000</v>
      </c>
      <c r="H226" s="54">
        <v>3357835000</v>
      </c>
      <c r="I226" s="65">
        <v>0.34307820366396802</v>
      </c>
      <c r="J226" s="163">
        <v>0</v>
      </c>
    </row>
    <row r="227" spans="1:10" hidden="1">
      <c r="A227" s="64">
        <v>6270</v>
      </c>
      <c r="B227" s="52">
        <v>0.12</v>
      </c>
      <c r="C227" s="161">
        <v>0.45454545454545453</v>
      </c>
      <c r="D227" s="158">
        <v>75000000</v>
      </c>
      <c r="E227" s="26">
        <f>VLOOKUP(6270,季財報!$A:$H,8,0)</f>
        <v>3</v>
      </c>
      <c r="F227" s="161">
        <v>8.6500000000000014E-3</v>
      </c>
      <c r="G227" s="54">
        <v>783750000</v>
      </c>
      <c r="H227" s="54">
        <v>2284337000</v>
      </c>
      <c r="I227" s="65">
        <v>0.34309736260455442</v>
      </c>
      <c r="J227" s="163">
        <v>47.895833333333336</v>
      </c>
    </row>
    <row r="228" spans="1:10" hidden="1">
      <c r="A228" s="64">
        <v>1215</v>
      </c>
      <c r="B228" s="151">
        <v>0.72</v>
      </c>
      <c r="C228" s="160">
        <v>0.94557823129251706</v>
      </c>
      <c r="D228" s="153">
        <v>266666666.66666669</v>
      </c>
      <c r="E228" s="26">
        <f>VLOOKUP(1215,季財報!$A:$H,8,0)</f>
        <v>3</v>
      </c>
      <c r="F228" s="160">
        <v>-1.0833333333333326E-3</v>
      </c>
      <c r="G228" s="153">
        <v>5800000000</v>
      </c>
      <c r="H228" s="153">
        <v>16814979000</v>
      </c>
      <c r="I228" s="151">
        <v>0.34493055269352402</v>
      </c>
      <c r="J228" s="153">
        <v>7.9867356115107908</v>
      </c>
    </row>
    <row r="229" spans="1:10" hidden="1">
      <c r="A229" s="64">
        <v>5475</v>
      </c>
      <c r="B229" s="52">
        <v>-0.38</v>
      </c>
      <c r="C229" s="161">
        <v>1</v>
      </c>
      <c r="D229" s="158">
        <v>223684210.52631578</v>
      </c>
      <c r="E229" s="26">
        <f>VLOOKUP(5475,季財報!$A:$H,8,0)</f>
        <v>1</v>
      </c>
      <c r="F229" s="161">
        <v>-1.1791666666666667E-2</v>
      </c>
      <c r="G229" s="54">
        <v>856710526.31578946</v>
      </c>
      <c r="H229" s="54">
        <v>2478600000</v>
      </c>
      <c r="I229" s="65">
        <v>0.34564291386903473</v>
      </c>
      <c r="J229" s="163">
        <v>0</v>
      </c>
    </row>
    <row r="230" spans="1:10" hidden="1">
      <c r="A230" s="64">
        <v>6281</v>
      </c>
      <c r="B230" s="52">
        <v>0.88</v>
      </c>
      <c r="C230" s="161">
        <v>0.94444444444444442</v>
      </c>
      <c r="D230" s="158">
        <v>98863636.36363636</v>
      </c>
      <c r="E230" s="26">
        <f>VLOOKUP(6281,季財報!$A:$H,8,0)</f>
        <v>0</v>
      </c>
      <c r="F230" s="161">
        <v>2.101666666666667E-2</v>
      </c>
      <c r="G230" s="54">
        <v>5615454545.454545</v>
      </c>
      <c r="H230" s="54">
        <v>16192120000</v>
      </c>
      <c r="I230" s="65">
        <v>0.34680168782435811</v>
      </c>
      <c r="J230" s="163">
        <v>17.085561497326204</v>
      </c>
    </row>
    <row r="231" spans="1:10" hidden="1">
      <c r="A231" s="64">
        <v>1909</v>
      </c>
      <c r="B231" s="151">
        <v>0.31</v>
      </c>
      <c r="C231" s="160">
        <v>1</v>
      </c>
      <c r="D231" s="153">
        <v>841935483.87096775</v>
      </c>
      <c r="E231" s="26">
        <f>VLOOKUP(1909,季財報!$A:$H,8,0)</f>
        <v>2</v>
      </c>
      <c r="F231" s="160">
        <v>8.3666666666666646E-3</v>
      </c>
      <c r="G231" s="153">
        <v>9555967741.9354839</v>
      </c>
      <c r="H231" s="153">
        <v>27344825000</v>
      </c>
      <c r="I231" s="151">
        <v>0.34946165286980202</v>
      </c>
      <c r="J231" s="153">
        <v>9.1532258064516121</v>
      </c>
    </row>
    <row r="232" spans="1:10" hidden="1">
      <c r="A232" s="64">
        <v>8938</v>
      </c>
      <c r="B232" s="52">
        <v>0.02</v>
      </c>
      <c r="C232" s="161">
        <v>1</v>
      </c>
      <c r="D232" s="158">
        <v>150000000</v>
      </c>
      <c r="E232" s="26">
        <f>VLOOKUP(8938,季財報!$A:$H,8,0)</f>
        <v>2</v>
      </c>
      <c r="F232" s="161">
        <v>3.7258333333333331E-2</v>
      </c>
      <c r="G232" s="54">
        <v>3052500000</v>
      </c>
      <c r="H232" s="54">
        <v>8711876000</v>
      </c>
      <c r="I232" s="65">
        <v>0.35038377497567685</v>
      </c>
      <c r="J232" s="163">
        <v>50</v>
      </c>
    </row>
    <row r="233" spans="1:10" hidden="1">
      <c r="A233" s="64">
        <v>8032</v>
      </c>
      <c r="B233" s="52">
        <v>1.1499999999999999</v>
      </c>
      <c r="C233" s="161">
        <v>0.57954545454545459</v>
      </c>
      <c r="D233" s="158">
        <v>52173913.043478265</v>
      </c>
      <c r="E233" s="26">
        <f>VLOOKUP(8032,季財報!$A:$H,8,0)</f>
        <v>3</v>
      </c>
      <c r="F233" s="161">
        <v>4.2791666666666665E-2</v>
      </c>
      <c r="G233" s="54">
        <v>1481739130.4347827</v>
      </c>
      <c r="H233" s="54">
        <v>4201353000</v>
      </c>
      <c r="I233" s="65">
        <v>0.35268141725648444</v>
      </c>
      <c r="J233" s="163">
        <v>10.653026427962489</v>
      </c>
    </row>
    <row r="234" spans="1:10" hidden="1">
      <c r="A234" s="64">
        <v>8085</v>
      </c>
      <c r="B234" s="52">
        <v>-0.18</v>
      </c>
      <c r="C234" s="161">
        <v>1</v>
      </c>
      <c r="D234" s="158">
        <v>155555555.55555555</v>
      </c>
      <c r="E234" s="26">
        <f>VLOOKUP(8085,季財報!$A:$H,8,0)</f>
        <v>2</v>
      </c>
      <c r="F234" s="161">
        <v>6.7499999999999624E-4</v>
      </c>
      <c r="G234" s="54">
        <v>658000000</v>
      </c>
      <c r="H234" s="54">
        <v>1851720000</v>
      </c>
      <c r="I234" s="65">
        <v>0.3553453005854017</v>
      </c>
      <c r="J234" s="163">
        <v>0</v>
      </c>
    </row>
    <row r="235" spans="1:10" hidden="1">
      <c r="A235" s="64">
        <v>3211</v>
      </c>
      <c r="B235" s="151">
        <v>1.51</v>
      </c>
      <c r="C235" s="160">
        <v>0.20359281437125748</v>
      </c>
      <c r="D235" s="153">
        <v>150331125.82781458</v>
      </c>
      <c r="E235" s="26">
        <f>VLOOKUP(3211,季財報!$A:$H,8,0)</f>
        <v>2</v>
      </c>
      <c r="F235" s="160">
        <v>7.6666666666666619E-3</v>
      </c>
      <c r="G235" s="153">
        <v>7907417218.543047</v>
      </c>
      <c r="H235" s="153">
        <v>22199003000</v>
      </c>
      <c r="I235" s="151">
        <v>0.35620596197689808</v>
      </c>
      <c r="J235" s="153">
        <v>42.774639657187379</v>
      </c>
    </row>
    <row r="236" spans="1:10" hidden="1">
      <c r="A236" s="64">
        <v>2010</v>
      </c>
      <c r="B236" s="151">
        <v>0.11</v>
      </c>
      <c r="C236" s="160">
        <v>0.45402298850574713</v>
      </c>
      <c r="D236" s="153">
        <v>663636363.63636363</v>
      </c>
      <c r="E236" s="26">
        <f>VLOOKUP(2010,季財報!$A:$H,8,0)</f>
        <v>0</v>
      </c>
      <c r="F236" s="160">
        <v>-4.2333333333333311E-3</v>
      </c>
      <c r="G236" s="153">
        <v>6005909090.909091</v>
      </c>
      <c r="H236" s="153">
        <v>16838485000</v>
      </c>
      <c r="I236" s="151">
        <v>0.35667752122053087</v>
      </c>
      <c r="J236" s="153">
        <v>45.302071346375143</v>
      </c>
    </row>
    <row r="237" spans="1:10" hidden="1">
      <c r="A237" s="64">
        <v>8266</v>
      </c>
      <c r="B237" s="52">
        <v>-0.53</v>
      </c>
      <c r="C237" s="161">
        <v>0.50724637681159424</v>
      </c>
      <c r="D237" s="158">
        <v>28301886.792452827</v>
      </c>
      <c r="E237" s="26">
        <f>VLOOKUP(8266,季財報!$A:$H,8,0)</f>
        <v>3</v>
      </c>
      <c r="F237" s="161">
        <v>0.44363333333333338</v>
      </c>
      <c r="G237" s="54">
        <v>948113207.54716969</v>
      </c>
      <c r="H237" s="54">
        <v>2634510000</v>
      </c>
      <c r="I237" s="65">
        <v>0.35988218209350875</v>
      </c>
      <c r="J237" s="163">
        <v>0</v>
      </c>
    </row>
    <row r="238" spans="1:10" hidden="1">
      <c r="A238" s="64">
        <v>3037</v>
      </c>
      <c r="B238" s="151">
        <v>0.1</v>
      </c>
      <c r="C238" s="160">
        <v>0</v>
      </c>
      <c r="D238" s="153">
        <v>1580000000</v>
      </c>
      <c r="E238" s="26">
        <f>VLOOKUP(3037,季財報!$A:$H,8,0)</f>
        <v>3</v>
      </c>
      <c r="F238" s="160">
        <v>9.9916666666666661E-3</v>
      </c>
      <c r="G238" s="153">
        <v>23068000000</v>
      </c>
      <c r="H238" s="153">
        <v>63919791000</v>
      </c>
      <c r="I238" s="151">
        <v>0.36088979076918448</v>
      </c>
      <c r="J238" s="153">
        <v>0</v>
      </c>
    </row>
    <row r="239" spans="1:10" hidden="1">
      <c r="A239" s="64">
        <v>6213</v>
      </c>
      <c r="B239" s="52">
        <v>0.56999999999999995</v>
      </c>
      <c r="C239" s="161">
        <v>1</v>
      </c>
      <c r="D239" s="158">
        <v>315789473.68421054</v>
      </c>
      <c r="E239" s="26">
        <f>VLOOKUP(6213,季財報!$A:$H,8,0)</f>
        <v>4</v>
      </c>
      <c r="F239" s="161">
        <v>4.2166666666666646E-3</v>
      </c>
      <c r="G239" s="54">
        <v>6900000000.000001</v>
      </c>
      <c r="H239" s="54">
        <v>18937750000</v>
      </c>
      <c r="I239" s="65">
        <v>0.36435162572111263</v>
      </c>
      <c r="J239" s="163">
        <v>9.5833333333333339</v>
      </c>
    </row>
    <row r="240" spans="1:10" hidden="1">
      <c r="A240" s="64">
        <v>2029</v>
      </c>
      <c r="B240" s="151">
        <v>-1.38</v>
      </c>
      <c r="C240" s="160">
        <v>0</v>
      </c>
      <c r="D240" s="153">
        <v>320289855.07246381</v>
      </c>
      <c r="E240" s="26">
        <f>VLOOKUP(2029,季財報!$A:$H,8,0)</f>
        <v>1</v>
      </c>
      <c r="F240" s="160">
        <v>-1.8600000000000002E-2</v>
      </c>
      <c r="G240" s="153">
        <v>5204710144.927537</v>
      </c>
      <c r="H240" s="153">
        <v>14281777000</v>
      </c>
      <c r="I240" s="151">
        <v>0.36443015073877272</v>
      </c>
      <c r="J240" s="153">
        <v>0</v>
      </c>
    </row>
    <row r="241" spans="1:11" hidden="1">
      <c r="A241" s="64">
        <v>3114</v>
      </c>
      <c r="B241" s="151">
        <v>0.91</v>
      </c>
      <c r="C241" s="160">
        <v>0.27083333333333331</v>
      </c>
      <c r="D241" s="153">
        <v>50549450.549450547</v>
      </c>
      <c r="E241" s="26">
        <f>VLOOKUP(3114,季財報!$A:$H,8,0)</f>
        <v>4</v>
      </c>
      <c r="F241" s="160">
        <v>1.6583333333333328E-2</v>
      </c>
      <c r="G241" s="153">
        <v>712747252.7472527</v>
      </c>
      <c r="H241" s="153">
        <v>1950537000</v>
      </c>
      <c r="I241" s="151">
        <v>0.36541078315728065</v>
      </c>
      <c r="J241" s="153">
        <v>14.30262045646661</v>
      </c>
    </row>
    <row r="242" spans="1:11" hidden="1">
      <c r="A242" s="64">
        <v>2034</v>
      </c>
      <c r="B242" s="151">
        <v>0.56000000000000005</v>
      </c>
      <c r="C242" s="160">
        <v>0.7192982456140351</v>
      </c>
      <c r="D242" s="153">
        <v>369642857.14285713</v>
      </c>
      <c r="E242" s="26">
        <f>VLOOKUP(2034,季財報!$A:$H,8,0)</f>
        <v>2</v>
      </c>
      <c r="F242" s="160">
        <v>-2.5150000000000006E-2</v>
      </c>
      <c r="G242" s="153">
        <v>6986249999.999999</v>
      </c>
      <c r="H242" s="153">
        <v>19114313000</v>
      </c>
      <c r="I242" s="151">
        <v>0.36549835717349605</v>
      </c>
      <c r="J242" s="153">
        <v>11.730182926829267</v>
      </c>
    </row>
    <row r="243" spans="1:11" hidden="1">
      <c r="A243" s="64">
        <v>3062</v>
      </c>
      <c r="B243" s="151">
        <v>0.38</v>
      </c>
      <c r="C243" s="160">
        <v>1</v>
      </c>
      <c r="D243" s="153">
        <v>323684210.52631581</v>
      </c>
      <c r="E243" s="26">
        <f>VLOOKUP(3062,季財報!$A:$H,8,0)</f>
        <v>2</v>
      </c>
      <c r="F243" s="160">
        <v>7.6666666666666654E-3</v>
      </c>
      <c r="G243" s="153">
        <v>5518815789.4736843</v>
      </c>
      <c r="H243" s="153">
        <v>15000857000</v>
      </c>
      <c r="I243" s="151">
        <v>0.36790003327634441</v>
      </c>
      <c r="J243" s="153">
        <v>11.217105263157896</v>
      </c>
      <c r="K243" s="32"/>
    </row>
    <row r="244" spans="1:11" hidden="1">
      <c r="A244" s="64">
        <v>8066</v>
      </c>
      <c r="B244" s="52">
        <v>2.48</v>
      </c>
      <c r="C244" s="161">
        <v>1</v>
      </c>
      <c r="D244" s="158">
        <v>24596774.193548389</v>
      </c>
      <c r="E244" s="26">
        <f>VLOOKUP(8066,季財報!$A:$H,8,0)</f>
        <v>4</v>
      </c>
      <c r="F244" s="161">
        <v>0.21779999999999999</v>
      </c>
      <c r="G244" s="54">
        <v>2681048387.0967746</v>
      </c>
      <c r="H244" s="54">
        <v>7273413000</v>
      </c>
      <c r="I244" s="65">
        <v>0.36860939796719566</v>
      </c>
      <c r="J244" s="163">
        <v>10.987903225806452</v>
      </c>
    </row>
    <row r="245" spans="1:11" hidden="1">
      <c r="A245" s="64">
        <v>2301</v>
      </c>
      <c r="B245" s="151">
        <v>0.71</v>
      </c>
      <c r="C245" s="160">
        <v>0.86449511400651469</v>
      </c>
      <c r="D245" s="153">
        <v>2308450704.2253523</v>
      </c>
      <c r="E245" s="26">
        <f>VLOOKUP(2301,季財報!$A:$H,8,0)</f>
        <v>3</v>
      </c>
      <c r="F245" s="160">
        <v>7.2250000000000014E-3</v>
      </c>
      <c r="G245" s="153">
        <v>81142042253.521133</v>
      </c>
      <c r="H245" s="153">
        <v>219367979000</v>
      </c>
      <c r="I245" s="151">
        <v>0.36989009345580531</v>
      </c>
      <c r="J245" s="153">
        <v>14.316750161860387</v>
      </c>
    </row>
    <row r="246" spans="1:11" hidden="1">
      <c r="A246" s="64">
        <v>4513</v>
      </c>
      <c r="B246" s="52">
        <v>2.0499999999999998</v>
      </c>
      <c r="C246" s="161">
        <v>0</v>
      </c>
      <c r="D246" s="158">
        <v>76585365.853658542</v>
      </c>
      <c r="E246" s="26">
        <f>VLOOKUP(4513,季財報!$A:$H,8,0)</f>
        <v>3</v>
      </c>
      <c r="F246" s="161">
        <v>4.5058333333333332E-2</v>
      </c>
      <c r="G246" s="54">
        <v>842439024.39024401</v>
      </c>
      <c r="H246" s="54">
        <v>2269080000</v>
      </c>
      <c r="I246" s="65">
        <v>0.37126898319594021</v>
      </c>
      <c r="J246" s="163">
        <v>0</v>
      </c>
    </row>
    <row r="247" spans="1:11" hidden="1">
      <c r="A247" s="64">
        <v>8067</v>
      </c>
      <c r="B247" s="52">
        <v>0.05</v>
      </c>
      <c r="C247" s="161">
        <v>1</v>
      </c>
      <c r="D247" s="158">
        <v>40000000</v>
      </c>
      <c r="E247" s="26">
        <f>VLOOKUP(8067,季財報!$A:$H,8,0)</f>
        <v>2</v>
      </c>
      <c r="F247" s="161">
        <v>8.3333333333332829E-6</v>
      </c>
      <c r="G247" s="54">
        <v>197600000.00000003</v>
      </c>
      <c r="H247" s="54">
        <v>532106000</v>
      </c>
      <c r="I247" s="65">
        <v>0.37135457972659586</v>
      </c>
      <c r="J247" s="163">
        <v>24.7</v>
      </c>
    </row>
    <row r="248" spans="1:11" hidden="1">
      <c r="A248" s="64">
        <v>4725</v>
      </c>
      <c r="B248" s="52">
        <v>-1.35</v>
      </c>
      <c r="C248" s="161">
        <v>0.84305555555555556</v>
      </c>
      <c r="D248" s="158">
        <v>291851851.85185182</v>
      </c>
      <c r="E248" s="26">
        <f>VLOOKUP(4725,季財報!$A:$H,8,0)</f>
        <v>0</v>
      </c>
      <c r="F248" s="161">
        <v>-4.9191666666666668E-2</v>
      </c>
      <c r="G248" s="54">
        <v>4786370370.3703699</v>
      </c>
      <c r="H248" s="54">
        <v>12869300000</v>
      </c>
      <c r="I248" s="65">
        <v>0.37192157851401164</v>
      </c>
      <c r="J248" s="163">
        <v>0</v>
      </c>
    </row>
    <row r="249" spans="1:11" hidden="1">
      <c r="A249" s="64">
        <v>6123</v>
      </c>
      <c r="B249" s="52">
        <v>0.92</v>
      </c>
      <c r="C249" s="161">
        <v>0.90277777777777779</v>
      </c>
      <c r="D249" s="158">
        <v>53260869.565217391</v>
      </c>
      <c r="E249" s="26">
        <f>VLOOKUP(6123,季財報!$A:$H,8,0)</f>
        <v>3</v>
      </c>
      <c r="F249" s="161">
        <v>-1.4333333333333327E-3</v>
      </c>
      <c r="G249" s="54">
        <v>1374130434.7826087</v>
      </c>
      <c r="H249" s="54">
        <v>3690499000</v>
      </c>
      <c r="I249" s="65">
        <v>0.37234271971963923</v>
      </c>
      <c r="J249" s="163">
        <v>7.7658862876254178</v>
      </c>
    </row>
    <row r="250" spans="1:11" hidden="1">
      <c r="A250" s="64">
        <v>2481</v>
      </c>
      <c r="B250" s="151">
        <v>0.49</v>
      </c>
      <c r="C250" s="160">
        <v>0.91417910447761197</v>
      </c>
      <c r="D250" s="153">
        <v>389795918.36734694</v>
      </c>
      <c r="E250" s="26">
        <f>VLOOKUP(2481,季財報!$A:$H,8,0)</f>
        <v>2</v>
      </c>
      <c r="F250" s="160">
        <v>3.9999999999999265E-4</v>
      </c>
      <c r="G250" s="153">
        <v>5807959183.6734695</v>
      </c>
      <c r="H250" s="153">
        <v>15554000000</v>
      </c>
      <c r="I250" s="151">
        <v>0.37340614527925098</v>
      </c>
      <c r="J250" s="153">
        <v>8.3157017909204498</v>
      </c>
    </row>
    <row r="251" spans="1:11" hidden="1">
      <c r="A251" s="64">
        <v>5480</v>
      </c>
      <c r="B251" s="52">
        <v>0.28999999999999998</v>
      </c>
      <c r="C251" s="161">
        <v>0.68421052631578949</v>
      </c>
      <c r="D251" s="158">
        <v>200000000</v>
      </c>
      <c r="E251" s="26">
        <f>VLOOKUP(5480,季財報!$A:$H,8,0)</f>
        <v>3</v>
      </c>
      <c r="F251" s="161">
        <v>8.8999999999999965E-3</v>
      </c>
      <c r="G251" s="54">
        <v>2280000000</v>
      </c>
      <c r="H251" s="54">
        <v>6105395000</v>
      </c>
      <c r="I251" s="65">
        <v>0.37344021148508821</v>
      </c>
      <c r="J251" s="163">
        <v>14.363395225464192</v>
      </c>
    </row>
    <row r="252" spans="1:11" hidden="1">
      <c r="A252" s="64">
        <v>3706</v>
      </c>
      <c r="B252" s="52">
        <v>0.64</v>
      </c>
      <c r="C252" s="161">
        <v>0.1492094861660079</v>
      </c>
      <c r="D252" s="158">
        <v>767187500</v>
      </c>
      <c r="E252" s="26">
        <f>VLOOKUP(3706,季財報!$A:$H,8,0)</f>
        <v>3</v>
      </c>
      <c r="F252" s="161">
        <v>-1.4583333333333323E-3</v>
      </c>
      <c r="G252" s="54">
        <v>19333125000</v>
      </c>
      <c r="H252" s="54">
        <v>51399095000</v>
      </c>
      <c r="I252" s="65">
        <v>0.37613745922958369</v>
      </c>
      <c r="J252" s="163">
        <v>50</v>
      </c>
    </row>
    <row r="253" spans="1:11" hidden="1">
      <c r="A253" s="64">
        <v>3317</v>
      </c>
      <c r="B253" s="151">
        <v>-0.06</v>
      </c>
      <c r="C253" s="160">
        <v>1</v>
      </c>
      <c r="D253" s="153">
        <v>66666666.666666672</v>
      </c>
      <c r="E253" s="26">
        <f>VLOOKUP(3317,季財報!$A:$H,8,0)</f>
        <v>4</v>
      </c>
      <c r="F253" s="160">
        <v>2.41E-2</v>
      </c>
      <c r="G253" s="153">
        <v>743333333.33333337</v>
      </c>
      <c r="H253" s="153">
        <v>1973036000</v>
      </c>
      <c r="I253" s="151">
        <v>0.37674595564061342</v>
      </c>
      <c r="J253" s="153">
        <v>0</v>
      </c>
    </row>
    <row r="254" spans="1:11" hidden="1">
      <c r="A254" s="64">
        <v>2007</v>
      </c>
      <c r="B254" s="151">
        <v>-0.24</v>
      </c>
      <c r="C254" s="160">
        <v>0.54225352112676062</v>
      </c>
      <c r="D254" s="153">
        <v>620833333.33333337</v>
      </c>
      <c r="E254" s="26">
        <f>VLOOKUP(2007,季財報!$A:$H,8,0)</f>
        <v>1</v>
      </c>
      <c r="F254" s="160">
        <v>1.6808333333333338E-2</v>
      </c>
      <c r="G254" s="153">
        <v>2775125000</v>
      </c>
      <c r="H254" s="153">
        <v>7343549000</v>
      </c>
      <c r="I254" s="151">
        <v>0.37789970489745489</v>
      </c>
      <c r="J254" s="153">
        <v>0</v>
      </c>
    </row>
    <row r="255" spans="1:11" hidden="1">
      <c r="A255" s="64">
        <v>3230</v>
      </c>
      <c r="B255" s="151">
        <v>-0.42</v>
      </c>
      <c r="C255" s="160">
        <v>1</v>
      </c>
      <c r="D255" s="153">
        <v>107142857.14285715</v>
      </c>
      <c r="E255" s="26">
        <f>VLOOKUP(3230,季財報!$A:$H,8,0)</f>
        <v>0</v>
      </c>
      <c r="F255" s="160">
        <v>1.6983333333333326E-2</v>
      </c>
      <c r="G255" s="153">
        <v>662142857.14285719</v>
      </c>
      <c r="H255" s="153">
        <v>1745632000</v>
      </c>
      <c r="I255" s="151">
        <v>0.37931411496973999</v>
      </c>
      <c r="J255" s="153">
        <v>0</v>
      </c>
    </row>
    <row r="256" spans="1:11" hidden="1">
      <c r="A256" s="64">
        <v>4953</v>
      </c>
      <c r="B256" s="52">
        <v>0.32</v>
      </c>
      <c r="C256" s="161">
        <v>0.3611111111111111</v>
      </c>
      <c r="D256" s="158">
        <v>43750000</v>
      </c>
      <c r="E256" s="26">
        <f>VLOOKUP(4953,季財報!$A:$H,8,0)</f>
        <v>1</v>
      </c>
      <c r="F256" s="161">
        <v>-7.9166666666666656E-3</v>
      </c>
      <c r="G256" s="54">
        <v>966875000.00000012</v>
      </c>
      <c r="H256" s="54">
        <v>2544415000</v>
      </c>
      <c r="I256" s="65">
        <v>0.3799989388523492</v>
      </c>
      <c r="J256" s="163">
        <v>47.812500000000007</v>
      </c>
    </row>
    <row r="257" spans="1:11" hidden="1">
      <c r="A257" s="64">
        <v>3017</v>
      </c>
      <c r="B257" s="151">
        <v>0.62</v>
      </c>
      <c r="C257" s="160">
        <v>0.77628032345013476</v>
      </c>
      <c r="D257" s="153">
        <v>353225806.45161289</v>
      </c>
      <c r="E257" s="26">
        <f>VLOOKUP(3017,季財報!$A:$H,8,0)</f>
        <v>3</v>
      </c>
      <c r="F257" s="160">
        <v>1.5116666666666667E-2</v>
      </c>
      <c r="G257" s="153">
        <v>9643064516.1290321</v>
      </c>
      <c r="H257" s="153">
        <v>25331218000</v>
      </c>
      <c r="I257" s="151">
        <v>0.38067907023377368</v>
      </c>
      <c r="J257" s="153">
        <v>14.180527553763442</v>
      </c>
    </row>
    <row r="258" spans="1:11" hidden="1">
      <c r="A258" s="64">
        <v>4306</v>
      </c>
      <c r="B258" s="52">
        <v>0.09</v>
      </c>
      <c r="C258" s="161">
        <v>0.15365239294710328</v>
      </c>
      <c r="D258" s="158">
        <v>488888888.8888889</v>
      </c>
      <c r="E258" s="26">
        <f>VLOOKUP(4306,季財報!$A:$H,8,0)</f>
        <v>0</v>
      </c>
      <c r="F258" s="161">
        <v>7.5416666666666653E-3</v>
      </c>
      <c r="G258" s="54">
        <v>6942222222.2222223</v>
      </c>
      <c r="H258" s="54">
        <v>18225491000</v>
      </c>
      <c r="I258" s="65">
        <v>0.38090728102865501</v>
      </c>
      <c r="J258" s="163">
        <v>50</v>
      </c>
    </row>
    <row r="259" spans="1:11" hidden="1">
      <c r="A259" s="64">
        <v>8932</v>
      </c>
      <c r="B259" s="52">
        <v>0.33</v>
      </c>
      <c r="C259" s="161">
        <v>1</v>
      </c>
      <c r="D259" s="158">
        <v>48484848.484848484</v>
      </c>
      <c r="E259" s="26">
        <f>VLOOKUP(8932,季財報!$A:$H,8,0)</f>
        <v>2</v>
      </c>
      <c r="F259" s="161">
        <v>8.7449999999999986E-2</v>
      </c>
      <c r="G259" s="54">
        <v>455757575.75757575</v>
      </c>
      <c r="H259" s="54">
        <v>1192101000</v>
      </c>
      <c r="I259" s="65">
        <v>0.38231456542488912</v>
      </c>
      <c r="J259" s="163">
        <v>7.1212121212121211</v>
      </c>
    </row>
    <row r="260" spans="1:11" hidden="1">
      <c r="A260" s="64">
        <v>3047</v>
      </c>
      <c r="B260" s="151">
        <v>0.46</v>
      </c>
      <c r="C260" s="160">
        <v>0.30357142857142855</v>
      </c>
      <c r="D260" s="153">
        <v>195652173.91304347</v>
      </c>
      <c r="E260" s="26">
        <f>VLOOKUP(3047,季財報!$A:$H,8,0)</f>
        <v>3</v>
      </c>
      <c r="F260" s="160">
        <v>-3.883333333333332E-3</v>
      </c>
      <c r="G260" s="153">
        <v>2171739130.4347825</v>
      </c>
      <c r="H260" s="153">
        <v>5669141000</v>
      </c>
      <c r="I260" s="151">
        <v>0.38308081073213429</v>
      </c>
      <c r="J260" s="153">
        <v>19.87212276214834</v>
      </c>
    </row>
    <row r="261" spans="1:11" hidden="1">
      <c r="A261" s="64">
        <v>6167</v>
      </c>
      <c r="B261" s="52">
        <v>0.12</v>
      </c>
      <c r="C261" s="161">
        <v>1</v>
      </c>
      <c r="D261" s="158">
        <v>175000000</v>
      </c>
      <c r="E261" s="26">
        <f>VLOOKUP(6167,季財報!$A:$H,8,0)</f>
        <v>1</v>
      </c>
      <c r="F261" s="161">
        <v>-3.5916666666666736E-3</v>
      </c>
      <c r="G261" s="54">
        <v>728000000</v>
      </c>
      <c r="H261" s="54">
        <v>1899607000</v>
      </c>
      <c r="I261" s="65">
        <v>0.3832371643187249</v>
      </c>
      <c r="J261" s="163">
        <v>8.6666666666666679</v>
      </c>
    </row>
    <row r="262" spans="1:11" hidden="1">
      <c r="A262" s="64">
        <v>6221</v>
      </c>
      <c r="B262" s="52">
        <v>0.66</v>
      </c>
      <c r="C262" s="161">
        <v>0.89583333333333337</v>
      </c>
      <c r="D262" s="158">
        <v>37878787.878787875</v>
      </c>
      <c r="E262" s="26">
        <f>VLOOKUP(6221,季財報!$A:$H,8,0)</f>
        <v>2</v>
      </c>
      <c r="F262" s="161">
        <v>2.9216666666666669E-2</v>
      </c>
      <c r="G262" s="54">
        <v>882575757.5757575</v>
      </c>
      <c r="H262" s="54">
        <v>2278851000</v>
      </c>
      <c r="I262" s="65">
        <v>0.38728980419332265</v>
      </c>
      <c r="J262" s="163">
        <v>9.8520084566596182</v>
      </c>
    </row>
    <row r="263" spans="1:11" hidden="1">
      <c r="A263" s="64">
        <v>2328</v>
      </c>
      <c r="B263" s="151">
        <v>0.63</v>
      </c>
      <c r="C263" s="160">
        <v>0.27374301675977653</v>
      </c>
      <c r="D263" s="153">
        <v>504761904.76190478</v>
      </c>
      <c r="E263" s="26">
        <f>VLOOKUP(2328,季財報!$A:$H,8,0)</f>
        <v>2</v>
      </c>
      <c r="F263" s="160">
        <v>4.965E-2</v>
      </c>
      <c r="G263" s="153">
        <v>7369523809.5238094</v>
      </c>
      <c r="H263" s="153">
        <v>18820078000</v>
      </c>
      <c r="I263" s="151">
        <v>0.39157775060888744</v>
      </c>
      <c r="J263" s="153">
        <v>21.164561062520246</v>
      </c>
    </row>
    <row r="264" spans="1:11" hidden="1">
      <c r="A264" s="64">
        <v>9950</v>
      </c>
      <c r="B264" s="52">
        <v>0.49</v>
      </c>
      <c r="C264" s="161">
        <v>0.62790697674418605</v>
      </c>
      <c r="D264" s="158">
        <v>65306122.448979594</v>
      </c>
      <c r="E264" s="26">
        <f>VLOOKUP(9950,季財報!$A:$H,8,0)</f>
        <v>3</v>
      </c>
      <c r="F264" s="161">
        <v>4.2658333333333333E-2</v>
      </c>
      <c r="G264" s="54">
        <v>1332244897.9591837</v>
      </c>
      <c r="H264" s="54">
        <v>3401723000</v>
      </c>
      <c r="I264" s="65">
        <v>0.39163826624307263</v>
      </c>
      <c r="J264" s="163">
        <v>16.575963718820859</v>
      </c>
    </row>
    <row r="265" spans="1:11" hidden="1">
      <c r="A265" s="64">
        <v>3694</v>
      </c>
      <c r="B265" s="151">
        <v>0.61</v>
      </c>
      <c r="C265" s="160">
        <v>1</v>
      </c>
      <c r="D265" s="153">
        <v>129508196.72131148</v>
      </c>
      <c r="E265" s="26">
        <f>VLOOKUP(3694,季財報!$A:$H,8,0)</f>
        <v>5</v>
      </c>
      <c r="F265" s="160">
        <v>5.8683333333333344E-2</v>
      </c>
      <c r="G265" s="153">
        <v>2382950819.6721311</v>
      </c>
      <c r="H265" s="153">
        <v>6071330000</v>
      </c>
      <c r="I265" s="151">
        <v>0.39249238958714666</v>
      </c>
      <c r="J265" s="153">
        <v>7.5409836065573765</v>
      </c>
    </row>
    <row r="266" spans="1:11" hidden="1">
      <c r="A266" s="64">
        <v>2462</v>
      </c>
      <c r="B266" s="151">
        <v>0.82</v>
      </c>
      <c r="C266" s="160">
        <v>0.2696629213483146</v>
      </c>
      <c r="D266" s="153">
        <v>104878048.78048781</v>
      </c>
      <c r="E266" s="26">
        <f>VLOOKUP(2462,季財報!$A:$H,8,0)</f>
        <v>2</v>
      </c>
      <c r="F266" s="160">
        <v>1.5441666666666671E-2</v>
      </c>
      <c r="G266" s="153">
        <v>1678048780.4878049</v>
      </c>
      <c r="H266" s="153">
        <v>4272112000</v>
      </c>
      <c r="I266" s="151">
        <v>0.39279138292437205</v>
      </c>
      <c r="J266" s="153">
        <v>18.089430894308943</v>
      </c>
    </row>
    <row r="267" spans="1:11" hidden="1">
      <c r="A267" s="64">
        <v>4121</v>
      </c>
      <c r="B267" s="52">
        <v>0.14000000000000001</v>
      </c>
      <c r="C267" s="161">
        <v>0</v>
      </c>
      <c r="D267" s="158">
        <v>78571428.571428567</v>
      </c>
      <c r="E267" s="26">
        <f>VLOOKUP(4121,季財報!$A:$H,8,0)</f>
        <v>3</v>
      </c>
      <c r="F267" s="161">
        <v>-5.6666666666666725E-4</v>
      </c>
      <c r="G267" s="54">
        <v>1347499999.9999998</v>
      </c>
      <c r="H267" s="54">
        <v>3428193000</v>
      </c>
      <c r="I267" s="65">
        <v>0.39306421779637252</v>
      </c>
      <c r="J267" s="163">
        <v>0</v>
      </c>
    </row>
    <row r="268" spans="1:11" hidden="1">
      <c r="A268" s="64">
        <v>2906</v>
      </c>
      <c r="B268" s="151">
        <v>-0.1</v>
      </c>
      <c r="C268" s="160">
        <v>0.53846153846153844</v>
      </c>
      <c r="D268" s="153">
        <v>200000000</v>
      </c>
      <c r="E268" s="26">
        <f>VLOOKUP(2906,季財報!$A:$H,8,0)</f>
        <v>2</v>
      </c>
      <c r="F268" s="160">
        <v>3.1191666666666663E-2</v>
      </c>
      <c r="G268" s="153">
        <v>2370000000</v>
      </c>
      <c r="H268" s="153">
        <v>6028537000</v>
      </c>
      <c r="I268" s="151">
        <v>0.39313020721279474</v>
      </c>
      <c r="J268" s="153">
        <v>0</v>
      </c>
    </row>
    <row r="269" spans="1:11" hidden="1">
      <c r="A269" s="64">
        <v>2601</v>
      </c>
      <c r="B269" s="151">
        <v>-3.22</v>
      </c>
      <c r="C269" s="160">
        <v>0</v>
      </c>
      <c r="D269" s="153">
        <v>370496894.40993786</v>
      </c>
      <c r="E269" s="26">
        <f>VLOOKUP(2601,季財報!$A:$H,8,0)</f>
        <v>0</v>
      </c>
      <c r="F269" s="160">
        <v>4.5750000000000001E-3</v>
      </c>
      <c r="G269" s="153">
        <v>3501195652.1739125</v>
      </c>
      <c r="H269" s="153">
        <v>8871444000</v>
      </c>
      <c r="I269" s="151">
        <v>0.39465904898615295</v>
      </c>
      <c r="J269" s="153">
        <v>0</v>
      </c>
    </row>
    <row r="270" spans="1:11">
      <c r="A270" s="64">
        <v>1473</v>
      </c>
      <c r="B270" s="151">
        <v>0.36</v>
      </c>
      <c r="C270" s="160">
        <v>1</v>
      </c>
      <c r="D270" s="153">
        <v>147222222.22222224</v>
      </c>
      <c r="E270" s="26">
        <f>VLOOKUP(1473,季財報!$A:$H,8,0)</f>
        <v>4</v>
      </c>
      <c r="F270" s="160">
        <v>4.1058333333333336E-2</v>
      </c>
      <c r="G270" s="153">
        <v>3732083333.333334</v>
      </c>
      <c r="H270" s="153">
        <v>9432138000</v>
      </c>
      <c r="I270" s="151">
        <v>0.39567734625313306</v>
      </c>
      <c r="J270" s="153">
        <v>17.604166666666668</v>
      </c>
    </row>
    <row r="271" spans="1:11" hidden="1">
      <c r="A271" s="64">
        <v>1474</v>
      </c>
      <c r="B271" s="151">
        <v>0.28000000000000003</v>
      </c>
      <c r="C271" s="160">
        <v>0.92307692307692313</v>
      </c>
      <c r="D271" s="153">
        <v>128571428.57142855</v>
      </c>
      <c r="E271" s="26">
        <f>VLOOKUP(1474,季財報!$A:$H,8,0)</f>
        <v>3</v>
      </c>
      <c r="F271" s="160">
        <v>2.0558333333333335E-2</v>
      </c>
      <c r="G271" s="153">
        <v>1414285714.2857141</v>
      </c>
      <c r="H271" s="153">
        <v>3557418000</v>
      </c>
      <c r="I271" s="151">
        <v>0.39755961044940857</v>
      </c>
      <c r="J271" s="153">
        <v>10.639880952380951</v>
      </c>
    </row>
    <row r="272" spans="1:11" hidden="1">
      <c r="A272" s="64">
        <v>3609</v>
      </c>
      <c r="B272" s="151">
        <v>-0.08</v>
      </c>
      <c r="C272" s="160">
        <v>1</v>
      </c>
      <c r="D272" s="153">
        <v>25000000</v>
      </c>
      <c r="E272" s="26">
        <f>VLOOKUP(3609,季財報!$A:$H,8,0)</f>
        <v>3</v>
      </c>
      <c r="F272" s="160">
        <v>1.3033333333333334E-2</v>
      </c>
      <c r="G272" s="153">
        <v>322500000</v>
      </c>
      <c r="H272" s="153">
        <v>809513000</v>
      </c>
      <c r="I272" s="151">
        <v>0.39838767258833396</v>
      </c>
      <c r="J272" s="153">
        <v>0</v>
      </c>
      <c r="K272" s="32"/>
    </row>
    <row r="273" spans="1:11" hidden="1">
      <c r="A273" s="64">
        <v>3402</v>
      </c>
      <c r="B273" s="151">
        <v>0.24</v>
      </c>
      <c r="C273" s="160">
        <v>0.84848484848484851</v>
      </c>
      <c r="D273" s="153">
        <v>70833333.333333343</v>
      </c>
      <c r="E273" s="26">
        <f>VLOOKUP(3402,季財報!$A:$H,8,0)</f>
        <v>1</v>
      </c>
      <c r="F273" s="160">
        <v>2.4224999999999993E-2</v>
      </c>
      <c r="G273" s="153">
        <v>981041666.66666675</v>
      </c>
      <c r="H273" s="153">
        <v>2457363000</v>
      </c>
      <c r="I273" s="151">
        <v>0.39922537560249211</v>
      </c>
      <c r="J273" s="153">
        <v>17.003348214285712</v>
      </c>
    </row>
    <row r="274" spans="1:11" hidden="1">
      <c r="A274" s="64">
        <v>2460</v>
      </c>
      <c r="B274" s="151">
        <v>-0.14000000000000001</v>
      </c>
      <c r="C274" s="160">
        <v>1</v>
      </c>
      <c r="D274" s="153">
        <v>164285714.28571427</v>
      </c>
      <c r="E274" s="26">
        <f>VLOOKUP(2460,季財報!$A:$H,8,0)</f>
        <v>3</v>
      </c>
      <c r="F274" s="160">
        <v>2.5916666666666661E-2</v>
      </c>
      <c r="G274" s="153">
        <v>1503214285.7142856</v>
      </c>
      <c r="H274" s="153">
        <v>3757734000</v>
      </c>
      <c r="I274" s="151">
        <v>0.40003211661982613</v>
      </c>
      <c r="J274" s="153">
        <v>0</v>
      </c>
    </row>
    <row r="275" spans="1:11" hidden="1">
      <c r="A275" s="64">
        <v>4609</v>
      </c>
      <c r="B275" s="52">
        <v>0.84</v>
      </c>
      <c r="C275" s="161">
        <v>1</v>
      </c>
      <c r="D275" s="158">
        <v>47619047.619047619</v>
      </c>
      <c r="E275" s="26">
        <f>VLOOKUP(4609,季財報!$A:$H,8,0)</f>
        <v>4</v>
      </c>
      <c r="F275" s="161">
        <v>8.8775000000000007E-2</v>
      </c>
      <c r="G275" s="54">
        <v>458095238.09523809</v>
      </c>
      <c r="H275" s="54">
        <v>1140339000</v>
      </c>
      <c r="I275" s="65">
        <v>0.40171846976665543</v>
      </c>
      <c r="J275" s="163">
        <v>2.8630952380952381</v>
      </c>
    </row>
    <row r="276" spans="1:11" hidden="1">
      <c r="A276" s="64">
        <v>8213</v>
      </c>
      <c r="B276" s="52">
        <v>1.1000000000000001</v>
      </c>
      <c r="C276" s="161">
        <v>0.86817325800376643</v>
      </c>
      <c r="D276" s="158">
        <v>270909090.90909088</v>
      </c>
      <c r="E276" s="26">
        <f>VLOOKUP(8213,季財報!$A:$H,8,0)</f>
        <v>3</v>
      </c>
      <c r="F276" s="161">
        <v>5.4166666666666892E-4</v>
      </c>
      <c r="G276" s="54">
        <v>9170272727.2727261</v>
      </c>
      <c r="H276" s="54">
        <v>22793677000</v>
      </c>
      <c r="I276" s="65">
        <v>0.4023165164300927</v>
      </c>
      <c r="J276" s="163">
        <v>8.8613439163873</v>
      </c>
    </row>
    <row r="277" spans="1:11" hidden="1">
      <c r="A277" s="64">
        <v>2201</v>
      </c>
      <c r="B277" s="151">
        <v>0.53</v>
      </c>
      <c r="C277" s="160">
        <v>1.0533707865168539E-2</v>
      </c>
      <c r="D277" s="153">
        <v>1466037735.8490565</v>
      </c>
      <c r="E277" s="26">
        <f>VLOOKUP(2201,季財報!$A:$H,8,0)</f>
        <v>1</v>
      </c>
      <c r="F277" s="160">
        <v>2.9325E-2</v>
      </c>
      <c r="G277" s="153">
        <v>48305943396.226418</v>
      </c>
      <c r="H277" s="153">
        <v>120064603000</v>
      </c>
      <c r="I277" s="151">
        <v>0.4023329290167762</v>
      </c>
      <c r="J277" s="153">
        <v>50</v>
      </c>
    </row>
    <row r="278" spans="1:11" hidden="1">
      <c r="A278" s="64">
        <v>1413</v>
      </c>
      <c r="B278" s="151">
        <v>-0.28000000000000003</v>
      </c>
      <c r="C278" s="160">
        <v>0</v>
      </c>
      <c r="D278" s="153">
        <v>132142857.14285713</v>
      </c>
      <c r="E278" s="26">
        <f>VLOOKUP(1413,季財報!$A:$H,8,0)</f>
        <v>2</v>
      </c>
      <c r="F278" s="160">
        <v>-1.5325E-2</v>
      </c>
      <c r="G278" s="153">
        <v>1055821428.5714285</v>
      </c>
      <c r="H278" s="153">
        <v>2623238000</v>
      </c>
      <c r="I278" s="151">
        <v>0.40248785225413347</v>
      </c>
      <c r="J278" s="153">
        <v>0</v>
      </c>
    </row>
    <row r="279" spans="1:11" hidden="1">
      <c r="A279" s="64">
        <v>2731</v>
      </c>
      <c r="B279" s="151">
        <v>1.45</v>
      </c>
      <c r="C279" s="160">
        <v>0.76086956521739135</v>
      </c>
      <c r="D279" s="153">
        <v>69655172.413793102</v>
      </c>
      <c r="E279" s="26">
        <f>VLOOKUP(2731,季財報!$A:$H,8,0)</f>
        <v>1</v>
      </c>
      <c r="F279" s="160">
        <v>2.9666666666666675E-2</v>
      </c>
      <c r="G279" s="153">
        <v>8358620689.6551723</v>
      </c>
      <c r="H279" s="153">
        <v>20752208000</v>
      </c>
      <c r="I279" s="151">
        <v>0.40278223356546794</v>
      </c>
      <c r="J279" s="153">
        <v>27.192118226600982</v>
      </c>
    </row>
    <row r="280" spans="1:11" hidden="1">
      <c r="A280" s="64">
        <v>5225</v>
      </c>
      <c r="B280" s="52">
        <v>2.19</v>
      </c>
      <c r="C280" s="161">
        <v>0.86805555555555558</v>
      </c>
      <c r="D280" s="158">
        <v>60730593.607305937</v>
      </c>
      <c r="E280" s="26">
        <f>VLOOKUP(5225,季財報!$A:$H,8,0)</f>
        <v>4</v>
      </c>
      <c r="F280" s="161">
        <v>6.8458333333333329E-2</v>
      </c>
      <c r="G280" s="54">
        <v>3255159817.3515983</v>
      </c>
      <c r="H280" s="54">
        <v>8069853000</v>
      </c>
      <c r="I280" s="65">
        <v>0.40337287647638664</v>
      </c>
      <c r="J280" s="163">
        <v>7.0487671232876714</v>
      </c>
    </row>
    <row r="281" spans="1:11" hidden="1">
      <c r="A281" s="64">
        <v>1569</v>
      </c>
      <c r="B281" s="151">
        <v>-1.01</v>
      </c>
      <c r="C281" s="160">
        <v>0.83805668016194335</v>
      </c>
      <c r="D281" s="153">
        <v>94059405.940594062</v>
      </c>
      <c r="E281" s="26">
        <f>VLOOKUP(1569,季財報!$A:$H,8,0)</f>
        <v>1</v>
      </c>
      <c r="F281" s="160">
        <v>2.4891666666666663E-2</v>
      </c>
      <c r="G281" s="153">
        <v>973514851.48514855</v>
      </c>
      <c r="H281" s="153">
        <v>2409299000</v>
      </c>
      <c r="I281" s="151">
        <v>0.40406560227068061</v>
      </c>
      <c r="J281" s="153">
        <v>0</v>
      </c>
    </row>
    <row r="282" spans="1:11" hidden="1">
      <c r="A282" s="64">
        <v>1467</v>
      </c>
      <c r="B282" s="151">
        <v>0.14000000000000001</v>
      </c>
      <c r="C282" s="160">
        <v>1</v>
      </c>
      <c r="D282" s="153">
        <v>207142857.14285713</v>
      </c>
      <c r="E282" s="26">
        <f>VLOOKUP(1467,季財報!$A:$H,8,0)</f>
        <v>1</v>
      </c>
      <c r="F282" s="160">
        <v>1.9475000000000003E-2</v>
      </c>
      <c r="G282" s="153">
        <v>2982857142.8571429</v>
      </c>
      <c r="H282" s="153">
        <v>7347097000</v>
      </c>
      <c r="I282" s="151">
        <v>0.40599125652718931</v>
      </c>
      <c r="J282" s="153">
        <v>25.714285714285712</v>
      </c>
      <c r="K282" s="32"/>
    </row>
    <row r="283" spans="1:11" hidden="1">
      <c r="A283" s="64">
        <v>1447</v>
      </c>
      <c r="B283" s="151">
        <v>7.0000000000000007E-2</v>
      </c>
      <c r="C283" s="160">
        <v>0</v>
      </c>
      <c r="D283" s="153">
        <v>814285714.28571415</v>
      </c>
      <c r="E283" s="26">
        <f>VLOOKUP(1447,季財報!$A:$H,8,0)</f>
        <v>1</v>
      </c>
      <c r="F283" s="160">
        <v>-4.333333333333334E-3</v>
      </c>
      <c r="G283" s="153">
        <v>7230857142.8571424</v>
      </c>
      <c r="H283" s="153">
        <v>17802499000</v>
      </c>
      <c r="I283" s="151">
        <v>0.40617090571706493</v>
      </c>
      <c r="J283" s="153">
        <v>0</v>
      </c>
    </row>
    <row r="284" spans="1:11" hidden="1">
      <c r="A284" s="64">
        <v>4924</v>
      </c>
      <c r="B284" s="52">
        <v>-0.6</v>
      </c>
      <c r="C284" s="161">
        <v>0.73684210526315785</v>
      </c>
      <c r="D284" s="158">
        <v>36666666.666666672</v>
      </c>
      <c r="E284" s="26">
        <f>VLOOKUP(4924,季財報!$A:$H,8,0)</f>
        <v>0</v>
      </c>
      <c r="F284" s="161">
        <v>3.1483333333333335E-2</v>
      </c>
      <c r="G284" s="54">
        <v>243833333.33333337</v>
      </c>
      <c r="H284" s="54">
        <v>598834000</v>
      </c>
      <c r="I284" s="65">
        <v>0.40718017569699344</v>
      </c>
      <c r="J284" s="163">
        <v>0</v>
      </c>
    </row>
    <row r="285" spans="1:11" hidden="1">
      <c r="A285" s="64">
        <v>2486</v>
      </c>
      <c r="B285" s="151">
        <v>-0.02</v>
      </c>
      <c r="C285" s="160">
        <v>1</v>
      </c>
      <c r="D285" s="153">
        <v>250000000</v>
      </c>
      <c r="E285" s="26">
        <f>VLOOKUP(2486,季財報!$A:$H,8,0)</f>
        <v>2</v>
      </c>
      <c r="F285" s="160">
        <v>-1.7166666666666684E-3</v>
      </c>
      <c r="G285" s="153">
        <v>2625000000</v>
      </c>
      <c r="H285" s="153">
        <v>6415616000</v>
      </c>
      <c r="I285" s="151">
        <v>0.40915790471250152</v>
      </c>
      <c r="J285" s="153">
        <v>0</v>
      </c>
    </row>
    <row r="286" spans="1:11" hidden="1">
      <c r="A286" s="64">
        <v>1466</v>
      </c>
      <c r="B286" s="151">
        <v>0.2</v>
      </c>
      <c r="C286" s="160">
        <v>0</v>
      </c>
      <c r="D286" s="153">
        <v>110000000</v>
      </c>
      <c r="E286" s="26">
        <f>VLOOKUP(1466,季財報!$A:$H,8,0)</f>
        <v>1</v>
      </c>
      <c r="F286" s="160">
        <v>-1.2325000000000003E-2</v>
      </c>
      <c r="G286" s="153">
        <v>1754500000</v>
      </c>
      <c r="H286" s="153">
        <v>4282755000</v>
      </c>
      <c r="I286" s="151">
        <v>0.40966620784985364</v>
      </c>
      <c r="J286" s="153">
        <v>0</v>
      </c>
    </row>
    <row r="287" spans="1:11">
      <c r="A287" s="64">
        <v>3324</v>
      </c>
      <c r="B287" s="151">
        <v>1.99</v>
      </c>
      <c r="C287" s="160">
        <v>0.52898550724637683</v>
      </c>
      <c r="D287" s="153">
        <v>70854271.356783926</v>
      </c>
      <c r="E287" s="26">
        <f>VLOOKUP(3324,季財報!$A:$H,8,0)</f>
        <v>4</v>
      </c>
      <c r="F287" s="160">
        <v>2.763333333333334E-2</v>
      </c>
      <c r="G287" s="153">
        <v>1923693467.3366835</v>
      </c>
      <c r="H287" s="153">
        <v>4674709000</v>
      </c>
      <c r="I287" s="151">
        <v>0.41151084855478354</v>
      </c>
      <c r="J287" s="153">
        <v>6.4478212982721823</v>
      </c>
    </row>
    <row r="288" spans="1:11" hidden="1">
      <c r="A288" s="64">
        <v>1566</v>
      </c>
      <c r="B288" s="151">
        <v>0.42</v>
      </c>
      <c r="C288" s="160">
        <v>8.3333333333333329E-2</v>
      </c>
      <c r="D288" s="153">
        <v>66666666.666666672</v>
      </c>
      <c r="E288" s="26">
        <f>VLOOKUP(1566,季財報!$A:$H,8,0)</f>
        <v>3</v>
      </c>
      <c r="F288" s="160">
        <v>0.16057500000000002</v>
      </c>
      <c r="G288" s="153">
        <v>1580000000</v>
      </c>
      <c r="H288" s="153">
        <v>3837942000</v>
      </c>
      <c r="I288" s="151">
        <v>0.41167896752999394</v>
      </c>
      <c r="J288" s="153">
        <v>50</v>
      </c>
    </row>
    <row r="289" spans="1:10" hidden="1">
      <c r="A289" s="64">
        <v>3434</v>
      </c>
      <c r="B289" s="151">
        <v>0.44</v>
      </c>
      <c r="C289" s="160">
        <v>0.5</v>
      </c>
      <c r="D289" s="153">
        <v>22727272.727272727</v>
      </c>
      <c r="E289" s="26">
        <f>VLOOKUP(3434,季財報!$A:$H,8,0)</f>
        <v>4</v>
      </c>
      <c r="F289" s="160">
        <v>3.2991666666666669E-2</v>
      </c>
      <c r="G289" s="153">
        <v>286363636.36363637</v>
      </c>
      <c r="H289" s="153">
        <v>695583000</v>
      </c>
      <c r="I289" s="151">
        <v>0.41168866456430991</v>
      </c>
      <c r="J289" s="153">
        <v>14.318181818181818</v>
      </c>
    </row>
    <row r="290" spans="1:10" hidden="1">
      <c r="A290" s="64">
        <v>2017</v>
      </c>
      <c r="B290" s="151">
        <v>-0.17</v>
      </c>
      <c r="C290" s="160">
        <v>0.80851063829787229</v>
      </c>
      <c r="D290" s="153">
        <v>382352941.17647058</v>
      </c>
      <c r="E290" s="26">
        <f>VLOOKUP(2017,季財報!$A:$H,8,0)</f>
        <v>1</v>
      </c>
      <c r="F290" s="160">
        <v>-2.3208333333333334E-2</v>
      </c>
      <c r="G290" s="153">
        <v>2091470588.2352939</v>
      </c>
      <c r="H290" s="153">
        <v>5076789000</v>
      </c>
      <c r="I290" s="151">
        <v>0.41196720766517847</v>
      </c>
      <c r="J290" s="153">
        <v>0</v>
      </c>
    </row>
    <row r="291" spans="1:10" hidden="1">
      <c r="A291" s="64">
        <v>5484</v>
      </c>
      <c r="B291" s="52">
        <v>-0.25</v>
      </c>
      <c r="C291" s="161">
        <v>1</v>
      </c>
      <c r="D291" s="158">
        <v>116000000</v>
      </c>
      <c r="E291" s="26">
        <f>VLOOKUP(5484,季財報!$A:$H,8,0)</f>
        <v>4</v>
      </c>
      <c r="F291" s="161">
        <v>2.769166666666666E-2</v>
      </c>
      <c r="G291" s="54">
        <v>504599999.99999994</v>
      </c>
      <c r="H291" s="54">
        <v>1224848000</v>
      </c>
      <c r="I291" s="65">
        <v>0.41196948519326476</v>
      </c>
      <c r="J291" s="163">
        <v>0</v>
      </c>
    </row>
    <row r="292" spans="1:10" hidden="1">
      <c r="A292" s="64">
        <v>2365</v>
      </c>
      <c r="B292" s="151">
        <v>0.11</v>
      </c>
      <c r="C292" s="160">
        <v>0</v>
      </c>
      <c r="D292" s="153">
        <v>281818181.81818181</v>
      </c>
      <c r="E292" s="26">
        <f>VLOOKUP(2365,季財報!$A:$H,8,0)</f>
        <v>2</v>
      </c>
      <c r="F292" s="160">
        <v>-2.1000000000000008E-2</v>
      </c>
      <c r="G292" s="153">
        <v>2570181818.181818</v>
      </c>
      <c r="H292" s="153">
        <v>6176830000</v>
      </c>
      <c r="I292" s="151">
        <v>0.41610046224063446</v>
      </c>
      <c r="J292" s="153">
        <v>0</v>
      </c>
    </row>
    <row r="293" spans="1:10" hidden="1">
      <c r="A293" s="64">
        <v>3598</v>
      </c>
      <c r="B293" s="151">
        <v>1.4</v>
      </c>
      <c r="C293" s="160">
        <v>0.77464788732394363</v>
      </c>
      <c r="D293" s="153">
        <v>72142857.142857149</v>
      </c>
      <c r="E293" s="26">
        <f>VLOOKUP(3598,季財報!$A:$H,8,0)</f>
        <v>2</v>
      </c>
      <c r="F293" s="160">
        <v>4.2666666666666591E-3</v>
      </c>
      <c r="G293" s="153">
        <v>3556642857.1428571</v>
      </c>
      <c r="H293" s="153">
        <v>8487975000</v>
      </c>
      <c r="I293" s="151">
        <v>0.41902136341622792</v>
      </c>
      <c r="J293" s="153">
        <v>11.364610389610391</v>
      </c>
    </row>
    <row r="294" spans="1:10" hidden="1">
      <c r="A294" s="64">
        <v>3707</v>
      </c>
      <c r="B294" s="52">
        <v>-0.92</v>
      </c>
      <c r="C294" s="161">
        <v>1</v>
      </c>
      <c r="D294" s="158">
        <v>161956521.73913044</v>
      </c>
      <c r="E294" s="26">
        <f>VLOOKUP(3707,季財報!$A:$H,8,0)</f>
        <v>1</v>
      </c>
      <c r="F294" s="161">
        <v>1.6974999999999997E-2</v>
      </c>
      <c r="G294" s="54">
        <v>1342619565.2173913</v>
      </c>
      <c r="H294" s="54">
        <v>3198790000</v>
      </c>
      <c r="I294" s="65">
        <v>0.41972732352464254</v>
      </c>
      <c r="J294" s="163">
        <v>0</v>
      </c>
    </row>
    <row r="295" spans="1:10" hidden="1">
      <c r="A295" s="64">
        <v>2610</v>
      </c>
      <c r="B295" s="151">
        <v>0.39</v>
      </c>
      <c r="C295" s="160">
        <v>0.9237157797600738</v>
      </c>
      <c r="D295" s="153">
        <v>5471794871.7948713</v>
      </c>
      <c r="E295" s="26">
        <f>VLOOKUP(2610,季財報!$A:$H,8,0)</f>
        <v>4</v>
      </c>
      <c r="F295" s="160">
        <v>-5.4999999999999927E-4</v>
      </c>
      <c r="G295" s="153">
        <v>61831282051.282051</v>
      </c>
      <c r="H295" s="153">
        <v>147280327000</v>
      </c>
      <c r="I295" s="151">
        <v>0.41982037459274552</v>
      </c>
      <c r="J295" s="153">
        <v>7.8417949571795731</v>
      </c>
    </row>
    <row r="296" spans="1:10" hidden="1">
      <c r="A296" s="64">
        <v>2377</v>
      </c>
      <c r="B296" s="151">
        <v>1.35</v>
      </c>
      <c r="C296" s="160">
        <v>0.909358446144791</v>
      </c>
      <c r="D296" s="153">
        <v>847407407.4074074</v>
      </c>
      <c r="E296" s="26">
        <f>VLOOKUP(2377,季財報!$A:$H,8,0)</f>
        <v>5</v>
      </c>
      <c r="F296" s="160">
        <v>1.5633333333333336E-2</v>
      </c>
      <c r="G296" s="153">
        <v>35209777777.777779</v>
      </c>
      <c r="H296" s="153">
        <v>83327889000</v>
      </c>
      <c r="I296" s="151">
        <v>0.42254493903929063</v>
      </c>
      <c r="J296" s="153">
        <v>8.4613987774181947</v>
      </c>
    </row>
    <row r="297" spans="1:10" hidden="1">
      <c r="A297" s="64">
        <v>2413</v>
      </c>
      <c r="B297" s="151">
        <v>0.71</v>
      </c>
      <c r="C297" s="160">
        <v>0.45454545454545453</v>
      </c>
      <c r="D297" s="153">
        <v>126760563.3802817</v>
      </c>
      <c r="E297" s="26">
        <f>VLOOKUP(2413,季財報!$A:$H,8,0)</f>
        <v>4</v>
      </c>
      <c r="F297" s="160">
        <v>1.2791666666666668E-2</v>
      </c>
      <c r="G297" s="153">
        <v>1838028169.0140846</v>
      </c>
      <c r="H297" s="153">
        <v>4349770000</v>
      </c>
      <c r="I297" s="151">
        <v>0.42255755339111828</v>
      </c>
      <c r="J297" s="153">
        <v>11.232394366197184</v>
      </c>
    </row>
    <row r="298" spans="1:10" hidden="1">
      <c r="A298" s="64">
        <v>3029</v>
      </c>
      <c r="B298" s="151">
        <v>0.5</v>
      </c>
      <c r="C298" s="160">
        <v>0.93617021276595747</v>
      </c>
      <c r="D298" s="153">
        <v>120000000</v>
      </c>
      <c r="E298" s="26">
        <f>VLOOKUP(3029,季財報!$A:$H,8,0)</f>
        <v>2</v>
      </c>
      <c r="F298" s="160">
        <v>4.4008333333333323E-2</v>
      </c>
      <c r="G298" s="153">
        <v>2328000000</v>
      </c>
      <c r="H298" s="153">
        <v>5498555000</v>
      </c>
      <c r="I298" s="151">
        <v>0.42338396178632387</v>
      </c>
      <c r="J298" s="153">
        <v>10.361363636363635</v>
      </c>
    </row>
    <row r="299" spans="1:10" hidden="1">
      <c r="A299" s="64">
        <v>2419</v>
      </c>
      <c r="B299" s="151">
        <v>0.32</v>
      </c>
      <c r="C299" s="160">
        <v>0.92</v>
      </c>
      <c r="D299" s="153">
        <v>234375000</v>
      </c>
      <c r="E299" s="26">
        <f>VLOOKUP(2419,季財報!$A:$H,8,0)</f>
        <v>4</v>
      </c>
      <c r="F299" s="160">
        <v>3.6266666666666662E-2</v>
      </c>
      <c r="G299" s="153">
        <v>3246093750</v>
      </c>
      <c r="H299" s="153">
        <v>7638634000</v>
      </c>
      <c r="I299" s="151">
        <v>0.42495736148635999</v>
      </c>
      <c r="J299" s="153">
        <v>11.761209239130435</v>
      </c>
    </row>
    <row r="300" spans="1:10" hidden="1">
      <c r="A300" s="64">
        <v>2421</v>
      </c>
      <c r="B300" s="151">
        <v>0.7</v>
      </c>
      <c r="C300" s="160">
        <v>0.65461847389558236</v>
      </c>
      <c r="D300" s="153">
        <v>251428571.42857143</v>
      </c>
      <c r="E300" s="26">
        <f>VLOOKUP(2421,季財報!$A:$H,8,0)</f>
        <v>5</v>
      </c>
      <c r="F300" s="160">
        <v>2.441666666666667E-2</v>
      </c>
      <c r="G300" s="153">
        <v>4286857142.8571429</v>
      </c>
      <c r="H300" s="153">
        <v>10067278000</v>
      </c>
      <c r="I300" s="151">
        <v>0.42582087659217743</v>
      </c>
      <c r="J300" s="153">
        <v>9.3020376862401406</v>
      </c>
    </row>
    <row r="301" spans="1:10" hidden="1">
      <c r="A301" s="64">
        <v>8358</v>
      </c>
      <c r="B301" s="52">
        <v>-0.04</v>
      </c>
      <c r="C301" s="161">
        <v>0.95238095238095233</v>
      </c>
      <c r="D301" s="158">
        <v>200000000</v>
      </c>
      <c r="E301" s="26">
        <f>VLOOKUP(8358,季財報!$A:$H,8,0)</f>
        <v>3</v>
      </c>
      <c r="F301" s="161">
        <v>3.2933333333333328E-2</v>
      </c>
      <c r="G301" s="54">
        <v>1739999999.9999998</v>
      </c>
      <c r="H301" s="54">
        <v>4081445000</v>
      </c>
      <c r="I301" s="65">
        <v>0.42631960004361197</v>
      </c>
      <c r="J301" s="163">
        <v>0</v>
      </c>
    </row>
    <row r="302" spans="1:10" hidden="1">
      <c r="A302" s="64">
        <v>2012</v>
      </c>
      <c r="B302" s="151">
        <v>0.32</v>
      </c>
      <c r="C302" s="160">
        <v>0.43137254901960786</v>
      </c>
      <c r="D302" s="153">
        <v>265625000</v>
      </c>
      <c r="E302" s="26">
        <f>VLOOKUP(2012,季財報!$A:$H,8,0)</f>
        <v>3</v>
      </c>
      <c r="F302" s="160">
        <v>7.3083333333333307E-3</v>
      </c>
      <c r="G302" s="153">
        <v>3718750000</v>
      </c>
      <c r="H302" s="153">
        <v>8718669000</v>
      </c>
      <c r="I302" s="151">
        <v>0.42652726006687491</v>
      </c>
      <c r="J302" s="153">
        <v>25.355113636363633</v>
      </c>
    </row>
    <row r="303" spans="1:10" hidden="1">
      <c r="A303" s="64">
        <v>8933</v>
      </c>
      <c r="B303" s="52">
        <v>0.8</v>
      </c>
      <c r="C303" s="161">
        <v>0.44736842105263158</v>
      </c>
      <c r="D303" s="158">
        <v>148750000</v>
      </c>
      <c r="E303" s="26">
        <f>VLOOKUP(8933,季財報!$A:$H,8,0)</f>
        <v>4</v>
      </c>
      <c r="F303" s="161">
        <v>7.9450000000000007E-2</v>
      </c>
      <c r="G303" s="54">
        <v>2640312500</v>
      </c>
      <c r="H303" s="54">
        <v>6186670000</v>
      </c>
      <c r="I303" s="65">
        <v>0.4267744198413686</v>
      </c>
      <c r="J303" s="163">
        <v>12.398897058823529</v>
      </c>
    </row>
    <row r="304" spans="1:10" hidden="1">
      <c r="A304" s="64">
        <v>2444</v>
      </c>
      <c r="B304" s="151">
        <v>0.45</v>
      </c>
      <c r="C304" s="160">
        <v>1</v>
      </c>
      <c r="D304" s="153">
        <v>84444444.444444448</v>
      </c>
      <c r="E304" s="26">
        <f>VLOOKUP(2444,季財報!$A:$H,8,0)</f>
        <v>4</v>
      </c>
      <c r="F304" s="160">
        <v>-2.8333333333333395E-4</v>
      </c>
      <c r="G304" s="153">
        <v>705111111.11111116</v>
      </c>
      <c r="H304" s="153">
        <v>1650670000</v>
      </c>
      <c r="I304" s="151">
        <v>0.42716661180678828</v>
      </c>
      <c r="J304" s="153">
        <v>4.6388888888888884</v>
      </c>
    </row>
    <row r="305" spans="1:10" hidden="1">
      <c r="A305" s="64">
        <v>3379</v>
      </c>
      <c r="B305" s="151">
        <v>-0.46</v>
      </c>
      <c r="C305" s="160">
        <v>1</v>
      </c>
      <c r="D305" s="153">
        <v>39130434.782608695</v>
      </c>
      <c r="E305" s="26">
        <f>VLOOKUP(3379,季財報!$A:$H,8,0)</f>
        <v>2</v>
      </c>
      <c r="F305" s="160">
        <v>1.1550916666666666</v>
      </c>
      <c r="G305" s="153">
        <v>592826086.95652175</v>
      </c>
      <c r="H305" s="153">
        <v>1385842000</v>
      </c>
      <c r="I305" s="151">
        <v>0.42777321437546395</v>
      </c>
      <c r="J305" s="153">
        <v>0</v>
      </c>
    </row>
    <row r="306" spans="1:10" hidden="1">
      <c r="A306" s="64">
        <v>2376</v>
      </c>
      <c r="B306" s="151">
        <v>1.3</v>
      </c>
      <c r="C306" s="160">
        <v>0.44037478705281091</v>
      </c>
      <c r="D306" s="153">
        <v>629230769.23076916</v>
      </c>
      <c r="E306" s="26">
        <f>VLOOKUP(2376,季財報!$A:$H,8,0)</f>
        <v>4</v>
      </c>
      <c r="F306" s="160">
        <v>1.8749999999999996E-2</v>
      </c>
      <c r="G306" s="153">
        <v>21960153846.153843</v>
      </c>
      <c r="H306" s="153">
        <v>51311216000</v>
      </c>
      <c r="I306" s="151">
        <v>0.42797960286409586</v>
      </c>
      <c r="J306" s="153">
        <v>15.24051480434459</v>
      </c>
    </row>
    <row r="307" spans="1:10" hidden="1">
      <c r="A307" s="64">
        <v>5450</v>
      </c>
      <c r="B307" s="52">
        <v>-0.05</v>
      </c>
      <c r="C307" s="161">
        <v>1</v>
      </c>
      <c r="D307" s="158">
        <v>40000000</v>
      </c>
      <c r="E307" s="26">
        <f>VLOOKUP(5450,季財報!$A:$H,8,0)</f>
        <v>3</v>
      </c>
      <c r="F307" s="161">
        <v>2.151666666666666E-2</v>
      </c>
      <c r="G307" s="54">
        <v>324000000</v>
      </c>
      <c r="H307" s="54">
        <v>755541000</v>
      </c>
      <c r="I307" s="65">
        <v>0.42883179073008615</v>
      </c>
      <c r="J307" s="163">
        <v>0</v>
      </c>
    </row>
    <row r="308" spans="1:10" hidden="1">
      <c r="A308" s="64">
        <v>3703</v>
      </c>
      <c r="B308" s="151">
        <v>-0.14000000000000001</v>
      </c>
      <c r="C308" s="160">
        <v>0.23030303030303031</v>
      </c>
      <c r="D308" s="153">
        <v>914285714.28571415</v>
      </c>
      <c r="E308" s="26">
        <f>VLOOKUP(3703,季財報!$A:$H,8,0)</f>
        <v>0</v>
      </c>
      <c r="F308" s="160">
        <v>0.11442499999999999</v>
      </c>
      <c r="G308" s="153">
        <v>9234285714.2857132</v>
      </c>
      <c r="H308" s="153">
        <v>21503494000</v>
      </c>
      <c r="I308" s="151">
        <v>0.42943187345673745</v>
      </c>
      <c r="J308" s="153">
        <v>0</v>
      </c>
    </row>
    <row r="309" spans="1:10" hidden="1">
      <c r="A309" s="64">
        <v>6702</v>
      </c>
      <c r="B309" s="52">
        <v>-0.32</v>
      </c>
      <c r="C309" s="161">
        <v>1</v>
      </c>
      <c r="D309" s="158">
        <v>640625000</v>
      </c>
      <c r="E309" s="26">
        <f>VLOOKUP(6702,季財報!$A:$H,8,0)</f>
        <v>2</v>
      </c>
      <c r="F309" s="161">
        <v>1.0249999999999936E-3</v>
      </c>
      <c r="G309" s="54">
        <v>4657343750</v>
      </c>
      <c r="H309" s="54">
        <v>10837365000</v>
      </c>
      <c r="I309" s="65">
        <v>0.42974872120667706</v>
      </c>
      <c r="J309" s="163">
        <v>0</v>
      </c>
    </row>
    <row r="310" spans="1:10" hidden="1">
      <c r="A310" s="64">
        <v>2208</v>
      </c>
      <c r="B310" s="151">
        <v>0.11</v>
      </c>
      <c r="C310" s="160">
        <v>0.56756756756756754</v>
      </c>
      <c r="D310" s="153">
        <v>745454545.4545455</v>
      </c>
      <c r="E310" s="26">
        <f>VLOOKUP(2208,季財報!$A:$H,8,0)</f>
        <v>4</v>
      </c>
      <c r="F310" s="160">
        <v>-1.8483333333333331E-2</v>
      </c>
      <c r="G310" s="153">
        <v>9690909090.9090919</v>
      </c>
      <c r="H310" s="153">
        <v>22502995000</v>
      </c>
      <c r="I310" s="151">
        <v>0.43064974644082232</v>
      </c>
      <c r="J310" s="153">
        <v>50</v>
      </c>
    </row>
    <row r="311" spans="1:10" hidden="1">
      <c r="A311" s="64">
        <v>9933</v>
      </c>
      <c r="B311" s="52">
        <v>0.59</v>
      </c>
      <c r="C311" s="161">
        <v>0.66404715127701375</v>
      </c>
      <c r="D311" s="158">
        <v>766101694.91525424</v>
      </c>
      <c r="E311" s="26">
        <f>VLOOKUP(9933,季財報!$A:$H,8,0)</f>
        <v>1</v>
      </c>
      <c r="F311" s="161">
        <v>2.5341666666666669E-2</v>
      </c>
      <c r="G311" s="54">
        <v>27694576271.18644</v>
      </c>
      <c r="H311" s="54">
        <v>64115727000</v>
      </c>
      <c r="I311" s="65">
        <v>0.43194669337815417</v>
      </c>
      <c r="J311" s="163">
        <v>23.067332765018556</v>
      </c>
    </row>
    <row r="312" spans="1:10" hidden="1">
      <c r="A312" s="64">
        <v>6141</v>
      </c>
      <c r="B312" s="52">
        <v>-0.84</v>
      </c>
      <c r="C312" s="161">
        <v>0.93478260869565222</v>
      </c>
      <c r="D312" s="158">
        <v>130952380.95238096</v>
      </c>
      <c r="E312" s="26">
        <f>VLOOKUP(6141,季財報!$A:$H,8,0)</f>
        <v>1</v>
      </c>
      <c r="F312" s="161">
        <v>-7.1666666666667144E-4</v>
      </c>
      <c r="G312" s="54">
        <v>1113095238.0952382</v>
      </c>
      <c r="H312" s="54">
        <v>2575615000</v>
      </c>
      <c r="I312" s="65">
        <v>0.43216677884514504</v>
      </c>
      <c r="J312" s="163">
        <v>0</v>
      </c>
    </row>
    <row r="313" spans="1:10" hidden="1">
      <c r="A313" s="64">
        <v>2357</v>
      </c>
      <c r="B313" s="151">
        <v>5.67</v>
      </c>
      <c r="C313" s="160">
        <v>0.84255606897328972</v>
      </c>
      <c r="D313" s="153">
        <v>743386243.38624334</v>
      </c>
      <c r="E313" s="26">
        <f>VLOOKUP(2357,季財報!$A:$H,8,0)</f>
        <v>0</v>
      </c>
      <c r="F313" s="160">
        <v>1.5249999999999945E-3</v>
      </c>
      <c r="G313" s="153">
        <v>204431216931.21692</v>
      </c>
      <c r="H313" s="153">
        <v>472219821000</v>
      </c>
      <c r="I313" s="151">
        <v>0.43291536661528007</v>
      </c>
      <c r="J313" s="153">
        <v>14.390995335573544</v>
      </c>
    </row>
    <row r="314" spans="1:10">
      <c r="A314" s="64">
        <v>3294</v>
      </c>
      <c r="B314" s="151">
        <v>0.68</v>
      </c>
      <c r="C314" s="160">
        <v>1</v>
      </c>
      <c r="D314" s="153">
        <v>130882352.94117646</v>
      </c>
      <c r="E314" s="26">
        <f>VLOOKUP(3294,季財報!$A:$H,8,0)</f>
        <v>5</v>
      </c>
      <c r="F314" s="160">
        <v>3.2941666666666668E-2</v>
      </c>
      <c r="G314" s="153">
        <v>2571838235.2941175</v>
      </c>
      <c r="H314" s="153">
        <v>5940162000</v>
      </c>
      <c r="I314" s="151">
        <v>0.43295759194683875</v>
      </c>
      <c r="J314" s="153">
        <v>7.2242647058823515</v>
      </c>
    </row>
    <row r="315" spans="1:10" hidden="1">
      <c r="A315" s="64">
        <v>8070</v>
      </c>
      <c r="B315" s="52">
        <v>0.68</v>
      </c>
      <c r="C315" s="161">
        <v>0</v>
      </c>
      <c r="D315" s="158">
        <v>76470588.235294119</v>
      </c>
      <c r="E315" s="26">
        <f>VLOOKUP(8070,季財報!$A:$H,8,0)</f>
        <v>1</v>
      </c>
      <c r="F315" s="161">
        <v>-5.7333333333333333E-3</v>
      </c>
      <c r="G315" s="54">
        <v>6844117647.0588236</v>
      </c>
      <c r="H315" s="54">
        <v>15725809000</v>
      </c>
      <c r="I315" s="65">
        <v>0.43521561574726131</v>
      </c>
      <c r="J315" s="163">
        <v>0</v>
      </c>
    </row>
    <row r="316" spans="1:10" hidden="1">
      <c r="A316" s="64">
        <v>2911</v>
      </c>
      <c r="B316" s="151">
        <v>-0.02</v>
      </c>
      <c r="C316" s="160">
        <v>1</v>
      </c>
      <c r="D316" s="153">
        <v>250000000</v>
      </c>
      <c r="E316" s="26">
        <f>VLOOKUP(2911,季財報!$A:$H,8,0)</f>
        <v>1</v>
      </c>
      <c r="F316" s="160">
        <v>4.9250000000000101E-3</v>
      </c>
      <c r="G316" s="153">
        <v>4099999999.9999995</v>
      </c>
      <c r="H316" s="153">
        <v>9420574000</v>
      </c>
      <c r="I316" s="151">
        <v>0.4352176417275635</v>
      </c>
      <c r="J316" s="153">
        <v>0</v>
      </c>
    </row>
    <row r="317" spans="1:10" hidden="1">
      <c r="A317" s="64">
        <v>3663</v>
      </c>
      <c r="B317" s="151">
        <v>-1.1299999999999999</v>
      </c>
      <c r="C317" s="160">
        <v>0.75490196078431371</v>
      </c>
      <c r="D317" s="153">
        <v>73451327.433628321</v>
      </c>
      <c r="E317" s="26">
        <f>VLOOKUP(3663,季財報!$A:$H,8,0)</f>
        <v>1</v>
      </c>
      <c r="F317" s="160">
        <v>1.8108333333333334E-2</v>
      </c>
      <c r="G317" s="153">
        <v>1167876106.1946902</v>
      </c>
      <c r="H317" s="153">
        <v>2682159000</v>
      </c>
      <c r="I317" s="151">
        <v>0.43542389030429973</v>
      </c>
      <c r="J317" s="153">
        <v>0</v>
      </c>
    </row>
    <row r="318" spans="1:10" hidden="1">
      <c r="A318" s="64">
        <v>1514</v>
      </c>
      <c r="B318" s="151">
        <v>0.33</v>
      </c>
      <c r="C318" s="160">
        <v>0.375</v>
      </c>
      <c r="D318" s="153">
        <v>196969696.96969697</v>
      </c>
      <c r="E318" s="26">
        <f>VLOOKUP(1514,季財報!$A:$H,8,0)</f>
        <v>3</v>
      </c>
      <c r="F318" s="160">
        <v>8.6958333333333346E-2</v>
      </c>
      <c r="G318" s="153">
        <v>1674242424.2424242</v>
      </c>
      <c r="H318" s="153">
        <v>3842529000</v>
      </c>
      <c r="I318" s="151">
        <v>0.43571367301129654</v>
      </c>
      <c r="J318" s="153">
        <v>17.171717171717173</v>
      </c>
    </row>
    <row r="319" spans="1:10" hidden="1">
      <c r="A319" s="64">
        <v>8401</v>
      </c>
      <c r="B319" s="52">
        <v>-0.04</v>
      </c>
      <c r="C319" s="161">
        <v>0.72727272727272729</v>
      </c>
      <c r="D319" s="158">
        <v>50000000</v>
      </c>
      <c r="E319" s="26">
        <f>VLOOKUP(8401,季財報!$A:$H,8,0)</f>
        <v>1</v>
      </c>
      <c r="F319" s="161">
        <v>1.1916666666666657E-3</v>
      </c>
      <c r="G319" s="54">
        <v>600000000</v>
      </c>
      <c r="H319" s="54">
        <v>1376871000</v>
      </c>
      <c r="I319" s="65">
        <v>0.43577067132650771</v>
      </c>
      <c r="J319" s="163">
        <v>0</v>
      </c>
    </row>
    <row r="320" spans="1:10" hidden="1">
      <c r="A320" s="64">
        <v>3236</v>
      </c>
      <c r="B320" s="151">
        <v>0.73</v>
      </c>
      <c r="C320" s="160">
        <v>0</v>
      </c>
      <c r="D320" s="153">
        <v>60273972.602739729</v>
      </c>
      <c r="E320" s="26">
        <f>VLOOKUP(3236,季財報!$A:$H,8,0)</f>
        <v>6</v>
      </c>
      <c r="F320" s="160">
        <v>1.9600000000000003E-2</v>
      </c>
      <c r="G320" s="153">
        <v>798630136.98630142</v>
      </c>
      <c r="H320" s="153">
        <v>1830783000</v>
      </c>
      <c r="I320" s="151">
        <v>0.43622326457384702</v>
      </c>
      <c r="J320" s="153">
        <v>0</v>
      </c>
    </row>
    <row r="321" spans="1:10" hidden="1">
      <c r="A321" s="64">
        <v>1471</v>
      </c>
      <c r="B321" s="151">
        <v>-0.22</v>
      </c>
      <c r="C321" s="160">
        <v>1</v>
      </c>
      <c r="D321" s="153">
        <v>200000000</v>
      </c>
      <c r="E321" s="26">
        <f>VLOOKUP(1471,季財報!$A:$H,8,0)</f>
        <v>1</v>
      </c>
      <c r="F321" s="160">
        <v>-2.8608333333333329E-2</v>
      </c>
      <c r="G321" s="153">
        <v>898000000</v>
      </c>
      <c r="H321" s="153">
        <v>2050985000</v>
      </c>
      <c r="I321" s="151">
        <v>0.4378384044739479</v>
      </c>
      <c r="J321" s="153">
        <v>0</v>
      </c>
    </row>
    <row r="322" spans="1:10" hidden="1">
      <c r="A322" s="64">
        <v>1418</v>
      </c>
      <c r="B322" s="151">
        <v>-0.18</v>
      </c>
      <c r="C322" s="160">
        <v>1</v>
      </c>
      <c r="D322" s="153">
        <v>127777777.77777778</v>
      </c>
      <c r="E322" s="26">
        <f>VLOOKUP(1418,季財報!$A:$H,8,0)</f>
        <v>1</v>
      </c>
      <c r="F322" s="160">
        <v>7.746666666666667E-2</v>
      </c>
      <c r="G322" s="153">
        <v>626111111.11111116</v>
      </c>
      <c r="H322" s="153">
        <v>1424586000</v>
      </c>
      <c r="I322" s="151">
        <v>0.43950390577410642</v>
      </c>
      <c r="J322" s="153">
        <v>0</v>
      </c>
    </row>
    <row r="323" spans="1:10" hidden="1">
      <c r="A323" s="64">
        <v>1218</v>
      </c>
      <c r="B323" s="151">
        <v>0.3</v>
      </c>
      <c r="C323" s="160">
        <v>0</v>
      </c>
      <c r="D323" s="153">
        <v>336666666.66666669</v>
      </c>
      <c r="E323" s="26">
        <f>VLOOKUP(1218,季財報!$A:$H,8,0)</f>
        <v>3</v>
      </c>
      <c r="F323" s="160">
        <v>2.4833333333333305E-3</v>
      </c>
      <c r="G323" s="153">
        <v>3619166666.666667</v>
      </c>
      <c r="H323" s="153">
        <v>8201971000</v>
      </c>
      <c r="I323" s="151">
        <v>0.44125572580867051</v>
      </c>
      <c r="J323" s="153">
        <v>0</v>
      </c>
    </row>
    <row r="324" spans="1:10" hidden="1">
      <c r="A324" s="64">
        <v>6412</v>
      </c>
      <c r="B324" s="52">
        <v>0.81</v>
      </c>
      <c r="C324" s="161">
        <v>0.76297577854671284</v>
      </c>
      <c r="D324" s="158">
        <v>360493827.16049379</v>
      </c>
      <c r="E324" s="26">
        <f>VLOOKUP(6412,季財報!$A:$H,8,0)</f>
        <v>1</v>
      </c>
      <c r="F324" s="161">
        <v>6.7333333333333386E-3</v>
      </c>
      <c r="G324" s="54">
        <v>11679999999.999998</v>
      </c>
      <c r="H324" s="54">
        <v>26469887000</v>
      </c>
      <c r="I324" s="65">
        <v>0.44125613380971357</v>
      </c>
      <c r="J324" s="163">
        <v>13.10657596371882</v>
      </c>
    </row>
    <row r="325" spans="1:10" hidden="1">
      <c r="A325" s="64">
        <v>2614</v>
      </c>
      <c r="B325" s="151">
        <v>-0.42</v>
      </c>
      <c r="C325" s="160">
        <v>1</v>
      </c>
      <c r="D325" s="153">
        <v>690476190.47619045</v>
      </c>
      <c r="E325" s="26">
        <f>VLOOKUP(2614,季財報!$A:$H,8,0)</f>
        <v>3</v>
      </c>
      <c r="F325" s="160">
        <v>-1.6608333333333333E-2</v>
      </c>
      <c r="G325" s="153">
        <v>5164761904.7619047</v>
      </c>
      <c r="H325" s="153">
        <v>11681711000</v>
      </c>
      <c r="I325" s="151">
        <v>0.44212375265591697</v>
      </c>
      <c r="J325" s="153">
        <v>0</v>
      </c>
    </row>
    <row r="326" spans="1:10" hidden="1">
      <c r="A326" s="64">
        <v>6122</v>
      </c>
      <c r="B326" s="52">
        <v>-0.21</v>
      </c>
      <c r="C326" s="161">
        <v>0.88888888888888884</v>
      </c>
      <c r="D326" s="158">
        <v>66666666.666666672</v>
      </c>
      <c r="E326" s="26">
        <f>VLOOKUP(6122,季財報!$A:$H,8,0)</f>
        <v>1</v>
      </c>
      <c r="F326" s="161">
        <v>8.8616666666666677E-2</v>
      </c>
      <c r="G326" s="54">
        <v>434666666.66666669</v>
      </c>
      <c r="H326" s="54">
        <v>981438000</v>
      </c>
      <c r="I326" s="65">
        <v>0.44288754528219476</v>
      </c>
      <c r="J326" s="163">
        <v>0</v>
      </c>
    </row>
    <row r="327" spans="1:10" hidden="1">
      <c r="A327" s="64">
        <v>2440</v>
      </c>
      <c r="B327" s="151">
        <v>-0.11</v>
      </c>
      <c r="C327" s="160">
        <v>1</v>
      </c>
      <c r="D327" s="153">
        <v>136363636.36363637</v>
      </c>
      <c r="E327" s="26">
        <f>VLOOKUP(2440,季財報!$A:$H,8,0)</f>
        <v>0</v>
      </c>
      <c r="F327" s="160">
        <v>2.9641666666666667E-2</v>
      </c>
      <c r="G327" s="153">
        <v>1104545454.5454545</v>
      </c>
      <c r="H327" s="153">
        <v>2481049000</v>
      </c>
      <c r="I327" s="151">
        <v>0.44519292224597518</v>
      </c>
      <c r="J327" s="153">
        <v>0</v>
      </c>
    </row>
    <row r="328" spans="1:10" hidden="1">
      <c r="A328" s="64">
        <v>2431</v>
      </c>
      <c r="B328" s="151">
        <v>0.15</v>
      </c>
      <c r="C328" s="160">
        <v>0</v>
      </c>
      <c r="D328" s="153">
        <v>113333333.33333334</v>
      </c>
      <c r="E328" s="26">
        <f>VLOOKUP(2431,季財報!$A:$H,8,0)</f>
        <v>3</v>
      </c>
      <c r="F328" s="160">
        <v>-1.8624999999999999E-2</v>
      </c>
      <c r="G328" s="153">
        <v>1734000000.0000002</v>
      </c>
      <c r="H328" s="153">
        <v>3891369000</v>
      </c>
      <c r="I328" s="151">
        <v>0.44560153508957906</v>
      </c>
      <c r="J328" s="153">
        <v>0</v>
      </c>
    </row>
    <row r="329" spans="1:10" hidden="1">
      <c r="A329" s="64">
        <v>1715</v>
      </c>
      <c r="B329" s="151">
        <v>0.31</v>
      </c>
      <c r="C329" s="160">
        <v>0.60377358490566035</v>
      </c>
      <c r="D329" s="153">
        <v>409677419.35483873</v>
      </c>
      <c r="E329" s="26">
        <f>VLOOKUP(1715,季財報!$A:$H,8,0)</f>
        <v>5</v>
      </c>
      <c r="F329" s="160">
        <v>8.0333333333333298E-3</v>
      </c>
      <c r="G329" s="153">
        <v>4977580645.1612911</v>
      </c>
      <c r="H329" s="153">
        <v>11069979000</v>
      </c>
      <c r="I329" s="151">
        <v>0.4496468010608955</v>
      </c>
      <c r="J329" s="153">
        <v>16.22857862903226</v>
      </c>
    </row>
    <row r="330" spans="1:10" hidden="1">
      <c r="A330" s="64">
        <v>6259</v>
      </c>
      <c r="B330" s="52">
        <v>-0.39</v>
      </c>
      <c r="C330" s="161">
        <v>1</v>
      </c>
      <c r="D330" s="158">
        <v>71794871.794871792</v>
      </c>
      <c r="E330" s="26">
        <f>VLOOKUP(6259,季財報!$A:$H,8,0)</f>
        <v>1</v>
      </c>
      <c r="F330" s="161">
        <v>1.6399999999999994E-2</v>
      </c>
      <c r="G330" s="54">
        <v>586564102.56410253</v>
      </c>
      <c r="H330" s="54">
        <v>1303205000</v>
      </c>
      <c r="I330" s="65">
        <v>0.45009350222267602</v>
      </c>
      <c r="J330" s="163">
        <v>0</v>
      </c>
    </row>
    <row r="331" spans="1:10" hidden="1">
      <c r="A331" s="64">
        <v>4903</v>
      </c>
      <c r="B331" s="52">
        <v>0.32</v>
      </c>
      <c r="C331" s="161">
        <v>0.66666666666666663</v>
      </c>
      <c r="D331" s="158">
        <v>87500000</v>
      </c>
      <c r="E331" s="26">
        <f>VLOOKUP(4903,季財報!$A:$H,8,0)</f>
        <v>2</v>
      </c>
      <c r="F331" s="161">
        <v>8.6249999999999993E-2</v>
      </c>
      <c r="G331" s="54">
        <v>848749999.99999988</v>
      </c>
      <c r="H331" s="54">
        <v>1876150000</v>
      </c>
      <c r="I331" s="65">
        <v>0.45238920128987548</v>
      </c>
      <c r="J331" s="163">
        <v>11.3671875</v>
      </c>
    </row>
    <row r="332" spans="1:10" hidden="1">
      <c r="A332" s="64">
        <v>5410</v>
      </c>
      <c r="B332" s="52">
        <v>0.36</v>
      </c>
      <c r="C332" s="161">
        <v>0.53061224489795922</v>
      </c>
      <c r="D332" s="158">
        <v>88888888.888888896</v>
      </c>
      <c r="E332" s="26">
        <f>VLOOKUP(5410,季財報!$A:$H,8,0)</f>
        <v>1</v>
      </c>
      <c r="F332" s="161">
        <v>8.3716666666666675E-2</v>
      </c>
      <c r="G332" s="54">
        <v>1066666666.6666667</v>
      </c>
      <c r="H332" s="54">
        <v>2351905000</v>
      </c>
      <c r="I332" s="65">
        <v>0.45353305795372972</v>
      </c>
      <c r="J332" s="163">
        <v>15.705128205128204</v>
      </c>
    </row>
    <row r="333" spans="1:10" hidden="1">
      <c r="A333" s="64">
        <v>8421</v>
      </c>
      <c r="B333" s="52">
        <v>0.4</v>
      </c>
      <c r="C333" s="161">
        <v>0.78947368421052633</v>
      </c>
      <c r="D333" s="158">
        <v>37500000</v>
      </c>
      <c r="E333" s="26">
        <f>VLOOKUP(8421,季財報!$A:$H,8,0)</f>
        <v>5</v>
      </c>
      <c r="F333" s="161">
        <v>3.2733333333333343E-2</v>
      </c>
      <c r="G333" s="54">
        <v>476250000</v>
      </c>
      <c r="H333" s="54">
        <v>1045568000</v>
      </c>
      <c r="I333" s="65">
        <v>0.45549404725469794</v>
      </c>
      <c r="J333" s="163">
        <v>10.054166666666665</v>
      </c>
    </row>
    <row r="334" spans="1:10" hidden="1">
      <c r="A334" s="64">
        <v>5902</v>
      </c>
      <c r="B334" s="52">
        <v>0.14000000000000001</v>
      </c>
      <c r="C334" s="161">
        <v>0.6875</v>
      </c>
      <c r="D334" s="158">
        <v>92857142.857142851</v>
      </c>
      <c r="E334" s="26">
        <f>VLOOKUP(5902,季財報!$A:$H,8,0)</f>
        <v>3</v>
      </c>
      <c r="F334" s="161">
        <v>-2.4249999999999988E-3</v>
      </c>
      <c r="G334" s="54">
        <v>886785714.28571427</v>
      </c>
      <c r="H334" s="54">
        <v>1946804000</v>
      </c>
      <c r="I334" s="65">
        <v>0.45550847146693468</v>
      </c>
      <c r="J334" s="163">
        <v>24.805194805194805</v>
      </c>
    </row>
    <row r="335" spans="1:10" hidden="1">
      <c r="A335" s="64">
        <v>6290</v>
      </c>
      <c r="B335" s="52">
        <v>0.78</v>
      </c>
      <c r="C335" s="161">
        <v>0.18390804597701149</v>
      </c>
      <c r="D335" s="158">
        <v>134615384.61538461</v>
      </c>
      <c r="E335" s="26">
        <f>VLOOKUP(6290,季財報!$A:$H,8,0)</f>
        <v>1</v>
      </c>
      <c r="F335" s="161">
        <v>2.4649999999999995E-2</v>
      </c>
      <c r="G335" s="54">
        <v>3298076923.0769229</v>
      </c>
      <c r="H335" s="54">
        <v>7203405000</v>
      </c>
      <c r="I335" s="65">
        <v>0.45784971455539747</v>
      </c>
      <c r="J335" s="163">
        <v>42.698317307692307</v>
      </c>
    </row>
    <row r="336" spans="1:10" hidden="1">
      <c r="A336" s="64">
        <v>1201</v>
      </c>
      <c r="B336" s="151">
        <v>-1.1499999999999999</v>
      </c>
      <c r="C336" s="160">
        <v>0.67941507311586047</v>
      </c>
      <c r="D336" s="153">
        <v>505217391.30434787</v>
      </c>
      <c r="E336" s="26">
        <f>VLOOKUP(1201,季財報!$A:$H,8,0)</f>
        <v>0</v>
      </c>
      <c r="F336" s="160">
        <v>2.5499999999999989E-3</v>
      </c>
      <c r="G336" s="153">
        <v>9599130434.7826099</v>
      </c>
      <c r="H336" s="153">
        <v>20853213000</v>
      </c>
      <c r="I336" s="151">
        <v>0.46031901341930426</v>
      </c>
      <c r="J336" s="153">
        <v>0</v>
      </c>
    </row>
    <row r="337" spans="1:10" hidden="1">
      <c r="A337" s="64">
        <v>5434</v>
      </c>
      <c r="B337" s="52">
        <v>1.61</v>
      </c>
      <c r="C337" s="161">
        <v>0.8012048192771084</v>
      </c>
      <c r="D337" s="158">
        <v>162732919.25465837</v>
      </c>
      <c r="E337" s="26">
        <f>VLOOKUP(5434,季財報!$A:$H,8,0)</f>
        <v>3</v>
      </c>
      <c r="F337" s="161">
        <v>8.0416666666666674E-3</v>
      </c>
      <c r="G337" s="54">
        <v>8689937888.1987572</v>
      </c>
      <c r="H337" s="54">
        <v>18786432000</v>
      </c>
      <c r="I337" s="65">
        <v>0.4625645725701803</v>
      </c>
      <c r="J337" s="163">
        <v>10.34932050623453</v>
      </c>
    </row>
    <row r="338" spans="1:10" hidden="1">
      <c r="A338" s="64">
        <v>2374</v>
      </c>
      <c r="B338" s="151">
        <v>0.72</v>
      </c>
      <c r="C338" s="160">
        <v>0.35625000000000001</v>
      </c>
      <c r="D338" s="153">
        <v>402777777.77777779</v>
      </c>
      <c r="E338" s="26">
        <f>VLOOKUP(2374,季財報!$A:$H,8,0)</f>
        <v>2</v>
      </c>
      <c r="F338" s="160">
        <v>7.2499999999999767E-4</v>
      </c>
      <c r="G338" s="153">
        <v>9485416666.6666679</v>
      </c>
      <c r="H338" s="153">
        <v>20395987000</v>
      </c>
      <c r="I338" s="151">
        <v>0.46506289039440296</v>
      </c>
      <c r="J338" s="153">
        <v>22.953216374269005</v>
      </c>
    </row>
    <row r="339" spans="1:10" hidden="1">
      <c r="A339" s="64">
        <v>3519</v>
      </c>
      <c r="B339" s="151">
        <v>-1.37</v>
      </c>
      <c r="C339" s="160">
        <v>1</v>
      </c>
      <c r="D339" s="153">
        <v>413868613.13868612</v>
      </c>
      <c r="E339" s="26">
        <f>VLOOKUP(3519,季財報!$A:$H,8,0)</f>
        <v>3</v>
      </c>
      <c r="F339" s="160">
        <v>-6.2916666666666676E-3</v>
      </c>
      <c r="G339" s="153">
        <v>7201313868.6131382</v>
      </c>
      <c r="H339" s="153">
        <v>15353547000</v>
      </c>
      <c r="I339" s="151">
        <v>0.46903258697245259</v>
      </c>
      <c r="J339" s="153">
        <v>0</v>
      </c>
    </row>
    <row r="340" spans="1:10" hidden="1">
      <c r="A340" s="64">
        <v>3508</v>
      </c>
      <c r="B340" s="151">
        <v>-0.85</v>
      </c>
      <c r="C340" s="160">
        <v>0.83854166666666663</v>
      </c>
      <c r="D340" s="153">
        <v>91764705.882352948</v>
      </c>
      <c r="E340" s="26">
        <f>VLOOKUP(3508,季財報!$A:$H,8,0)</f>
        <v>3</v>
      </c>
      <c r="F340" s="160">
        <v>-5.0583333333333383E-3</v>
      </c>
      <c r="G340" s="153">
        <v>1422352941.1764708</v>
      </c>
      <c r="H340" s="153">
        <v>3030465000</v>
      </c>
      <c r="I340" s="151">
        <v>0.46935138375677354</v>
      </c>
      <c r="J340" s="153">
        <v>0</v>
      </c>
    </row>
    <row r="341" spans="1:10" hidden="1">
      <c r="A341" s="64">
        <v>1219</v>
      </c>
      <c r="B341" s="151">
        <v>0.08</v>
      </c>
      <c r="C341" s="160">
        <v>0.72727272727272729</v>
      </c>
      <c r="D341" s="153">
        <v>312500000</v>
      </c>
      <c r="E341" s="26">
        <f>VLOOKUP(1219,季財報!$A:$H,8,0)</f>
        <v>2</v>
      </c>
      <c r="F341" s="160">
        <v>8.4083333333333302E-3</v>
      </c>
      <c r="G341" s="153">
        <v>4640625000</v>
      </c>
      <c r="H341" s="153">
        <v>9878743000</v>
      </c>
      <c r="I341" s="151">
        <v>0.46975865249252863</v>
      </c>
      <c r="J341" s="153">
        <v>50</v>
      </c>
    </row>
    <row r="342" spans="1:10" hidden="1">
      <c r="A342" s="64">
        <v>2465</v>
      </c>
      <c r="B342" s="151">
        <v>-0.37</v>
      </c>
      <c r="C342" s="160">
        <v>1</v>
      </c>
      <c r="D342" s="153">
        <v>108108108.1081081</v>
      </c>
      <c r="E342" s="26">
        <f>VLOOKUP(2465,季財報!$A:$H,8,0)</f>
        <v>2</v>
      </c>
      <c r="F342" s="160">
        <v>8.9341666666666666E-2</v>
      </c>
      <c r="G342" s="153">
        <v>1097297297.2972972</v>
      </c>
      <c r="H342" s="153">
        <v>2333137000</v>
      </c>
      <c r="I342" s="151">
        <v>0.47030984348424343</v>
      </c>
      <c r="J342" s="153">
        <v>0</v>
      </c>
    </row>
    <row r="343" spans="1:10" hidden="1">
      <c r="A343" s="64">
        <v>2024</v>
      </c>
      <c r="B343" s="151">
        <v>0.08</v>
      </c>
      <c r="C343" s="160">
        <v>1</v>
      </c>
      <c r="D343" s="153">
        <v>100000000</v>
      </c>
      <c r="E343" s="26">
        <f>VLOOKUP(2024,季財報!$A:$H,8,0)</f>
        <v>2</v>
      </c>
      <c r="F343" s="160">
        <v>-2.7499999999999861E-4</v>
      </c>
      <c r="G343" s="153">
        <v>672000000</v>
      </c>
      <c r="H343" s="153">
        <v>1422297000</v>
      </c>
      <c r="I343" s="151">
        <v>0.4724751581420758</v>
      </c>
      <c r="J343" s="153">
        <v>21</v>
      </c>
    </row>
    <row r="344" spans="1:10" hidden="1">
      <c r="A344" s="64">
        <v>1259</v>
      </c>
      <c r="B344" s="151">
        <v>1.66</v>
      </c>
      <c r="C344" s="160">
        <v>1</v>
      </c>
      <c r="D344" s="153">
        <v>32530120.481927712</v>
      </c>
      <c r="E344" s="26">
        <f>VLOOKUP(1259,季財報!$A:$H,8,0)</f>
        <v>3</v>
      </c>
      <c r="F344" s="160">
        <v>1.2641666666666664E-2</v>
      </c>
      <c r="G344" s="153">
        <v>2068915662.6506026</v>
      </c>
      <c r="H344" s="153">
        <v>4369899000</v>
      </c>
      <c r="I344" s="151">
        <v>0.47344702077796363</v>
      </c>
      <c r="J344" s="153">
        <v>9.5783132530120483</v>
      </c>
    </row>
    <row r="345" spans="1:10" hidden="1">
      <c r="A345" s="64">
        <v>1522</v>
      </c>
      <c r="B345" s="151">
        <v>0.91</v>
      </c>
      <c r="C345" s="160">
        <v>0.45591939546599497</v>
      </c>
      <c r="D345" s="153">
        <v>312087912.08791208</v>
      </c>
      <c r="E345" s="26">
        <f>VLOOKUP(1522,季財報!$A:$H,8,0)</f>
        <v>3</v>
      </c>
      <c r="F345" s="160">
        <v>-1.1616666666666669E-2</v>
      </c>
      <c r="G345" s="153">
        <v>7521318681.3186817</v>
      </c>
      <c r="H345" s="153">
        <v>15855048000</v>
      </c>
      <c r="I345" s="151">
        <v>0.47438006377014325</v>
      </c>
      <c r="J345" s="153">
        <v>14.522038734745918</v>
      </c>
    </row>
    <row r="346" spans="1:10" hidden="1">
      <c r="A346" s="64">
        <v>1225</v>
      </c>
      <c r="B346" s="151">
        <v>0.24</v>
      </c>
      <c r="C346" s="160">
        <v>1</v>
      </c>
      <c r="D346" s="153">
        <v>216666666.66666669</v>
      </c>
      <c r="E346" s="26">
        <f>VLOOKUP(1225,季財報!$A:$H,8,0)</f>
        <v>1</v>
      </c>
      <c r="F346" s="160">
        <v>-5.8333333333338476E-5</v>
      </c>
      <c r="G346" s="153">
        <v>5308333333.333334</v>
      </c>
      <c r="H346" s="153">
        <v>11184829000</v>
      </c>
      <c r="I346" s="151">
        <v>0.4746012060920497</v>
      </c>
      <c r="J346" s="153">
        <v>25.520833333333336</v>
      </c>
    </row>
    <row r="347" spans="1:10" hidden="1">
      <c r="A347" s="64">
        <v>3308</v>
      </c>
      <c r="B347" s="151">
        <v>0.27</v>
      </c>
      <c r="C347" s="160">
        <v>0.24324324324324326</v>
      </c>
      <c r="D347" s="153">
        <v>96296296.296296284</v>
      </c>
      <c r="E347" s="26">
        <f>VLOOKUP(3308,季財報!$A:$H,8,0)</f>
        <v>2</v>
      </c>
      <c r="F347" s="160">
        <v>1.969166666666668E-2</v>
      </c>
      <c r="G347" s="153">
        <v>756888888.88888884</v>
      </c>
      <c r="H347" s="153">
        <v>1592710000</v>
      </c>
      <c r="I347" s="151">
        <v>0.47522078023550351</v>
      </c>
      <c r="J347" s="153">
        <v>29.91975308641975</v>
      </c>
    </row>
    <row r="348" spans="1:10" hidden="1">
      <c r="A348" s="64">
        <v>8418</v>
      </c>
      <c r="B348" s="52">
        <v>-1.36</v>
      </c>
      <c r="C348" s="161">
        <v>0</v>
      </c>
      <c r="D348" s="158">
        <v>68382352.941176459</v>
      </c>
      <c r="E348" s="26">
        <f>VLOOKUP(8418,季財報!$A:$H,8,0)</f>
        <v>1</v>
      </c>
      <c r="F348" s="161">
        <v>1.7475000000000001E-2</v>
      </c>
      <c r="G348" s="54">
        <v>1107794117.6470585</v>
      </c>
      <c r="H348" s="54">
        <v>2330332000</v>
      </c>
      <c r="I348" s="65">
        <v>0.47538038255796106</v>
      </c>
      <c r="J348" s="163">
        <v>0</v>
      </c>
    </row>
    <row r="349" spans="1:10" hidden="1">
      <c r="A349" s="64">
        <v>3531</v>
      </c>
      <c r="B349" s="151">
        <v>0.14000000000000001</v>
      </c>
      <c r="C349" s="160">
        <v>0</v>
      </c>
      <c r="D349" s="153">
        <v>57142857.142857134</v>
      </c>
      <c r="E349" s="26">
        <f>VLOOKUP(3531,季財報!$A:$H,8,0)</f>
        <v>2</v>
      </c>
      <c r="F349" s="160">
        <v>1.4699999999999998E-2</v>
      </c>
      <c r="G349" s="153">
        <v>845714285.71428561</v>
      </c>
      <c r="H349" s="153">
        <v>1769851000</v>
      </c>
      <c r="I349" s="151">
        <v>0.47784490655670203</v>
      </c>
      <c r="J349" s="153">
        <v>0</v>
      </c>
    </row>
    <row r="350" spans="1:10" hidden="1">
      <c r="A350" s="64">
        <v>4942</v>
      </c>
      <c r="B350" s="52">
        <v>-2.27</v>
      </c>
      <c r="C350" s="161">
        <v>0.54025974025974022</v>
      </c>
      <c r="D350" s="158">
        <v>152422907.48898679</v>
      </c>
      <c r="E350" s="26">
        <f>VLOOKUP(4942,季財報!$A:$H,8,0)</f>
        <v>1</v>
      </c>
      <c r="F350" s="161">
        <v>-1.0924999999999995E-2</v>
      </c>
      <c r="G350" s="54">
        <v>3536211453.7444935</v>
      </c>
      <c r="H350" s="54">
        <v>7378827000</v>
      </c>
      <c r="I350" s="65">
        <v>0.47923761510393093</v>
      </c>
      <c r="J350" s="163">
        <v>0</v>
      </c>
    </row>
    <row r="351" spans="1:10" hidden="1">
      <c r="A351" s="64">
        <v>3092</v>
      </c>
      <c r="B351" s="151">
        <v>0.69</v>
      </c>
      <c r="C351" s="160">
        <v>1</v>
      </c>
      <c r="D351" s="153">
        <v>63768115.942028992</v>
      </c>
      <c r="E351" s="26">
        <f>VLOOKUP(3092,季財報!$A:$H,8,0)</f>
        <v>2</v>
      </c>
      <c r="F351" s="160">
        <v>2.3441666666666666E-2</v>
      </c>
      <c r="G351" s="153">
        <v>1090434782.6086957</v>
      </c>
      <c r="H351" s="153">
        <v>2274665000</v>
      </c>
      <c r="I351" s="151">
        <v>0.47938258275776685</v>
      </c>
      <c r="J351" s="153">
        <v>6.1956521739130448</v>
      </c>
    </row>
    <row r="352" spans="1:10" hidden="1">
      <c r="A352" s="64">
        <v>8088</v>
      </c>
      <c r="B352" s="52">
        <v>0.77</v>
      </c>
      <c r="C352" s="161">
        <v>0.50980392156862742</v>
      </c>
      <c r="D352" s="158">
        <v>58441558.441558443</v>
      </c>
      <c r="E352" s="26">
        <f>VLOOKUP(8088,季財報!$A:$H,8,0)</f>
        <v>2</v>
      </c>
      <c r="F352" s="161">
        <v>-2.6800000000000001E-2</v>
      </c>
      <c r="G352" s="54">
        <v>1002272727.2727273</v>
      </c>
      <c r="H352" s="54">
        <v>2090672000</v>
      </c>
      <c r="I352" s="65">
        <v>0.47940218612614854</v>
      </c>
      <c r="J352" s="163">
        <v>10.922202797202797</v>
      </c>
    </row>
    <row r="353" spans="1:10" hidden="1">
      <c r="A353" s="64">
        <v>6188</v>
      </c>
      <c r="B353" s="52">
        <v>0.34</v>
      </c>
      <c r="C353" s="161">
        <v>0.14354066985645933</v>
      </c>
      <c r="D353" s="158">
        <v>279411764.70588231</v>
      </c>
      <c r="E353" s="26">
        <f>VLOOKUP(6188,季財報!$A:$H,8,0)</f>
        <v>0</v>
      </c>
      <c r="F353" s="161">
        <v>-2.5174999999999999E-2</v>
      </c>
      <c r="G353" s="54">
        <v>5434558823.5294104</v>
      </c>
      <c r="H353" s="54">
        <v>11294614000</v>
      </c>
      <c r="I353" s="65">
        <v>0.48116374968895886</v>
      </c>
      <c r="J353" s="163">
        <v>50</v>
      </c>
    </row>
    <row r="354" spans="1:10" hidden="1">
      <c r="A354" s="64">
        <v>3090</v>
      </c>
      <c r="B354" s="151">
        <v>0.76</v>
      </c>
      <c r="C354" s="160">
        <v>0.73142857142857143</v>
      </c>
      <c r="D354" s="153">
        <v>168421052.63157895</v>
      </c>
      <c r="E354" s="26">
        <f>VLOOKUP(3090,季財報!$A:$H,8,0)</f>
        <v>2</v>
      </c>
      <c r="F354" s="160">
        <v>1.4591666666666669E-2</v>
      </c>
      <c r="G354" s="153">
        <v>4033684210.5263157</v>
      </c>
      <c r="H354" s="153">
        <v>8355732000</v>
      </c>
      <c r="I354" s="151">
        <v>0.48274456511126923</v>
      </c>
      <c r="J354" s="153">
        <v>10.77109888980263</v>
      </c>
    </row>
    <row r="355" spans="1:10" hidden="1">
      <c r="A355" s="64">
        <v>1443</v>
      </c>
      <c r="B355" s="151">
        <v>0.27</v>
      </c>
      <c r="C355" s="160">
        <v>0</v>
      </c>
      <c r="D355" s="153">
        <v>133333333.33333333</v>
      </c>
      <c r="E355" s="26">
        <f>VLOOKUP(1443,季財報!$A:$H,8,0)</f>
        <v>1</v>
      </c>
      <c r="F355" s="160">
        <v>3.3000000000000065E-3</v>
      </c>
      <c r="G355" s="153">
        <v>633333333.33333325</v>
      </c>
      <c r="H355" s="153">
        <v>1308131000</v>
      </c>
      <c r="I355" s="151">
        <v>0.48415130696645309</v>
      </c>
      <c r="J355" s="153">
        <v>0</v>
      </c>
    </row>
    <row r="356" spans="1:10" hidden="1">
      <c r="A356" s="64">
        <v>3043</v>
      </c>
      <c r="B356" s="151">
        <v>-0.01</v>
      </c>
      <c r="C356" s="160">
        <v>0</v>
      </c>
      <c r="D356" s="153">
        <v>200000000</v>
      </c>
      <c r="E356" s="26">
        <f>VLOOKUP(3043,季財報!$A:$H,8,0)</f>
        <v>2</v>
      </c>
      <c r="F356" s="160">
        <v>1.285E-2</v>
      </c>
      <c r="G356" s="153">
        <v>680000000</v>
      </c>
      <c r="H356" s="153">
        <v>1402426000</v>
      </c>
      <c r="I356" s="151">
        <v>0.48487406822178142</v>
      </c>
      <c r="J356" s="153">
        <v>0</v>
      </c>
    </row>
    <row r="357" spans="1:10" hidden="1">
      <c r="A357" s="64">
        <v>6145</v>
      </c>
      <c r="B357" s="52">
        <v>0.1</v>
      </c>
      <c r="C357" s="161">
        <v>0</v>
      </c>
      <c r="D357" s="158">
        <v>340000000</v>
      </c>
      <c r="E357" s="26">
        <f>VLOOKUP(6145,季財報!$A:$H,8,0)</f>
        <v>2</v>
      </c>
      <c r="F357" s="161">
        <v>7.1383333333333326E-2</v>
      </c>
      <c r="G357" s="54">
        <v>4624000000</v>
      </c>
      <c r="H357" s="54">
        <v>9500166000</v>
      </c>
      <c r="I357" s="65">
        <v>0.48672833716800318</v>
      </c>
      <c r="J357" s="163">
        <v>0</v>
      </c>
    </row>
    <row r="358" spans="1:10" hidden="1">
      <c r="A358" s="64">
        <v>1806</v>
      </c>
      <c r="B358" s="151">
        <v>0.13</v>
      </c>
      <c r="C358" s="160">
        <v>1</v>
      </c>
      <c r="D358" s="153">
        <v>430769230.76923078</v>
      </c>
      <c r="E358" s="26">
        <f>VLOOKUP(1806,季財報!$A:$H,8,0)</f>
        <v>3</v>
      </c>
      <c r="F358" s="160">
        <v>5.2083333333333343E-2</v>
      </c>
      <c r="G358" s="153">
        <v>3028307692.3076925</v>
      </c>
      <c r="H358" s="153">
        <v>6220735000</v>
      </c>
      <c r="I358" s="151">
        <v>0.48680866365593334</v>
      </c>
      <c r="J358" s="153">
        <v>13.51923076923077</v>
      </c>
    </row>
    <row r="359" spans="1:10" hidden="1">
      <c r="A359" s="64">
        <v>2367</v>
      </c>
      <c r="B359" s="151">
        <v>0.53</v>
      </c>
      <c r="C359" s="160">
        <v>0.6837944664031621</v>
      </c>
      <c r="D359" s="153">
        <v>562264150.94339621</v>
      </c>
      <c r="E359" s="26">
        <f>VLOOKUP(2367,季財報!$A:$H,8,0)</f>
        <v>3</v>
      </c>
      <c r="F359" s="160">
        <v>1.0200000000000008E-2</v>
      </c>
      <c r="G359" s="153">
        <v>6803396226.4150944</v>
      </c>
      <c r="H359" s="153">
        <v>13968216000</v>
      </c>
      <c r="I359" s="151">
        <v>0.48706264467954208</v>
      </c>
      <c r="J359" s="153">
        <v>8.3468753408223346</v>
      </c>
    </row>
    <row r="360" spans="1:10" hidden="1">
      <c r="A360" s="64">
        <v>4207</v>
      </c>
      <c r="B360" s="52">
        <v>-0.05</v>
      </c>
      <c r="C360" s="161">
        <v>1</v>
      </c>
      <c r="D360" s="158">
        <v>160000000</v>
      </c>
      <c r="E360" s="26">
        <f>VLOOKUP(4207,季財報!$A:$H,8,0)</f>
        <v>1</v>
      </c>
      <c r="F360" s="161">
        <v>5.4166666666666669E-3</v>
      </c>
      <c r="G360" s="54">
        <v>1592000000</v>
      </c>
      <c r="H360" s="54">
        <v>3264832000</v>
      </c>
      <c r="I360" s="65">
        <v>0.48762080254052886</v>
      </c>
      <c r="J360" s="163">
        <v>0</v>
      </c>
    </row>
    <row r="361" spans="1:10" hidden="1">
      <c r="A361" s="64">
        <v>2064</v>
      </c>
      <c r="B361" s="151">
        <v>0.75</v>
      </c>
      <c r="C361" s="160">
        <v>0.3783783783783784</v>
      </c>
      <c r="D361" s="153">
        <v>69333333.333333328</v>
      </c>
      <c r="E361" s="26">
        <f>VLOOKUP(2064,季財報!$A:$H,8,0)</f>
        <v>2</v>
      </c>
      <c r="F361" s="160">
        <v>2.0416666666666708E-3</v>
      </c>
      <c r="G361" s="153">
        <v>1178666666.6666665</v>
      </c>
      <c r="H361" s="153">
        <v>2410351000</v>
      </c>
      <c r="I361" s="151">
        <v>0.48900208586494937</v>
      </c>
      <c r="J361" s="153">
        <v>14.976190476190476</v>
      </c>
    </row>
    <row r="362" spans="1:10" hidden="1">
      <c r="A362" s="64">
        <v>4502</v>
      </c>
      <c r="B362" s="52">
        <v>-1.38</v>
      </c>
      <c r="C362" s="161">
        <v>0.72</v>
      </c>
      <c r="D362" s="158">
        <v>27536231.884057973</v>
      </c>
      <c r="E362" s="26">
        <f>VLOOKUP(4502,季財報!$A:$H,8,0)</f>
        <v>3</v>
      </c>
      <c r="F362" s="161">
        <v>0.16443333333333329</v>
      </c>
      <c r="G362" s="54">
        <v>678768115.942029</v>
      </c>
      <c r="H362" s="54">
        <v>1385670000</v>
      </c>
      <c r="I362" s="65">
        <v>0.48984831593527245</v>
      </c>
      <c r="J362" s="163">
        <v>0</v>
      </c>
    </row>
    <row r="363" spans="1:10" hidden="1">
      <c r="A363" s="64">
        <v>2405</v>
      </c>
      <c r="B363" s="156">
        <v>-0.1</v>
      </c>
      <c r="C363" s="160">
        <v>1</v>
      </c>
      <c r="D363" s="157">
        <v>340000000</v>
      </c>
      <c r="E363" s="26">
        <f>VLOOKUP(2405,季財報!$A:$H,8,0)</f>
        <v>4</v>
      </c>
      <c r="F363" s="160">
        <v>3.2841666666666679E-2</v>
      </c>
      <c r="G363" s="157">
        <v>2499000000</v>
      </c>
      <c r="H363" s="157">
        <v>5092276000</v>
      </c>
      <c r="I363" s="156">
        <v>0.49074323544128401</v>
      </c>
      <c r="J363" s="157">
        <v>0</v>
      </c>
    </row>
    <row r="364" spans="1:10" hidden="1">
      <c r="A364" s="64">
        <v>1524</v>
      </c>
      <c r="B364" s="151">
        <v>0.2</v>
      </c>
      <c r="C364" s="160">
        <v>0</v>
      </c>
      <c r="D364" s="153">
        <v>180000000</v>
      </c>
      <c r="E364" s="26">
        <f>VLOOKUP(1524,季財報!$A:$H,8,0)</f>
        <v>5</v>
      </c>
      <c r="F364" s="160">
        <v>7.7833333333333322E-3</v>
      </c>
      <c r="G364" s="153">
        <v>1218600000</v>
      </c>
      <c r="H364" s="153">
        <v>2482436000</v>
      </c>
      <c r="I364" s="151">
        <v>0.49088878827087584</v>
      </c>
      <c r="J364" s="153">
        <v>0</v>
      </c>
    </row>
    <row r="365" spans="1:10" hidden="1">
      <c r="A365" s="64">
        <v>8182</v>
      </c>
      <c r="B365" s="52">
        <v>0.44</v>
      </c>
      <c r="C365" s="161">
        <v>0.68518518518518523</v>
      </c>
      <c r="D365" s="158">
        <v>106818181.81818181</v>
      </c>
      <c r="E365" s="26">
        <f>VLOOKUP(8182,季財報!$A:$H,8,0)</f>
        <v>2</v>
      </c>
      <c r="F365" s="161">
        <v>1.7450000000000004E-2</v>
      </c>
      <c r="G365" s="54">
        <v>1367272727.2727273</v>
      </c>
      <c r="H365" s="54">
        <v>2784494000</v>
      </c>
      <c r="I365" s="65">
        <v>0.49103094755195281</v>
      </c>
      <c r="J365" s="163">
        <v>10.614250614250613</v>
      </c>
    </row>
    <row r="366" spans="1:10" hidden="1">
      <c r="A366" s="64">
        <v>2613</v>
      </c>
      <c r="B366" s="156">
        <v>-0.11</v>
      </c>
      <c r="C366" s="160">
        <v>1</v>
      </c>
      <c r="D366" s="157">
        <v>90909090.909090906</v>
      </c>
      <c r="E366" s="26">
        <f>VLOOKUP(2613,季財報!$A:$H,8,0)</f>
        <v>0</v>
      </c>
      <c r="F366" s="160">
        <v>5.0333333333333358E-3</v>
      </c>
      <c r="G366" s="157">
        <v>1259090909.090909</v>
      </c>
      <c r="H366" s="157">
        <v>2553494000</v>
      </c>
      <c r="I366" s="156">
        <v>0.49308551697826941</v>
      </c>
      <c r="J366" s="157">
        <v>0</v>
      </c>
    </row>
    <row r="367" spans="1:10" hidden="1">
      <c r="A367" s="64">
        <v>5536</v>
      </c>
      <c r="B367" s="52">
        <v>2.02</v>
      </c>
      <c r="C367" s="161">
        <v>0.87449392712550611</v>
      </c>
      <c r="D367" s="158">
        <v>46039603.960396037</v>
      </c>
      <c r="E367" s="26">
        <f>VLOOKUP(5536,季財報!$A:$H,8,0)</f>
        <v>2</v>
      </c>
      <c r="F367" s="161">
        <v>6.8183333333333374E-2</v>
      </c>
      <c r="G367" s="54">
        <v>4079108910.8910885</v>
      </c>
      <c r="H367" s="54">
        <v>8250348000</v>
      </c>
      <c r="I367" s="65">
        <v>0.49441658835373836</v>
      </c>
      <c r="J367" s="163">
        <v>12.539076824349101</v>
      </c>
    </row>
    <row r="368" spans="1:10" hidden="1">
      <c r="A368" s="64">
        <v>5015</v>
      </c>
      <c r="B368" s="52">
        <v>1.04</v>
      </c>
      <c r="C368" s="161">
        <v>0.81481481481481477</v>
      </c>
      <c r="D368" s="158">
        <v>60576923.076923072</v>
      </c>
      <c r="E368" s="26">
        <f>VLOOKUP(5015,季財報!$A:$H,8,0)</f>
        <v>3</v>
      </c>
      <c r="F368" s="161">
        <v>2.5858333333333341E-2</v>
      </c>
      <c r="G368" s="54">
        <v>1047980769.2307692</v>
      </c>
      <c r="H368" s="54">
        <v>2119110000</v>
      </c>
      <c r="I368" s="65">
        <v>0.49453816424384256</v>
      </c>
      <c r="J368" s="163">
        <v>5.1038024475524475</v>
      </c>
    </row>
    <row r="369" spans="1:10" hidden="1">
      <c r="A369" s="64">
        <v>6109</v>
      </c>
      <c r="B369" s="52">
        <v>0.56000000000000005</v>
      </c>
      <c r="C369" s="161">
        <v>0.45569620253164556</v>
      </c>
      <c r="D369" s="158">
        <v>73214285.714285702</v>
      </c>
      <c r="E369" s="26">
        <f>VLOOKUP(6109,季財報!$A:$H,8,0)</f>
        <v>2</v>
      </c>
      <c r="F369" s="161">
        <v>3.9450000000000006E-2</v>
      </c>
      <c r="G369" s="54">
        <v>999374999.99999988</v>
      </c>
      <c r="H369" s="54">
        <v>2014757000</v>
      </c>
      <c r="I369" s="65">
        <v>0.49602756064378972</v>
      </c>
      <c r="J369" s="163">
        <v>13.372395833333332</v>
      </c>
    </row>
    <row r="370" spans="1:10" hidden="1">
      <c r="A370" s="64">
        <v>4939</v>
      </c>
      <c r="B370" s="52">
        <v>-0.31</v>
      </c>
      <c r="C370" s="161">
        <v>0.59493670886075944</v>
      </c>
      <c r="D370" s="158">
        <v>100000000</v>
      </c>
      <c r="E370" s="26">
        <f>VLOOKUP(4939,季財報!$A:$H,8,0)</f>
        <v>2</v>
      </c>
      <c r="F370" s="161">
        <v>-2.7166666666666693E-3</v>
      </c>
      <c r="G370" s="54">
        <v>800000000</v>
      </c>
      <c r="H370" s="54">
        <v>1611353000</v>
      </c>
      <c r="I370" s="65">
        <v>0.49647718408070735</v>
      </c>
      <c r="J370" s="163">
        <v>0</v>
      </c>
    </row>
    <row r="371" spans="1:10" hidden="1">
      <c r="A371" s="64">
        <v>6153</v>
      </c>
      <c r="B371" s="52">
        <v>1.43</v>
      </c>
      <c r="C371" s="161">
        <v>0.44634146341463415</v>
      </c>
      <c r="D371" s="158">
        <v>323076923.07692307</v>
      </c>
      <c r="E371" s="26">
        <f>VLOOKUP(6153,季財報!$A:$H,8,0)</f>
        <v>3</v>
      </c>
      <c r="F371" s="161">
        <v>5.5999999999999947E-3</v>
      </c>
      <c r="G371" s="54">
        <v>8173846153.8461542</v>
      </c>
      <c r="H371" s="54">
        <v>16460184000</v>
      </c>
      <c r="I371" s="65">
        <v>0.49658291510265951</v>
      </c>
      <c r="J371" s="163">
        <v>9.9096258932324499</v>
      </c>
    </row>
    <row r="372" spans="1:10" hidden="1">
      <c r="A372" s="64">
        <v>1810</v>
      </c>
      <c r="B372" s="151">
        <v>0.12</v>
      </c>
      <c r="C372" s="160">
        <v>0.4</v>
      </c>
      <c r="D372" s="153">
        <v>358333333.33333337</v>
      </c>
      <c r="E372" s="26">
        <f>VLOOKUP(1810,季財報!$A:$H,8,0)</f>
        <v>2</v>
      </c>
      <c r="F372" s="160">
        <v>5.0583333333333341E-2</v>
      </c>
      <c r="G372" s="153">
        <v>2956250000.0000005</v>
      </c>
      <c r="H372" s="153">
        <v>5943945000</v>
      </c>
      <c r="I372" s="151">
        <v>0.49735487121768462</v>
      </c>
      <c r="J372" s="153">
        <v>42.96875</v>
      </c>
    </row>
    <row r="373" spans="1:10" hidden="1">
      <c r="A373" s="64">
        <v>3537</v>
      </c>
      <c r="B373" s="151">
        <v>0.83</v>
      </c>
      <c r="C373" s="160">
        <v>0.54</v>
      </c>
      <c r="D373" s="153">
        <v>48192771.084337354</v>
      </c>
      <c r="E373" s="26">
        <f>VLOOKUP(3537,季財報!$A:$H,8,0)</f>
        <v>2</v>
      </c>
      <c r="F373" s="160">
        <v>1.0508333333333333E-2</v>
      </c>
      <c r="G373" s="153">
        <v>980722891.56626523</v>
      </c>
      <c r="H373" s="153">
        <v>1971380000</v>
      </c>
      <c r="I373" s="151">
        <v>0.49748039016641399</v>
      </c>
      <c r="J373" s="153">
        <v>11.350959393128068</v>
      </c>
    </row>
    <row r="374" spans="1:10" hidden="1">
      <c r="A374" s="64">
        <v>2618</v>
      </c>
      <c r="B374" s="151">
        <v>0.6</v>
      </c>
      <c r="C374" s="160">
        <v>1</v>
      </c>
      <c r="D374" s="153">
        <v>3870000000</v>
      </c>
      <c r="E374" s="26">
        <f>VLOOKUP(2618,季財報!$A:$H,8,0)</f>
        <v>5</v>
      </c>
      <c r="F374" s="160">
        <v>2.5500000000000024E-3</v>
      </c>
      <c r="G374" s="153">
        <v>68305499999.999992</v>
      </c>
      <c r="H374" s="153">
        <v>136905504000</v>
      </c>
      <c r="I374" s="151">
        <v>0.49892442600408521</v>
      </c>
      <c r="J374" s="153">
        <v>7.3541666666666661</v>
      </c>
    </row>
    <row r="375" spans="1:10" hidden="1">
      <c r="A375" s="64">
        <v>8215</v>
      </c>
      <c r="B375" s="52">
        <v>0.36</v>
      </c>
      <c r="C375" s="161">
        <v>0.7432432432432432</v>
      </c>
      <c r="D375" s="158">
        <v>325000000</v>
      </c>
      <c r="E375" s="26">
        <f>VLOOKUP(8215,季財報!$A:$H,8,0)</f>
        <v>2</v>
      </c>
      <c r="F375" s="161">
        <v>-1.283333333333333E-2</v>
      </c>
      <c r="G375" s="54">
        <v>7523750000</v>
      </c>
      <c r="H375" s="54">
        <v>15036787000</v>
      </c>
      <c r="I375" s="65">
        <v>0.50035622636670984</v>
      </c>
      <c r="J375" s="163">
        <v>21.630050505050505</v>
      </c>
    </row>
    <row r="376" spans="1:10" hidden="1">
      <c r="A376" s="64">
        <v>2461</v>
      </c>
      <c r="B376" s="151">
        <v>0.46</v>
      </c>
      <c r="C376" s="160">
        <v>1</v>
      </c>
      <c r="D376" s="153">
        <v>143478260.86956522</v>
      </c>
      <c r="E376" s="26">
        <f>VLOOKUP(2461,季財報!$A:$H,8,0)</f>
        <v>3</v>
      </c>
      <c r="F376" s="160">
        <v>-2.2749999999999992E-3</v>
      </c>
      <c r="G376" s="153">
        <v>2001521739.1304348</v>
      </c>
      <c r="H376" s="153">
        <v>3995802000</v>
      </c>
      <c r="I376" s="151">
        <v>0.50090613577210152</v>
      </c>
      <c r="J376" s="153">
        <v>7.5815217391304337</v>
      </c>
    </row>
    <row r="377" spans="1:10" hidden="1">
      <c r="A377" s="64">
        <v>2031</v>
      </c>
      <c r="B377" s="151">
        <v>-0.71</v>
      </c>
      <c r="C377" s="160">
        <v>0.80769230769230771</v>
      </c>
      <c r="D377" s="153">
        <v>278873239.43661976</v>
      </c>
      <c r="E377" s="26">
        <f>VLOOKUP(2031,季財報!$A:$H,8,0)</f>
        <v>0</v>
      </c>
      <c r="F377" s="160">
        <v>4.8216666666666651E-2</v>
      </c>
      <c r="G377" s="153">
        <v>3555633802.8169022</v>
      </c>
      <c r="H377" s="153">
        <v>7069992000</v>
      </c>
      <c r="I377" s="151">
        <v>0.50291907017955639</v>
      </c>
      <c r="J377" s="153">
        <v>0</v>
      </c>
    </row>
    <row r="378" spans="1:10" hidden="1">
      <c r="A378" s="64">
        <v>5255</v>
      </c>
      <c r="B378" s="52">
        <v>0.06</v>
      </c>
      <c r="C378" s="161">
        <v>1</v>
      </c>
      <c r="D378" s="158">
        <v>33333333.333333336</v>
      </c>
      <c r="E378" s="26">
        <f>VLOOKUP(5255,季財報!$A:$H,8,0)</f>
        <v>2</v>
      </c>
      <c r="F378" s="161">
        <v>1.6908333333333334E-2</v>
      </c>
      <c r="G378" s="54">
        <v>576666666.66666675</v>
      </c>
      <c r="H378" s="54">
        <v>1146202000</v>
      </c>
      <c r="I378" s="65">
        <v>0.50311085364243535</v>
      </c>
      <c r="J378" s="163">
        <v>50</v>
      </c>
    </row>
    <row r="379" spans="1:10" hidden="1">
      <c r="A379" s="64">
        <v>2468</v>
      </c>
      <c r="B379" s="151">
        <v>0.19</v>
      </c>
      <c r="C379" s="160">
        <v>0.62962962962962965</v>
      </c>
      <c r="D379" s="153">
        <v>68421052.631578952</v>
      </c>
      <c r="E379" s="26">
        <f>VLOOKUP(2468,季財報!$A:$H,8,0)</f>
        <v>2</v>
      </c>
      <c r="F379" s="160">
        <v>6.8808333333333319E-2</v>
      </c>
      <c r="G379" s="153">
        <v>721842105.26315796</v>
      </c>
      <c r="H379" s="153">
        <v>1423535000</v>
      </c>
      <c r="I379" s="151">
        <v>0.50707717426207155</v>
      </c>
      <c r="J379" s="153">
        <v>22.047213622291022</v>
      </c>
    </row>
    <row r="380" spans="1:10" hidden="1">
      <c r="A380" s="64">
        <v>2399</v>
      </c>
      <c r="B380" s="151">
        <v>0.08</v>
      </c>
      <c r="C380" s="160">
        <v>1</v>
      </c>
      <c r="D380" s="153">
        <v>200000000</v>
      </c>
      <c r="E380" s="26">
        <f>VLOOKUP(2399,季財報!$A:$H,8,0)</f>
        <v>3</v>
      </c>
      <c r="F380" s="160">
        <v>0.94009166666666666</v>
      </c>
      <c r="G380" s="153">
        <v>1422000000</v>
      </c>
      <c r="H380" s="153">
        <v>2801915000</v>
      </c>
      <c r="I380" s="151">
        <v>0.50751004223896867</v>
      </c>
      <c r="J380" s="153">
        <v>22.21875</v>
      </c>
    </row>
    <row r="381" spans="1:10" hidden="1">
      <c r="A381" s="64">
        <v>8064</v>
      </c>
      <c r="B381" s="52">
        <v>0.12</v>
      </c>
      <c r="C381" s="161">
        <v>0</v>
      </c>
      <c r="D381" s="158">
        <v>133333333.33333334</v>
      </c>
      <c r="E381" s="26">
        <f>VLOOKUP(8064,季財報!$A:$H,8,0)</f>
        <v>1</v>
      </c>
      <c r="F381" s="161">
        <v>1.0416666666666675E-3</v>
      </c>
      <c r="G381" s="54">
        <v>1520000000.0000002</v>
      </c>
      <c r="H381" s="54">
        <v>2993237000</v>
      </c>
      <c r="I381" s="65">
        <v>0.50781144292951086</v>
      </c>
      <c r="J381" s="163">
        <v>0</v>
      </c>
    </row>
    <row r="382" spans="1:10" hidden="1">
      <c r="A382" s="64">
        <v>4933</v>
      </c>
      <c r="B382" s="52">
        <v>0.87</v>
      </c>
      <c r="C382" s="161">
        <v>0.40229885057471265</v>
      </c>
      <c r="D382" s="158">
        <v>77011494.25287357</v>
      </c>
      <c r="E382" s="26">
        <f>VLOOKUP(4933,季財報!$A:$H,8,0)</f>
        <v>3</v>
      </c>
      <c r="F382" s="161">
        <v>1.2033333333333333E-2</v>
      </c>
      <c r="G382" s="54">
        <v>2033103448.2758622</v>
      </c>
      <c r="H382" s="54">
        <v>3992684000</v>
      </c>
      <c r="I382" s="65">
        <v>0.5092072020414995</v>
      </c>
      <c r="J382" s="163">
        <v>18.857142857142858</v>
      </c>
    </row>
    <row r="383" spans="1:10" hidden="1">
      <c r="A383" s="64">
        <v>2498</v>
      </c>
      <c r="B383" s="151">
        <v>-5.41</v>
      </c>
      <c r="C383" s="160">
        <v>0.81440332507393498</v>
      </c>
      <c r="D383" s="153">
        <v>827541589.64879847</v>
      </c>
      <c r="E383" s="26">
        <f>VLOOKUP(2498,季財報!$A:$H,8,0)</f>
        <v>1</v>
      </c>
      <c r="F383" s="160">
        <v>4.4499999999999861E-3</v>
      </c>
      <c r="G383" s="153">
        <v>69927264325.323471</v>
      </c>
      <c r="H383" s="153">
        <v>136997529000</v>
      </c>
      <c r="I383" s="151">
        <v>0.51042719409430715</v>
      </c>
      <c r="J383" s="153">
        <v>0</v>
      </c>
    </row>
    <row r="384" spans="1:10" hidden="1">
      <c r="A384" s="64">
        <v>6603</v>
      </c>
      <c r="B384" s="52">
        <v>0.06</v>
      </c>
      <c r="C384" s="161">
        <v>0</v>
      </c>
      <c r="D384" s="158">
        <v>133333333.33333334</v>
      </c>
      <c r="E384" s="26">
        <f>VLOOKUP(6603,季財報!$A:$H,8,0)</f>
        <v>2</v>
      </c>
      <c r="F384" s="161">
        <v>5.8416666666666573E-3</v>
      </c>
      <c r="G384" s="54">
        <v>1446666666.6666667</v>
      </c>
      <c r="H384" s="54">
        <v>2833441000</v>
      </c>
      <c r="I384" s="65">
        <v>0.51056883367843786</v>
      </c>
      <c r="J384" s="163">
        <v>0</v>
      </c>
    </row>
    <row r="385" spans="1:10" hidden="1">
      <c r="A385" s="64">
        <v>3290</v>
      </c>
      <c r="B385" s="151">
        <v>0.22</v>
      </c>
      <c r="C385" s="160">
        <v>0</v>
      </c>
      <c r="D385" s="153">
        <v>100000000</v>
      </c>
      <c r="E385" s="26">
        <f>VLOOKUP(3290,季財報!$A:$H,8,0)</f>
        <v>1</v>
      </c>
      <c r="F385" s="160">
        <v>4.4666666666666631E-3</v>
      </c>
      <c r="G385" s="153">
        <v>1500000000</v>
      </c>
      <c r="H385" s="153">
        <v>2928264000</v>
      </c>
      <c r="I385" s="151">
        <v>0.51224889559138109</v>
      </c>
      <c r="J385" s="153">
        <v>0</v>
      </c>
    </row>
    <row r="386" spans="1:10" hidden="1">
      <c r="A386" s="64">
        <v>9904</v>
      </c>
      <c r="B386" s="52">
        <v>1.21</v>
      </c>
      <c r="C386" s="161">
        <v>0.11553848615778524</v>
      </c>
      <c r="D386" s="158">
        <v>2947107438.0165291</v>
      </c>
      <c r="E386" s="26">
        <f>VLOOKUP(9904,季財報!$A:$H,8,0)</f>
        <v>3</v>
      </c>
      <c r="F386" s="161">
        <v>1.5908333333333333E-2</v>
      </c>
      <c r="G386" s="54">
        <v>136893140495.86778</v>
      </c>
      <c r="H386" s="54">
        <v>266298899000</v>
      </c>
      <c r="I386" s="65">
        <v>0.51405822934276491</v>
      </c>
      <c r="J386" s="163">
        <v>50</v>
      </c>
    </row>
    <row r="387" spans="1:10" hidden="1">
      <c r="A387" s="64">
        <v>6158</v>
      </c>
      <c r="B387" s="52">
        <v>0.41</v>
      </c>
      <c r="C387" s="161">
        <v>1</v>
      </c>
      <c r="D387" s="158">
        <v>109756097.56097561</v>
      </c>
      <c r="E387" s="26">
        <f>VLOOKUP(6158,季財報!$A:$H,8,0)</f>
        <v>4</v>
      </c>
      <c r="F387" s="161">
        <v>-7.4166666666667031E-4</v>
      </c>
      <c r="G387" s="54">
        <v>1163414634.1463413</v>
      </c>
      <c r="H387" s="54">
        <v>2262759000</v>
      </c>
      <c r="I387" s="65">
        <v>0.51415755462527879</v>
      </c>
      <c r="J387" s="163">
        <v>6.4634146341463419</v>
      </c>
    </row>
    <row r="388" spans="1:10" hidden="1">
      <c r="A388" s="64">
        <v>5478</v>
      </c>
      <c r="B388" s="52">
        <v>0.43</v>
      </c>
      <c r="C388" s="161">
        <v>0.4838709677419355</v>
      </c>
      <c r="D388" s="158">
        <v>127906976.74418604</v>
      </c>
      <c r="E388" s="26">
        <f>VLOOKUP(5478,季財報!$A:$H,8,0)</f>
        <v>3</v>
      </c>
      <c r="F388" s="161">
        <v>1.4874999999999999E-2</v>
      </c>
      <c r="G388" s="54">
        <v>7687209302.3255816</v>
      </c>
      <c r="H388" s="54">
        <v>14927581000</v>
      </c>
      <c r="I388" s="65">
        <v>0.51496684575522189</v>
      </c>
      <c r="J388" s="163">
        <v>50</v>
      </c>
    </row>
    <row r="389" spans="1:10" hidden="1">
      <c r="A389" s="64">
        <v>4175</v>
      </c>
      <c r="B389" s="52">
        <v>1.17</v>
      </c>
      <c r="C389" s="161">
        <v>0.8771929824561403</v>
      </c>
      <c r="D389" s="158">
        <v>24786324.786324788</v>
      </c>
      <c r="E389" s="26">
        <f>VLOOKUP(4175,季財報!$A:$H,8,0)</f>
        <v>1</v>
      </c>
      <c r="F389" s="161">
        <v>1.8766666666666664E-2</v>
      </c>
      <c r="G389" s="54">
        <v>1972991452.9914529</v>
      </c>
      <c r="H389" s="54">
        <v>3823823000</v>
      </c>
      <c r="I389" s="65">
        <v>0.51597353041483696</v>
      </c>
      <c r="J389" s="163">
        <v>19.389743589743592</v>
      </c>
    </row>
    <row r="390" spans="1:10" hidden="1">
      <c r="A390" s="64">
        <v>1220</v>
      </c>
      <c r="B390" s="151">
        <v>0.32</v>
      </c>
      <c r="C390" s="160">
        <v>0.78409090909090906</v>
      </c>
      <c r="D390" s="153">
        <v>178125000</v>
      </c>
      <c r="E390" s="26">
        <f>VLOOKUP(1220,季財報!$A:$H,8,0)</f>
        <v>2</v>
      </c>
      <c r="F390" s="160">
        <v>9.799999999999991E-3</v>
      </c>
      <c r="G390" s="153">
        <v>1897031250</v>
      </c>
      <c r="H390" s="153">
        <v>3667756000</v>
      </c>
      <c r="I390" s="151">
        <v>0.51721849817708698</v>
      </c>
      <c r="J390" s="153">
        <v>10.611413043478262</v>
      </c>
    </row>
    <row r="391" spans="1:10" hidden="1">
      <c r="A391" s="64">
        <v>5016</v>
      </c>
      <c r="B391" s="52">
        <v>0.48</v>
      </c>
      <c r="C391" s="161">
        <v>1</v>
      </c>
      <c r="D391" s="158">
        <v>50000000</v>
      </c>
      <c r="E391" s="26">
        <f>VLOOKUP(5016,季財報!$A:$H,8,0)</f>
        <v>2</v>
      </c>
      <c r="F391" s="161">
        <v>9.5833333333333187E-4</v>
      </c>
      <c r="G391" s="54">
        <v>1190000000</v>
      </c>
      <c r="H391" s="54">
        <v>2299784000</v>
      </c>
      <c r="I391" s="65">
        <v>0.51743989870353047</v>
      </c>
      <c r="J391" s="163">
        <v>12.395833333333334</v>
      </c>
    </row>
    <row r="392" spans="1:10" hidden="1">
      <c r="A392" s="64">
        <v>1305</v>
      </c>
      <c r="B392" s="151">
        <v>0.18</v>
      </c>
      <c r="C392" s="160">
        <v>0.82440476190476186</v>
      </c>
      <c r="D392" s="153">
        <v>461111111.1111111</v>
      </c>
      <c r="E392" s="26">
        <f>VLOOKUP(1305,季財報!$A:$H,8,0)</f>
        <v>2</v>
      </c>
      <c r="F392" s="160">
        <v>2.2683333333333333E-2</v>
      </c>
      <c r="G392" s="153">
        <v>7078055555.5555553</v>
      </c>
      <c r="H392" s="153">
        <v>13675185000</v>
      </c>
      <c r="I392" s="151">
        <v>0.5175838978087357</v>
      </c>
      <c r="J392" s="153">
        <v>25.860409145607704</v>
      </c>
    </row>
    <row r="393" spans="1:10" hidden="1">
      <c r="A393" s="64">
        <v>3548</v>
      </c>
      <c r="B393" s="151">
        <v>2.27</v>
      </c>
      <c r="C393" s="160">
        <v>0.43965517241379309</v>
      </c>
      <c r="D393" s="153">
        <v>50660792.951541848</v>
      </c>
      <c r="E393" s="26">
        <f>VLOOKUP(3548,季財報!$A:$H,8,0)</f>
        <v>4</v>
      </c>
      <c r="F393" s="160">
        <v>2.2516666666666671E-2</v>
      </c>
      <c r="G393" s="153">
        <v>1920044052.863436</v>
      </c>
      <c r="H393" s="153">
        <v>3706086000</v>
      </c>
      <c r="I393" s="151">
        <v>0.5180786557201954</v>
      </c>
      <c r="J393" s="153">
        <v>9.4938239613025814</v>
      </c>
    </row>
    <row r="394" spans="1:10" hidden="1">
      <c r="A394" s="64">
        <v>6298</v>
      </c>
      <c r="B394" s="52">
        <v>0.66</v>
      </c>
      <c r="C394" s="161">
        <v>0.61963190184049077</v>
      </c>
      <c r="D394" s="158">
        <v>168181818.18181819</v>
      </c>
      <c r="E394" s="26">
        <f>VLOOKUP(6298,季財報!$A:$H,8,0)</f>
        <v>3</v>
      </c>
      <c r="F394" s="161">
        <v>2.4408333333333327E-2</v>
      </c>
      <c r="G394" s="54">
        <v>2901136363.6363635</v>
      </c>
      <c r="H394" s="54">
        <v>5564726000</v>
      </c>
      <c r="I394" s="65">
        <v>0.52134397338455896</v>
      </c>
      <c r="J394" s="163">
        <v>10.545117011701171</v>
      </c>
    </row>
    <row r="395" spans="1:10" hidden="1">
      <c r="A395" s="64">
        <v>3019</v>
      </c>
      <c r="B395" s="151">
        <v>0.64</v>
      </c>
      <c r="C395" s="160">
        <v>0.7416666666666667</v>
      </c>
      <c r="D395" s="153">
        <v>282812500</v>
      </c>
      <c r="E395" s="26">
        <f>VLOOKUP(3019,季財報!$A:$H,8,0)</f>
        <v>4</v>
      </c>
      <c r="F395" s="160">
        <v>2.2358333333333341E-2</v>
      </c>
      <c r="G395" s="153">
        <v>9530781250</v>
      </c>
      <c r="H395" s="153">
        <v>18239113000</v>
      </c>
      <c r="I395" s="151">
        <v>0.52254631297037302</v>
      </c>
      <c r="J395" s="153">
        <v>17.749297752808989</v>
      </c>
    </row>
    <row r="396" spans="1:10" hidden="1">
      <c r="A396" s="64">
        <v>8924</v>
      </c>
      <c r="B396" s="52">
        <v>-0.09</v>
      </c>
      <c r="C396" s="161">
        <v>1</v>
      </c>
      <c r="D396" s="158">
        <v>122222222.22222222</v>
      </c>
      <c r="E396" s="26">
        <f>VLOOKUP(8924,季財報!$A:$H,8,0)</f>
        <v>1</v>
      </c>
      <c r="F396" s="161">
        <v>2.7641666666666675E-2</v>
      </c>
      <c r="G396" s="54">
        <v>2322222222.2222223</v>
      </c>
      <c r="H396" s="54">
        <v>4438681000</v>
      </c>
      <c r="I396" s="65">
        <v>0.52317844472766173</v>
      </c>
      <c r="J396" s="163">
        <v>0</v>
      </c>
    </row>
    <row r="397" spans="1:10" hidden="1">
      <c r="A397" s="64">
        <v>9937</v>
      </c>
      <c r="B397" s="52">
        <v>0.33</v>
      </c>
      <c r="C397" s="161">
        <v>0.23961661341853036</v>
      </c>
      <c r="D397" s="158">
        <v>312121212.12121212</v>
      </c>
      <c r="E397" s="26">
        <f>VLOOKUP(9937,季財報!$A:$H,8,0)</f>
        <v>3</v>
      </c>
      <c r="F397" s="161">
        <v>-1.9491666666666668E-2</v>
      </c>
      <c r="G397" s="54">
        <v>11330000000</v>
      </c>
      <c r="H397" s="54">
        <v>21479621000</v>
      </c>
      <c r="I397" s="65">
        <v>0.52747671851379496</v>
      </c>
      <c r="J397" s="163">
        <v>50</v>
      </c>
    </row>
    <row r="398" spans="1:10" hidden="1">
      <c r="A398" s="64">
        <v>2615</v>
      </c>
      <c r="B398" s="151">
        <v>0.48</v>
      </c>
      <c r="C398" s="160">
        <v>9.1546006539000468E-2</v>
      </c>
      <c r="D398" s="153">
        <v>2197916666.666667</v>
      </c>
      <c r="E398" s="26">
        <f>VLOOKUP(2615,季財報!$A:$H,8,0)</f>
        <v>2</v>
      </c>
      <c r="F398" s="160">
        <v>-1.1358333333333333E-2</v>
      </c>
      <c r="G398" s="153">
        <v>34946875000.000008</v>
      </c>
      <c r="H398" s="153">
        <v>66038399000</v>
      </c>
      <c r="I398" s="151">
        <v>0.52919022158608064</v>
      </c>
      <c r="J398" s="153">
        <v>50</v>
      </c>
    </row>
    <row r="399" spans="1:10" hidden="1">
      <c r="A399" s="64">
        <v>5356</v>
      </c>
      <c r="B399" s="52">
        <v>1.46</v>
      </c>
      <c r="C399" s="161">
        <v>0.66533864541832666</v>
      </c>
      <c r="D399" s="158">
        <v>129452054.79452056</v>
      </c>
      <c r="E399" s="26">
        <f>VLOOKUP(5356,季財報!$A:$H,8,0)</f>
        <v>1</v>
      </c>
      <c r="F399" s="161">
        <v>2.4833333333333374E-3</v>
      </c>
      <c r="G399" s="54">
        <v>5055102739.7260275</v>
      </c>
      <c r="H399" s="54">
        <v>9503407000</v>
      </c>
      <c r="I399" s="65">
        <v>0.53192531265113951</v>
      </c>
      <c r="J399" s="163">
        <v>10.049985645148061</v>
      </c>
    </row>
    <row r="400" spans="1:10" hidden="1">
      <c r="A400" s="64">
        <v>6226</v>
      </c>
      <c r="B400" s="52">
        <v>0.04</v>
      </c>
      <c r="C400" s="161">
        <v>0.51851851851851849</v>
      </c>
      <c r="D400" s="158">
        <v>100000000</v>
      </c>
      <c r="E400" s="26">
        <f>VLOOKUP(6226,季財報!$A:$H,8,0)</f>
        <v>2</v>
      </c>
      <c r="F400" s="161">
        <v>2.7483333333333335E-2</v>
      </c>
      <c r="G400" s="54">
        <v>600000000</v>
      </c>
      <c r="H400" s="54">
        <v>1124954000</v>
      </c>
      <c r="I400" s="65">
        <v>0.5333551416324579</v>
      </c>
      <c r="J400" s="163">
        <v>50</v>
      </c>
    </row>
    <row r="401" spans="1:10" hidden="1">
      <c r="A401" s="64">
        <v>6266</v>
      </c>
      <c r="B401" s="52">
        <v>0.23</v>
      </c>
      <c r="C401" s="161">
        <v>0.5636363636363636</v>
      </c>
      <c r="D401" s="158">
        <v>86956521.739130437</v>
      </c>
      <c r="E401" s="26">
        <f>VLOOKUP(6266,季財報!$A:$H,8,0)</f>
        <v>4</v>
      </c>
      <c r="F401" s="161">
        <v>3.0374999999999996E-2</v>
      </c>
      <c r="G401" s="54">
        <v>1113043478.2608697</v>
      </c>
      <c r="H401" s="54">
        <v>2086352000</v>
      </c>
      <c r="I401" s="65">
        <v>0.53348786698547024</v>
      </c>
      <c r="J401" s="163">
        <v>24.684431977559608</v>
      </c>
    </row>
    <row r="402" spans="1:10" hidden="1">
      <c r="A402" s="64">
        <v>9927</v>
      </c>
      <c r="B402" s="52">
        <v>0.43</v>
      </c>
      <c r="C402" s="161">
        <v>1</v>
      </c>
      <c r="D402" s="158">
        <v>209302325.58139536</v>
      </c>
      <c r="E402" s="26">
        <f>VLOOKUP(9927,季財報!$A:$H,8,0)</f>
        <v>3</v>
      </c>
      <c r="F402" s="161">
        <v>-9.2333333333333312E-3</v>
      </c>
      <c r="G402" s="54">
        <v>5724418604.6511631</v>
      </c>
      <c r="H402" s="54">
        <v>10711310000</v>
      </c>
      <c r="I402" s="65">
        <v>0.53442749809791357</v>
      </c>
      <c r="J402" s="163">
        <v>15.901162790697676</v>
      </c>
    </row>
    <row r="403" spans="1:10" hidden="1">
      <c r="A403" s="64">
        <v>3555</v>
      </c>
      <c r="B403" s="151">
        <v>-3.62</v>
      </c>
      <c r="C403" s="160">
        <v>0.96899224806201545</v>
      </c>
      <c r="D403" s="153">
        <v>20165745.856353592</v>
      </c>
      <c r="E403" s="26">
        <f>VLOOKUP(3555,季財報!$A:$H,8,0)</f>
        <v>1</v>
      </c>
      <c r="F403" s="160">
        <v>0.4963833333333334</v>
      </c>
      <c r="G403" s="153">
        <v>175643646.40883979</v>
      </c>
      <c r="H403" s="153">
        <v>328053000</v>
      </c>
      <c r="I403" s="151">
        <v>0.53541240716847516</v>
      </c>
      <c r="J403" s="153">
        <v>0</v>
      </c>
    </row>
    <row r="404" spans="1:10" hidden="1">
      <c r="A404" s="64">
        <v>3388</v>
      </c>
      <c r="B404" s="151">
        <v>1.33</v>
      </c>
      <c r="C404" s="160">
        <v>0.98742138364779874</v>
      </c>
      <c r="D404" s="153">
        <v>62406015.037593983</v>
      </c>
      <c r="E404" s="26">
        <f>VLOOKUP(3388,季財報!$A:$H,8,0)</f>
        <v>2</v>
      </c>
      <c r="F404" s="160">
        <v>5.8999999999999947E-3</v>
      </c>
      <c r="G404" s="153">
        <v>3844210526.3157892</v>
      </c>
      <c r="H404" s="153">
        <v>7146839000</v>
      </c>
      <c r="I404" s="151">
        <v>0.53788962173567767</v>
      </c>
      <c r="J404" s="153">
        <v>11.726449882668454</v>
      </c>
    </row>
    <row r="405" spans="1:10" hidden="1">
      <c r="A405" s="64">
        <v>2323</v>
      </c>
      <c r="B405" s="151">
        <v>-0.26</v>
      </c>
      <c r="C405" s="160">
        <v>1</v>
      </c>
      <c r="D405" s="153">
        <v>2088461538.4615383</v>
      </c>
      <c r="E405" s="26">
        <f>VLOOKUP(2323,季財報!$A:$H,8,0)</f>
        <v>0</v>
      </c>
      <c r="F405" s="160">
        <v>-3.4991666666666678E-2</v>
      </c>
      <c r="G405" s="153">
        <v>7414038461.5384607</v>
      </c>
      <c r="H405" s="153">
        <v>13779520000</v>
      </c>
      <c r="I405" s="151">
        <v>0.53804765779493491</v>
      </c>
      <c r="J405" s="153">
        <v>0</v>
      </c>
    </row>
    <row r="406" spans="1:10" hidden="1">
      <c r="A406" s="64">
        <v>3026</v>
      </c>
      <c r="B406" s="151">
        <v>0.82</v>
      </c>
      <c r="C406" s="160">
        <v>0.91869918699186992</v>
      </c>
      <c r="D406" s="153">
        <v>223170731.70731708</v>
      </c>
      <c r="E406" s="26">
        <f>VLOOKUP(3026,季財報!$A:$H,8,0)</f>
        <v>0</v>
      </c>
      <c r="F406" s="160">
        <v>7.1666666666666634E-4</v>
      </c>
      <c r="G406" s="153">
        <v>7409268292.6829281</v>
      </c>
      <c r="H406" s="153">
        <v>13743210000</v>
      </c>
      <c r="I406" s="151">
        <v>0.53912210412872452</v>
      </c>
      <c r="J406" s="153">
        <v>11.01769911504425</v>
      </c>
    </row>
    <row r="407" spans="1:10" hidden="1">
      <c r="A407" s="64">
        <v>3536</v>
      </c>
      <c r="B407" s="151">
        <v>-0.04</v>
      </c>
      <c r="C407" s="160">
        <v>1</v>
      </c>
      <c r="D407" s="153">
        <v>100000000</v>
      </c>
      <c r="E407" s="26">
        <f>VLOOKUP(3536,季財報!$A:$H,8,0)</f>
        <v>4</v>
      </c>
      <c r="F407" s="160">
        <v>-2.2283333333333332E-2</v>
      </c>
      <c r="G407" s="153">
        <v>655000000</v>
      </c>
      <c r="H407" s="153">
        <v>1211603000</v>
      </c>
      <c r="I407" s="151">
        <v>0.54060612263257846</v>
      </c>
      <c r="J407" s="153">
        <v>0</v>
      </c>
    </row>
    <row r="408" spans="1:10" hidden="1">
      <c r="A408" s="64">
        <v>5291</v>
      </c>
      <c r="B408" s="52">
        <v>0.52</v>
      </c>
      <c r="C408" s="161">
        <v>0</v>
      </c>
      <c r="D408" s="158">
        <v>32692307.692307692</v>
      </c>
      <c r="E408" s="26">
        <f>VLOOKUP(5291,季財報!$A:$H,8,0)</f>
        <v>1</v>
      </c>
      <c r="F408" s="161">
        <v>-4.8083333333333372E-3</v>
      </c>
      <c r="G408" s="54">
        <v>573750000</v>
      </c>
      <c r="H408" s="54">
        <v>1058557000</v>
      </c>
      <c r="I408" s="65">
        <v>0.54201143632322113</v>
      </c>
      <c r="J408" s="163">
        <v>0</v>
      </c>
    </row>
    <row r="409" spans="1:10" hidden="1">
      <c r="A409" s="64">
        <v>3689</v>
      </c>
      <c r="B409" s="151">
        <v>0.54</v>
      </c>
      <c r="C409" s="160">
        <v>0.69411764705882351</v>
      </c>
      <c r="D409" s="153">
        <v>70370370.370370373</v>
      </c>
      <c r="E409" s="26">
        <f>VLOOKUP(3689,季財報!$A:$H,8,0)</f>
        <v>1</v>
      </c>
      <c r="F409" s="160">
        <v>1.0116666666666675E-2</v>
      </c>
      <c r="G409" s="153">
        <v>2470000000</v>
      </c>
      <c r="H409" s="153">
        <v>4553942000</v>
      </c>
      <c r="I409" s="151">
        <v>0.54238723286330837</v>
      </c>
      <c r="J409" s="153">
        <v>23.411016949152543</v>
      </c>
    </row>
    <row r="410" spans="1:10">
      <c r="A410" s="64">
        <v>2415</v>
      </c>
      <c r="B410" s="151">
        <v>0.4</v>
      </c>
      <c r="C410" s="160">
        <v>1</v>
      </c>
      <c r="D410" s="153">
        <v>90000000</v>
      </c>
      <c r="E410" s="26">
        <f>VLOOKUP(2415,季財報!$A:$H,8,0)</f>
        <v>4</v>
      </c>
      <c r="F410" s="160">
        <v>1.3675000000000001E-2</v>
      </c>
      <c r="G410" s="153">
        <v>1156500000</v>
      </c>
      <c r="H410" s="153">
        <v>2126222000</v>
      </c>
      <c r="I410" s="151">
        <v>0.54392250668086395</v>
      </c>
      <c r="J410" s="153">
        <v>8.03125</v>
      </c>
    </row>
    <row r="411" spans="1:10" hidden="1">
      <c r="A411" s="64">
        <v>4533</v>
      </c>
      <c r="B411" s="52">
        <v>0.12</v>
      </c>
      <c r="C411" s="161">
        <v>0.8125</v>
      </c>
      <c r="D411" s="158">
        <v>158333333.33333334</v>
      </c>
      <c r="E411" s="26">
        <f>VLOOKUP(4533,季財報!$A:$H,8,0)</f>
        <v>1</v>
      </c>
      <c r="F411" s="161">
        <v>0.16935833333333331</v>
      </c>
      <c r="G411" s="54">
        <v>1852500000</v>
      </c>
      <c r="H411" s="54">
        <v>3405033000</v>
      </c>
      <c r="I411" s="65">
        <v>0.54404759072819564</v>
      </c>
      <c r="J411" s="163">
        <v>29.999999999999996</v>
      </c>
    </row>
    <row r="412" spans="1:10" hidden="1">
      <c r="A412" s="64">
        <v>3528</v>
      </c>
      <c r="B412" s="151">
        <v>0.9</v>
      </c>
      <c r="C412" s="160">
        <v>1</v>
      </c>
      <c r="D412" s="153">
        <v>56666666.666666664</v>
      </c>
      <c r="E412" s="26">
        <f>VLOOKUP(3528,季財報!$A:$H,8,0)</f>
        <v>1</v>
      </c>
      <c r="F412" s="160">
        <v>2.9766666666666663E-2</v>
      </c>
      <c r="G412" s="153">
        <v>1776500000</v>
      </c>
      <c r="H412" s="153">
        <v>3258710000</v>
      </c>
      <c r="I412" s="151">
        <v>0.54515437090136898</v>
      </c>
      <c r="J412" s="153">
        <v>8.7083333333333339</v>
      </c>
    </row>
    <row r="413" spans="1:10" hidden="1">
      <c r="A413" s="64">
        <v>2406</v>
      </c>
      <c r="B413" s="151">
        <v>0.44</v>
      </c>
      <c r="C413" s="160">
        <v>1</v>
      </c>
      <c r="D413" s="153">
        <v>304545454.54545456</v>
      </c>
      <c r="E413" s="26">
        <f>VLOOKUP(2406,季財報!$A:$H,8,0)</f>
        <v>5</v>
      </c>
      <c r="F413" s="160">
        <v>4.713333333333334E-2</v>
      </c>
      <c r="G413" s="153">
        <v>9456136363.636364</v>
      </c>
      <c r="H413" s="153">
        <v>17276548000</v>
      </c>
      <c r="I413" s="151">
        <v>0.54733945482838142</v>
      </c>
      <c r="J413" s="153">
        <v>17.642045454545453</v>
      </c>
    </row>
    <row r="414" spans="1:10" hidden="1">
      <c r="A414" s="64">
        <v>8059</v>
      </c>
      <c r="B414" s="52">
        <v>0.19</v>
      </c>
      <c r="C414" s="161">
        <v>0.5636363636363636</v>
      </c>
      <c r="D414" s="158">
        <v>94736842.105263159</v>
      </c>
      <c r="E414" s="26">
        <f>VLOOKUP(8059,季財報!$A:$H,8,0)</f>
        <v>1</v>
      </c>
      <c r="F414" s="161">
        <v>-8.2483333333333325E-2</v>
      </c>
      <c r="G414" s="54">
        <v>1051578947.3684211</v>
      </c>
      <c r="H414" s="54">
        <v>1916770000</v>
      </c>
      <c r="I414" s="65">
        <v>0.54862030779301696</v>
      </c>
      <c r="J414" s="163">
        <v>25.912563667232597</v>
      </c>
    </row>
    <row r="415" spans="1:10" hidden="1">
      <c r="A415" s="64">
        <v>6121</v>
      </c>
      <c r="B415" s="52">
        <v>2.5099999999999998</v>
      </c>
      <c r="C415" s="161">
        <v>0.72040133779264215</v>
      </c>
      <c r="D415" s="158">
        <v>307968127.49003989</v>
      </c>
      <c r="E415" s="26">
        <f>VLOOKUP(6121,季財報!$A:$H,8,0)</f>
        <v>2</v>
      </c>
      <c r="F415" s="161">
        <v>1.0766666666666669E-2</v>
      </c>
      <c r="G415" s="54">
        <v>36186254980.079689</v>
      </c>
      <c r="H415" s="54">
        <v>65898099000</v>
      </c>
      <c r="I415" s="65">
        <v>0.54912441374188481</v>
      </c>
      <c r="J415" s="163">
        <v>16.245371346554361</v>
      </c>
    </row>
    <row r="416" spans="1:10" hidden="1">
      <c r="A416" s="64">
        <v>4141</v>
      </c>
      <c r="B416" s="52">
        <v>-1.98</v>
      </c>
      <c r="C416" s="161">
        <v>0</v>
      </c>
      <c r="D416" s="158">
        <v>152020202.02020201</v>
      </c>
      <c r="E416" s="26">
        <f>VLOOKUP(4141,季財報!$A:$H,8,0)</f>
        <v>1</v>
      </c>
      <c r="F416" s="161">
        <v>0.15031666666666668</v>
      </c>
      <c r="G416" s="54">
        <v>6050404040.4040394</v>
      </c>
      <c r="H416" s="54">
        <v>11002983000</v>
      </c>
      <c r="I416" s="65">
        <v>0.54988761142356024</v>
      </c>
      <c r="J416" s="163">
        <v>0</v>
      </c>
    </row>
    <row r="417" spans="1:10" hidden="1">
      <c r="A417" s="64">
        <v>8289</v>
      </c>
      <c r="B417" s="52">
        <v>0.54</v>
      </c>
      <c r="C417" s="161">
        <v>0.32727272727272727</v>
      </c>
      <c r="D417" s="158">
        <v>77777777.777777776</v>
      </c>
      <c r="E417" s="26">
        <f>VLOOKUP(8289,季財報!$A:$H,8,0)</f>
        <v>4</v>
      </c>
      <c r="F417" s="161">
        <v>5.7250000000000009E-3</v>
      </c>
      <c r="G417" s="54">
        <v>882777777.77777767</v>
      </c>
      <c r="H417" s="54">
        <v>1603212000</v>
      </c>
      <c r="I417" s="65">
        <v>0.55063071994082979</v>
      </c>
      <c r="J417" s="163">
        <v>16.055812757201647</v>
      </c>
    </row>
    <row r="418" spans="1:10" hidden="1">
      <c r="A418" s="64">
        <v>8930</v>
      </c>
      <c r="B418" s="52">
        <v>-0.19</v>
      </c>
      <c r="C418" s="161">
        <v>0.93333333333333335</v>
      </c>
      <c r="D418" s="158">
        <v>68421052.631578952</v>
      </c>
      <c r="E418" s="26">
        <f>VLOOKUP(8930,季財報!$A:$H,8,0)</f>
        <v>1</v>
      </c>
      <c r="F418" s="161">
        <v>2.1541666666666667E-2</v>
      </c>
      <c r="G418" s="54">
        <v>618526315.78947365</v>
      </c>
      <c r="H418" s="54">
        <v>1121306000</v>
      </c>
      <c r="I418" s="65">
        <v>0.55161241961558549</v>
      </c>
      <c r="J418" s="163">
        <v>0</v>
      </c>
    </row>
    <row r="419" spans="1:10" hidden="1">
      <c r="A419" s="64">
        <v>1905</v>
      </c>
      <c r="B419" s="151">
        <v>0.23</v>
      </c>
      <c r="C419" s="160">
        <v>0.77389277389277389</v>
      </c>
      <c r="D419" s="153">
        <v>1169565217.3913043</v>
      </c>
      <c r="E419" s="26">
        <f>VLOOKUP(1905,季財報!$A:$H,8,0)</f>
        <v>4</v>
      </c>
      <c r="F419" s="160">
        <v>9.0416666666666683E-3</v>
      </c>
      <c r="G419" s="153">
        <v>11683956521.73913</v>
      </c>
      <c r="H419" s="153">
        <v>21171538000</v>
      </c>
      <c r="I419" s="151">
        <v>0.55187093737541082</v>
      </c>
      <c r="J419" s="153">
        <v>14.031266369827133</v>
      </c>
    </row>
    <row r="420" spans="1:10" hidden="1">
      <c r="A420" s="64">
        <v>3437</v>
      </c>
      <c r="B420" s="151">
        <v>0.57999999999999996</v>
      </c>
      <c r="C420" s="160">
        <v>0.83720930232558144</v>
      </c>
      <c r="D420" s="153">
        <v>143103448.27586207</v>
      </c>
      <c r="E420" s="26">
        <f>VLOOKUP(3437,季財報!$A:$H,8,0)</f>
        <v>2</v>
      </c>
      <c r="F420" s="160">
        <v>-1.5250000000000005E-2</v>
      </c>
      <c r="G420" s="153">
        <v>3520344827.5862069</v>
      </c>
      <c r="H420" s="153">
        <v>6374651000</v>
      </c>
      <c r="I420" s="151">
        <v>0.55224118584471638</v>
      </c>
      <c r="J420" s="153">
        <v>12.665229885057473</v>
      </c>
    </row>
    <row r="421" spans="1:10" hidden="1">
      <c r="A421" s="64">
        <v>2006</v>
      </c>
      <c r="B421" s="151">
        <v>0.15</v>
      </c>
      <c r="C421" s="160">
        <v>0.90466926070038911</v>
      </c>
      <c r="D421" s="153">
        <v>1013333333.3333334</v>
      </c>
      <c r="E421" s="26">
        <f>VLOOKUP(2006,季財報!$A:$H,8,0)</f>
        <v>1</v>
      </c>
      <c r="F421" s="160">
        <v>7.4083333333333353E-3</v>
      </c>
      <c r="G421" s="153">
        <v>17834666666.666668</v>
      </c>
      <c r="H421" s="153">
        <v>32210252000</v>
      </c>
      <c r="I421" s="151">
        <v>0.55369534726604031</v>
      </c>
      <c r="J421" s="153">
        <v>32.424372759856638</v>
      </c>
    </row>
    <row r="422" spans="1:10" hidden="1">
      <c r="A422" s="64">
        <v>6274</v>
      </c>
      <c r="B422" s="52">
        <v>0.92</v>
      </c>
      <c r="C422" s="161">
        <v>0.99748743718592969</v>
      </c>
      <c r="D422" s="158">
        <v>241304347.82608694</v>
      </c>
      <c r="E422" s="26">
        <f>VLOOKUP(6274,季財報!$A:$H,8,0)</f>
        <v>3</v>
      </c>
      <c r="F422" s="161">
        <v>-5.8166666666666653E-3</v>
      </c>
      <c r="G422" s="54">
        <v>7202934782.608695</v>
      </c>
      <c r="H422" s="54">
        <v>12994730000</v>
      </c>
      <c r="I422" s="65">
        <v>0.5542966096724361</v>
      </c>
      <c r="J422" s="163">
        <v>8.1318448143686339</v>
      </c>
    </row>
    <row r="423" spans="1:10" hidden="1">
      <c r="A423" s="64">
        <v>1515</v>
      </c>
      <c r="B423" s="151">
        <v>0.66</v>
      </c>
      <c r="C423" s="160">
        <v>0.76851851851851849</v>
      </c>
      <c r="D423" s="153">
        <v>180303030.30303028</v>
      </c>
      <c r="E423" s="26">
        <f>VLOOKUP(1515,季財報!$A:$H,8,0)</f>
        <v>5</v>
      </c>
      <c r="F423" s="160">
        <v>6.5416666666666722E-3</v>
      </c>
      <c r="G423" s="153">
        <v>2010378787.8787878</v>
      </c>
      <c r="H423" s="153">
        <v>3622951000</v>
      </c>
      <c r="I423" s="151">
        <v>0.55490090478143028</v>
      </c>
      <c r="J423" s="153">
        <v>5.4956188389923328</v>
      </c>
    </row>
    <row r="424" spans="1:10" hidden="1">
      <c r="A424" s="64">
        <v>9919</v>
      </c>
      <c r="B424" s="52">
        <v>0.03</v>
      </c>
      <c r="C424" s="161">
        <v>1</v>
      </c>
      <c r="D424" s="158">
        <v>200000000</v>
      </c>
      <c r="E424" s="26">
        <f>VLOOKUP(9919,季財報!$A:$H,8,0)</f>
        <v>1</v>
      </c>
      <c r="F424" s="161">
        <v>8.8083333333333347E-3</v>
      </c>
      <c r="G424" s="54">
        <v>2370000000</v>
      </c>
      <c r="H424" s="54">
        <v>4269777000</v>
      </c>
      <c r="I424" s="65">
        <v>0.55506411693163371</v>
      </c>
      <c r="J424" s="163">
        <v>50</v>
      </c>
    </row>
    <row r="425" spans="1:10" hidden="1">
      <c r="A425" s="64">
        <v>2359</v>
      </c>
      <c r="B425" s="151">
        <v>0.6</v>
      </c>
      <c r="C425" s="160">
        <v>0.2231404958677686</v>
      </c>
      <c r="D425" s="153">
        <v>171666666.66666669</v>
      </c>
      <c r="E425" s="26">
        <f>VLOOKUP(2359,季財報!$A:$H,8,0)</f>
        <v>2</v>
      </c>
      <c r="F425" s="160">
        <v>-2.0683333333333331E-2</v>
      </c>
      <c r="G425" s="153">
        <v>2557833333.3333335</v>
      </c>
      <c r="H425" s="153">
        <v>4582768000</v>
      </c>
      <c r="I425" s="151">
        <v>0.55814157149856447</v>
      </c>
      <c r="J425" s="153">
        <v>27.822530864197528</v>
      </c>
    </row>
    <row r="426" spans="1:10" hidden="1">
      <c r="A426" s="64">
        <v>2345</v>
      </c>
      <c r="B426" s="151">
        <v>0.71</v>
      </c>
      <c r="C426" s="160">
        <v>0.9173553719008265</v>
      </c>
      <c r="D426" s="153">
        <v>535211267.60563385</v>
      </c>
      <c r="E426" s="26">
        <f>VLOOKUP(2345,季財報!$A:$H,8,0)</f>
        <v>4</v>
      </c>
      <c r="F426" s="160">
        <v>3.1391666666666665E-2</v>
      </c>
      <c r="G426" s="153">
        <v>13407042253.521128</v>
      </c>
      <c r="H426" s="153">
        <v>24020020000</v>
      </c>
      <c r="I426" s="151">
        <v>0.55816116112813929</v>
      </c>
      <c r="J426" s="153">
        <v>9.6150551960411121</v>
      </c>
    </row>
    <row r="427" spans="1:10" hidden="1">
      <c r="A427" s="64">
        <v>2067</v>
      </c>
      <c r="B427" s="151">
        <v>-0.25</v>
      </c>
      <c r="C427" s="160">
        <v>1</v>
      </c>
      <c r="D427" s="153">
        <v>32000000</v>
      </c>
      <c r="E427" s="26">
        <f>VLOOKUP(2067,季財報!$A:$H,8,0)</f>
        <v>2</v>
      </c>
      <c r="F427" s="160">
        <v>-4.7750000000000023E-3</v>
      </c>
      <c r="G427" s="153">
        <v>475200000</v>
      </c>
      <c r="H427" s="153">
        <v>848807000</v>
      </c>
      <c r="I427" s="151">
        <v>0.55984458186607788</v>
      </c>
      <c r="J427" s="153">
        <v>0</v>
      </c>
    </row>
    <row r="428" spans="1:10" hidden="1">
      <c r="A428" s="64">
        <v>1538</v>
      </c>
      <c r="B428" s="151">
        <v>1.77</v>
      </c>
      <c r="C428" s="160">
        <v>0</v>
      </c>
      <c r="D428" s="153">
        <v>83050847.457627118</v>
      </c>
      <c r="E428" s="26">
        <f>VLOOKUP(1538,季財報!$A:$H,8,0)</f>
        <v>2</v>
      </c>
      <c r="F428" s="160">
        <v>2.0125000000000004E-2</v>
      </c>
      <c r="G428" s="153">
        <v>440169491.52542371</v>
      </c>
      <c r="H428" s="153">
        <v>783786000</v>
      </c>
      <c r="I428" s="151">
        <v>0.5615939701977628</v>
      </c>
      <c r="J428" s="153">
        <v>0</v>
      </c>
    </row>
    <row r="429" spans="1:10" hidden="1">
      <c r="A429" s="64">
        <v>5603</v>
      </c>
      <c r="B429" s="52">
        <v>0.48</v>
      </c>
      <c r="C429" s="161">
        <v>1</v>
      </c>
      <c r="D429" s="158">
        <v>77083333.333333343</v>
      </c>
      <c r="E429" s="26">
        <f>VLOOKUP(5603,季財報!$A:$H,8,0)</f>
        <v>2</v>
      </c>
      <c r="F429" s="161">
        <v>1.0416666666666688E-3</v>
      </c>
      <c r="G429" s="54">
        <v>1190937500</v>
      </c>
      <c r="H429" s="54">
        <v>2118109000</v>
      </c>
      <c r="I429" s="65">
        <v>0.56226450102426273</v>
      </c>
      <c r="J429" s="163">
        <v>8.046875</v>
      </c>
    </row>
    <row r="430" spans="1:10" hidden="1">
      <c r="A430" s="64">
        <v>3431</v>
      </c>
      <c r="B430" s="151">
        <v>-1.47</v>
      </c>
      <c r="C430" s="160">
        <v>0.50724637681159424</v>
      </c>
      <c r="D430" s="153">
        <v>35374149.659863949</v>
      </c>
      <c r="E430" s="26">
        <f>VLOOKUP(3431,季財報!$A:$H,8,0)</f>
        <v>0</v>
      </c>
      <c r="F430" s="160">
        <v>-2.863333333333333E-2</v>
      </c>
      <c r="G430" s="153">
        <v>309523809.52380955</v>
      </c>
      <c r="H430" s="153">
        <v>550156000</v>
      </c>
      <c r="I430" s="151">
        <v>0.56261098583639835</v>
      </c>
      <c r="J430" s="153">
        <v>0</v>
      </c>
    </row>
    <row r="431" spans="1:10" hidden="1">
      <c r="A431" s="64">
        <v>5523</v>
      </c>
      <c r="B431" s="52">
        <v>-0.2</v>
      </c>
      <c r="C431" s="161">
        <v>0.55319148936170215</v>
      </c>
      <c r="D431" s="158">
        <v>115000000</v>
      </c>
      <c r="E431" s="26">
        <f>VLOOKUP(5523,季財報!$A:$H,8,0)</f>
        <v>0</v>
      </c>
      <c r="F431" s="161">
        <v>154.99079166666664</v>
      </c>
      <c r="G431" s="54">
        <v>920000000</v>
      </c>
      <c r="H431" s="54">
        <v>1634059000</v>
      </c>
      <c r="I431" s="65">
        <v>0.56301516652703487</v>
      </c>
      <c r="J431" s="163">
        <v>0</v>
      </c>
    </row>
    <row r="432" spans="1:10" hidden="1">
      <c r="A432" s="64">
        <v>5388</v>
      </c>
      <c r="B432" s="52">
        <v>1.89</v>
      </c>
      <c r="C432" s="161">
        <v>1</v>
      </c>
      <c r="D432" s="158">
        <v>233862433.86243388</v>
      </c>
      <c r="E432" s="26">
        <f>VLOOKUP(5388,季財報!$A:$H,8,0)</f>
        <v>5</v>
      </c>
      <c r="F432" s="161">
        <v>5.0708333333333334E-2</v>
      </c>
      <c r="G432" s="54">
        <v>18568677248.67725</v>
      </c>
      <c r="H432" s="54">
        <v>32910715000</v>
      </c>
      <c r="I432" s="65">
        <v>0.56421372943970527</v>
      </c>
      <c r="J432" s="163">
        <v>10.502645502645503</v>
      </c>
    </row>
    <row r="433" spans="1:10" hidden="1">
      <c r="A433" s="64">
        <v>3018</v>
      </c>
      <c r="B433" s="151">
        <v>-0.05</v>
      </c>
      <c r="C433" s="160">
        <v>1</v>
      </c>
      <c r="D433" s="153">
        <v>40000000</v>
      </c>
      <c r="E433" s="26">
        <f>VLOOKUP(3018,季財報!$A:$H,8,0)</f>
        <v>0</v>
      </c>
      <c r="F433" s="160">
        <v>1.015833333333333E-2</v>
      </c>
      <c r="G433" s="153">
        <v>702000000</v>
      </c>
      <c r="H433" s="153">
        <v>1243101000</v>
      </c>
      <c r="I433" s="151">
        <v>0.56471678487910471</v>
      </c>
      <c r="J433" s="153">
        <v>0</v>
      </c>
    </row>
    <row r="434" spans="1:10" hidden="1">
      <c r="A434" s="64">
        <v>4720</v>
      </c>
      <c r="B434" s="52">
        <v>0.5</v>
      </c>
      <c r="C434" s="161">
        <v>0.6470588235294118</v>
      </c>
      <c r="D434" s="158">
        <v>80000000</v>
      </c>
      <c r="E434" s="26">
        <f>VLOOKUP(4720,季財報!$A:$H,8,0)</f>
        <v>3</v>
      </c>
      <c r="F434" s="161">
        <v>3.4800000000000005E-2</v>
      </c>
      <c r="G434" s="54">
        <v>1388000000</v>
      </c>
      <c r="H434" s="54">
        <v>2454225000</v>
      </c>
      <c r="I434" s="65">
        <v>0.56555531787020341</v>
      </c>
      <c r="J434" s="163">
        <v>13.406818181818183</v>
      </c>
    </row>
    <row r="435" spans="1:10" hidden="1">
      <c r="A435" s="64">
        <v>1532</v>
      </c>
      <c r="B435" s="151">
        <v>0.87</v>
      </c>
      <c r="C435" s="160">
        <v>1</v>
      </c>
      <c r="D435" s="153">
        <v>393103448.2758621</v>
      </c>
      <c r="E435" s="26">
        <f>VLOOKUP(1532,季財報!$A:$H,8,0)</f>
        <v>4</v>
      </c>
      <c r="F435" s="160">
        <v>0.13217500000000001</v>
      </c>
      <c r="G435" s="153">
        <v>10653103448.275864</v>
      </c>
      <c r="H435" s="153">
        <v>18811503000</v>
      </c>
      <c r="I435" s="151">
        <v>0.56630793660006129</v>
      </c>
      <c r="J435" s="153">
        <v>7.7873563218390807</v>
      </c>
    </row>
    <row r="436" spans="1:10" hidden="1">
      <c r="A436" s="64">
        <v>3632</v>
      </c>
      <c r="B436" s="151">
        <v>1.05</v>
      </c>
      <c r="C436" s="160">
        <v>0.92307692307692313</v>
      </c>
      <c r="D436" s="153">
        <v>30476190.476190474</v>
      </c>
      <c r="E436" s="26">
        <f>VLOOKUP(3632,季財報!$A:$H,8,0)</f>
        <v>4</v>
      </c>
      <c r="F436" s="160">
        <v>4.370000000000001E-2</v>
      </c>
      <c r="G436" s="153">
        <v>816761904.76190472</v>
      </c>
      <c r="H436" s="153">
        <v>1440309000</v>
      </c>
      <c r="I436" s="151">
        <v>0.56707408254888692</v>
      </c>
      <c r="J436" s="153">
        <v>6.9126984126984121</v>
      </c>
    </row>
    <row r="437" spans="1:10" hidden="1">
      <c r="A437" s="64">
        <v>2206</v>
      </c>
      <c r="B437" s="151">
        <v>3.44</v>
      </c>
      <c r="C437" s="160">
        <v>0</v>
      </c>
      <c r="D437" s="153">
        <v>889534883.72093022</v>
      </c>
      <c r="E437" s="26">
        <f>VLOOKUP(2206,季財報!$A:$H,8,0)</f>
        <v>2</v>
      </c>
      <c r="F437" s="160">
        <v>1.4683333333333338E-2</v>
      </c>
      <c r="G437" s="153">
        <v>19747674418.604649</v>
      </c>
      <c r="H437" s="153">
        <v>34800266000</v>
      </c>
      <c r="I437" s="151">
        <v>0.5674575711175498</v>
      </c>
      <c r="J437" s="153">
        <v>0</v>
      </c>
    </row>
    <row r="438" spans="1:10" hidden="1">
      <c r="A438" s="64">
        <v>1310</v>
      </c>
      <c r="B438" s="151">
        <v>0.15</v>
      </c>
      <c r="C438" s="160">
        <v>1</v>
      </c>
      <c r="D438" s="153">
        <v>526666666.66666669</v>
      </c>
      <c r="E438" s="26">
        <f>VLOOKUP(1310,季財報!$A:$H,8,0)</f>
        <v>2</v>
      </c>
      <c r="F438" s="160">
        <v>6.2016666666666685E-2</v>
      </c>
      <c r="G438" s="153">
        <v>7320666666.666667</v>
      </c>
      <c r="H438" s="153">
        <v>12871099000</v>
      </c>
      <c r="I438" s="151">
        <v>0.56876780037716024</v>
      </c>
      <c r="J438" s="153">
        <v>23.166666666666668</v>
      </c>
    </row>
    <row r="439" spans="1:10" hidden="1">
      <c r="A439" s="64">
        <v>5521</v>
      </c>
      <c r="B439" s="52">
        <v>-0.1</v>
      </c>
      <c r="C439" s="161">
        <v>1</v>
      </c>
      <c r="D439" s="158">
        <v>340000000</v>
      </c>
      <c r="E439" s="26">
        <f>VLOOKUP(5521,季財報!$A:$H,8,0)</f>
        <v>0</v>
      </c>
      <c r="F439" s="161">
        <v>2.3333333333333331E-2</v>
      </c>
      <c r="G439" s="54">
        <v>3842000000.0000005</v>
      </c>
      <c r="H439" s="54">
        <v>6735591000</v>
      </c>
      <c r="I439" s="65">
        <v>0.57040280503967666</v>
      </c>
      <c r="J439" s="163">
        <v>0</v>
      </c>
    </row>
    <row r="440" spans="1:10" hidden="1">
      <c r="A440" s="64">
        <v>6215</v>
      </c>
      <c r="B440" s="52">
        <v>0.16</v>
      </c>
      <c r="C440" s="161">
        <v>1</v>
      </c>
      <c r="D440" s="158">
        <v>81250000</v>
      </c>
      <c r="E440" s="26">
        <f>VLOOKUP(6215,季財報!$A:$H,8,0)</f>
        <v>1</v>
      </c>
      <c r="F440" s="161">
        <v>1.7049999999999996E-2</v>
      </c>
      <c r="G440" s="54">
        <v>1040000000</v>
      </c>
      <c r="H440" s="54">
        <v>1814436000</v>
      </c>
      <c r="I440" s="65">
        <v>0.57318086722265216</v>
      </c>
      <c r="J440" s="163">
        <v>20</v>
      </c>
    </row>
    <row r="441" spans="1:10" hidden="1">
      <c r="A441" s="64">
        <v>5701</v>
      </c>
      <c r="B441" s="52">
        <v>-0.42</v>
      </c>
      <c r="C441" s="161">
        <v>0.91836734693877553</v>
      </c>
      <c r="D441" s="158">
        <v>259523809.52380952</v>
      </c>
      <c r="E441" s="26">
        <f>VLOOKUP(5701,季財報!$A:$H,8,0)</f>
        <v>2</v>
      </c>
      <c r="F441" s="161">
        <v>1.8925000000000001E-2</v>
      </c>
      <c r="G441" s="54">
        <v>887571428.57142854</v>
      </c>
      <c r="H441" s="54">
        <v>1547071000</v>
      </c>
      <c r="I441" s="65">
        <v>0.57371085656148202</v>
      </c>
      <c r="J441" s="163">
        <v>0</v>
      </c>
    </row>
    <row r="442" spans="1:10" hidden="1">
      <c r="A442" s="64">
        <v>2314</v>
      </c>
      <c r="B442" s="151">
        <v>0.36</v>
      </c>
      <c r="C442" s="160">
        <v>0</v>
      </c>
      <c r="D442" s="153">
        <v>402777777.77777779</v>
      </c>
      <c r="E442" s="26">
        <f>VLOOKUP(2314,季財報!$A:$H,8,0)</f>
        <v>4</v>
      </c>
      <c r="F442" s="160">
        <v>8.5583333333333275E-3</v>
      </c>
      <c r="G442" s="153">
        <v>3455833333.3333335</v>
      </c>
      <c r="H442" s="153">
        <v>6018047000</v>
      </c>
      <c r="I442" s="151">
        <v>0.57424498900279997</v>
      </c>
      <c r="J442" s="153">
        <v>0</v>
      </c>
    </row>
    <row r="443" spans="1:10" hidden="1">
      <c r="A443" s="64">
        <v>8176</v>
      </c>
      <c r="B443" s="52">
        <v>0.19</v>
      </c>
      <c r="C443" s="161">
        <v>1</v>
      </c>
      <c r="D443" s="158">
        <v>78947368.421052635</v>
      </c>
      <c r="E443" s="26">
        <f>VLOOKUP(8176,季財報!$A:$H,8,0)</f>
        <v>5</v>
      </c>
      <c r="F443" s="161">
        <v>9.2750000000000013E-2</v>
      </c>
      <c r="G443" s="54">
        <v>708157894.73684216</v>
      </c>
      <c r="H443" s="54">
        <v>1232447000</v>
      </c>
      <c r="I443" s="65">
        <v>0.57459500874020719</v>
      </c>
      <c r="J443" s="163">
        <v>11.80263157894737</v>
      </c>
    </row>
    <row r="444" spans="1:10" hidden="1">
      <c r="A444" s="64">
        <v>5515</v>
      </c>
      <c r="B444" s="52">
        <v>-0.18</v>
      </c>
      <c r="C444" s="161">
        <v>0.39285714285714285</v>
      </c>
      <c r="D444" s="158">
        <v>344444444.44444448</v>
      </c>
      <c r="E444" s="26">
        <f>VLOOKUP(5515,季財報!$A:$H,8,0)</f>
        <v>1</v>
      </c>
      <c r="F444" s="161">
        <v>-2.8916666666666674E-3</v>
      </c>
      <c r="G444" s="54">
        <v>3034555555.5555558</v>
      </c>
      <c r="H444" s="54">
        <v>5272482000</v>
      </c>
      <c r="I444" s="65">
        <v>0.57554592989706854</v>
      </c>
      <c r="J444" s="163">
        <v>0</v>
      </c>
    </row>
    <row r="445" spans="1:10" hidden="1">
      <c r="A445" s="64">
        <v>3580</v>
      </c>
      <c r="B445" s="151">
        <v>-0.19</v>
      </c>
      <c r="C445" s="160">
        <v>0.58536585365853655</v>
      </c>
      <c r="D445" s="153">
        <v>52631578.947368421</v>
      </c>
      <c r="E445" s="26">
        <f>VLOOKUP(3580,季財報!$A:$H,8,0)</f>
        <v>1</v>
      </c>
      <c r="F445" s="160">
        <v>0.11265833333333335</v>
      </c>
      <c r="G445" s="153">
        <v>317368421.05263162</v>
      </c>
      <c r="H445" s="153">
        <v>550804000</v>
      </c>
      <c r="I445" s="151">
        <v>0.57619120604177099</v>
      </c>
      <c r="J445" s="153">
        <v>0</v>
      </c>
    </row>
    <row r="446" spans="1:10" hidden="1">
      <c r="A446" s="64">
        <v>3305</v>
      </c>
      <c r="B446" s="151">
        <v>0.3</v>
      </c>
      <c r="C446" s="160">
        <v>1</v>
      </c>
      <c r="D446" s="153">
        <v>120000000</v>
      </c>
      <c r="E446" s="26">
        <f>VLOOKUP(3305,季財報!$A:$H,8,0)</f>
        <v>2</v>
      </c>
      <c r="F446" s="160">
        <v>-1.5708333333333335E-2</v>
      </c>
      <c r="G446" s="153">
        <v>2796000000</v>
      </c>
      <c r="H446" s="153">
        <v>4848907000</v>
      </c>
      <c r="I446" s="151">
        <v>0.57662479399996747</v>
      </c>
      <c r="J446" s="153">
        <v>19.416666666666668</v>
      </c>
    </row>
    <row r="447" spans="1:10" hidden="1">
      <c r="A447" s="64">
        <v>1417</v>
      </c>
      <c r="B447" s="151">
        <v>-0.34</v>
      </c>
      <c r="C447" s="160">
        <v>1</v>
      </c>
      <c r="D447" s="153">
        <v>379411764.70588231</v>
      </c>
      <c r="E447" s="26">
        <f>VLOOKUP(1417,季財報!$A:$H,8,0)</f>
        <v>1</v>
      </c>
      <c r="F447" s="160">
        <v>1.3408333333333333E-2</v>
      </c>
      <c r="G447" s="153">
        <v>2037441176.470588</v>
      </c>
      <c r="H447" s="153">
        <v>3524278000</v>
      </c>
      <c r="I447" s="151">
        <v>0.5781159081294347</v>
      </c>
      <c r="J447" s="153">
        <v>0</v>
      </c>
    </row>
    <row r="448" spans="1:10" hidden="1">
      <c r="A448" s="64">
        <v>8249</v>
      </c>
      <c r="B448" s="52">
        <v>1.1100000000000001</v>
      </c>
      <c r="C448" s="161">
        <v>0.55555555555555558</v>
      </c>
      <c r="D448" s="158">
        <v>127027027.02702701</v>
      </c>
      <c r="E448" s="26">
        <f>VLOOKUP(8249,季財報!$A:$H,8,0)</f>
        <v>4</v>
      </c>
      <c r="F448" s="161">
        <v>3.5516666666666662E-2</v>
      </c>
      <c r="G448" s="54">
        <v>2953378378.3783779</v>
      </c>
      <c r="H448" s="54">
        <v>5099503000</v>
      </c>
      <c r="I448" s="65">
        <v>0.57915023844056523</v>
      </c>
      <c r="J448" s="163">
        <v>9.4256756756756754</v>
      </c>
    </row>
    <row r="449" spans="1:10" hidden="1">
      <c r="A449" s="64">
        <v>3652</v>
      </c>
      <c r="B449" s="151">
        <v>0.03</v>
      </c>
      <c r="C449" s="160">
        <v>0.66666666666666663</v>
      </c>
      <c r="D449" s="153">
        <v>66666666.666666672</v>
      </c>
      <c r="E449" s="26">
        <f>VLOOKUP(3652,季財報!$A:$H,8,0)</f>
        <v>1</v>
      </c>
      <c r="F449" s="160">
        <v>4.246666666666666E-2</v>
      </c>
      <c r="G449" s="153">
        <v>1166666666.6666667</v>
      </c>
      <c r="H449" s="153">
        <v>2006525000</v>
      </c>
      <c r="I449" s="151">
        <v>0.58143639708783434</v>
      </c>
      <c r="J449" s="153">
        <v>50</v>
      </c>
    </row>
    <row r="450" spans="1:10" hidden="1">
      <c r="A450" s="64">
        <v>8905</v>
      </c>
      <c r="B450" s="52">
        <v>0.38</v>
      </c>
      <c r="C450" s="161">
        <v>0</v>
      </c>
      <c r="D450" s="158">
        <v>110526315.78947368</v>
      </c>
      <c r="E450" s="26">
        <f>VLOOKUP(8905,季財報!$A:$H,8,0)</f>
        <v>1</v>
      </c>
      <c r="F450" s="161">
        <v>-5.7408333333333332E-2</v>
      </c>
      <c r="G450" s="54">
        <v>1635789473.6842105</v>
      </c>
      <c r="H450" s="54">
        <v>2812983000</v>
      </c>
      <c r="I450" s="65">
        <v>0.58151416972097258</v>
      </c>
      <c r="J450" s="163">
        <v>0</v>
      </c>
    </row>
    <row r="451" spans="1:10" hidden="1">
      <c r="A451" s="64">
        <v>6168</v>
      </c>
      <c r="B451" s="52">
        <v>0.88</v>
      </c>
      <c r="C451" s="161">
        <v>0.75806451612903225</v>
      </c>
      <c r="D451" s="158">
        <v>203409090.90909091</v>
      </c>
      <c r="E451" s="26">
        <f>VLOOKUP(6168,季財報!$A:$H,8,0)</f>
        <v>5</v>
      </c>
      <c r="F451" s="161">
        <v>2.390833333333334E-2</v>
      </c>
      <c r="G451" s="54">
        <v>2532443181.8181815</v>
      </c>
      <c r="H451" s="54">
        <v>4349303000</v>
      </c>
      <c r="I451" s="65">
        <v>0.58226414251161196</v>
      </c>
      <c r="J451" s="163">
        <v>4.6657398452611218</v>
      </c>
    </row>
    <row r="452" spans="1:10" hidden="1">
      <c r="A452" s="64">
        <v>6285</v>
      </c>
      <c r="B452" s="52">
        <v>1.83</v>
      </c>
      <c r="C452" s="161">
        <v>0.78621378621378624</v>
      </c>
      <c r="D452" s="158">
        <v>330601092.89617485</v>
      </c>
      <c r="E452" s="26">
        <f>VLOOKUP(6285,季財報!$A:$H,8,0)</f>
        <v>4</v>
      </c>
      <c r="F452" s="161">
        <v>2.2541666666666668E-2</v>
      </c>
      <c r="G452" s="54">
        <v>29159016393.442623</v>
      </c>
      <c r="H452" s="54">
        <v>49979111000</v>
      </c>
      <c r="I452" s="65">
        <v>0.58342407077714176</v>
      </c>
      <c r="J452" s="163">
        <v>15.325577519945007</v>
      </c>
    </row>
    <row r="453" spans="1:10" hidden="1">
      <c r="A453" s="64">
        <v>2903</v>
      </c>
      <c r="B453" s="151">
        <v>0.51</v>
      </c>
      <c r="C453" s="160">
        <v>0.33487833140208573</v>
      </c>
      <c r="D453" s="153">
        <v>1427450980.3921568</v>
      </c>
      <c r="E453" s="26">
        <f>VLOOKUP(2903,季財報!$A:$H,8,0)</f>
        <v>2</v>
      </c>
      <c r="F453" s="160">
        <v>1.1966666666666662E-2</v>
      </c>
      <c r="G453" s="153">
        <v>26550588235.294121</v>
      </c>
      <c r="H453" s="153">
        <v>45140109000</v>
      </c>
      <c r="I453" s="151">
        <v>0.58818174841567439</v>
      </c>
      <c r="J453" s="153">
        <v>27.226745369428052</v>
      </c>
    </row>
    <row r="454" spans="1:10" hidden="1">
      <c r="A454" s="64">
        <v>8111</v>
      </c>
      <c r="B454" s="52">
        <v>-0.11</v>
      </c>
      <c r="C454" s="161">
        <v>1</v>
      </c>
      <c r="D454" s="158">
        <v>109090909.09090909</v>
      </c>
      <c r="E454" s="26">
        <f>VLOOKUP(8111,季財報!$A:$H,8,0)</f>
        <v>2</v>
      </c>
      <c r="F454" s="161">
        <v>-1.4783333333333338E-2</v>
      </c>
      <c r="G454" s="54">
        <v>478909090.90909088</v>
      </c>
      <c r="H454" s="54">
        <v>810678000</v>
      </c>
      <c r="I454" s="65">
        <v>0.59075131051920848</v>
      </c>
      <c r="J454" s="163">
        <v>0</v>
      </c>
    </row>
    <row r="455" spans="1:10" hidden="1">
      <c r="A455" s="64">
        <v>3056</v>
      </c>
      <c r="B455" s="151">
        <v>2.8</v>
      </c>
      <c r="C455" s="160">
        <v>0.97267759562841527</v>
      </c>
      <c r="D455" s="153">
        <v>199642857.14285716</v>
      </c>
      <c r="E455" s="26">
        <f>VLOOKUP(3056,季財報!$A:$H,8,0)</f>
        <v>0</v>
      </c>
      <c r="F455" s="160">
        <v>9.040166666666666</v>
      </c>
      <c r="G455" s="153">
        <v>2595357142.8571429</v>
      </c>
      <c r="H455" s="153">
        <v>4389356000</v>
      </c>
      <c r="I455" s="151">
        <v>0.59128426649766908</v>
      </c>
      <c r="J455" s="153">
        <v>1.1933186195826646</v>
      </c>
    </row>
    <row r="456" spans="1:10" hidden="1">
      <c r="A456" s="64">
        <v>3296</v>
      </c>
      <c r="B456" s="151">
        <v>0.37</v>
      </c>
      <c r="C456" s="160">
        <v>0</v>
      </c>
      <c r="D456" s="153">
        <v>110810810.81081082</v>
      </c>
      <c r="E456" s="26">
        <f>VLOOKUP(3296,季財報!$A:$H,8,0)</f>
        <v>2</v>
      </c>
      <c r="F456" s="160">
        <v>2.3041666666666672E-2</v>
      </c>
      <c r="G456" s="153">
        <v>1645540540.5405407</v>
      </c>
      <c r="H456" s="153">
        <v>2775035000</v>
      </c>
      <c r="I456" s="151">
        <v>0.5929801031484434</v>
      </c>
      <c r="J456" s="153">
        <v>0</v>
      </c>
    </row>
    <row r="457" spans="1:10" hidden="1">
      <c r="A457" s="64">
        <v>1465</v>
      </c>
      <c r="B457" s="151">
        <v>0.5</v>
      </c>
      <c r="C457" s="160">
        <v>0.375</v>
      </c>
      <c r="D457" s="153">
        <v>102000000</v>
      </c>
      <c r="E457" s="26">
        <f>VLOOKUP(1465,季財報!$A:$H,8,0)</f>
        <v>3</v>
      </c>
      <c r="F457" s="160">
        <v>2.7666666666666673E-2</v>
      </c>
      <c r="G457" s="153">
        <v>1443300000</v>
      </c>
      <c r="H457" s="153">
        <v>2433203000</v>
      </c>
      <c r="I457" s="151">
        <v>0.5931687573950879</v>
      </c>
      <c r="J457" s="153">
        <v>18.866666666666667</v>
      </c>
    </row>
    <row r="458" spans="1:10" hidden="1">
      <c r="A458" s="64">
        <v>2724</v>
      </c>
      <c r="B458" s="151">
        <v>-1.72</v>
      </c>
      <c r="C458" s="160">
        <v>0.88461538461538458</v>
      </c>
      <c r="D458" s="153">
        <v>38372093.023255818</v>
      </c>
      <c r="E458" s="26">
        <f>VLOOKUP(2724,季財報!$A:$H,8,0)</f>
        <v>3</v>
      </c>
      <c r="F458" s="160">
        <v>7.391666666666667E-3</v>
      </c>
      <c r="G458" s="153">
        <v>556395348.83720934</v>
      </c>
      <c r="H458" s="153">
        <v>934630000</v>
      </c>
      <c r="I458" s="151">
        <v>0.59531081694061749</v>
      </c>
      <c r="J458" s="153">
        <v>0</v>
      </c>
    </row>
    <row r="459" spans="1:10" hidden="1">
      <c r="A459" s="64">
        <v>2385</v>
      </c>
      <c r="B459" s="151">
        <v>1.25</v>
      </c>
      <c r="C459" s="160">
        <v>0.78403001071811362</v>
      </c>
      <c r="D459" s="153">
        <v>664800000</v>
      </c>
      <c r="E459" s="26">
        <f>VLOOKUP(2385,季財報!$A:$H,8,0)</f>
        <v>1</v>
      </c>
      <c r="F459" s="160">
        <v>3.1750000000000003E-3</v>
      </c>
      <c r="G459" s="153">
        <v>49328160000</v>
      </c>
      <c r="H459" s="153">
        <v>82836161000</v>
      </c>
      <c r="I459" s="151">
        <v>0.59549065775754628</v>
      </c>
      <c r="J459" s="153">
        <v>18.927846889952153</v>
      </c>
    </row>
    <row r="460" spans="1:10" hidden="1">
      <c r="A460" s="64">
        <v>3557</v>
      </c>
      <c r="B460" s="151">
        <v>-0.1</v>
      </c>
      <c r="C460" s="160">
        <v>1</v>
      </c>
      <c r="D460" s="153">
        <v>110000000</v>
      </c>
      <c r="E460" s="26">
        <f>VLOOKUP(3557,季財報!$A:$H,8,0)</f>
        <v>2</v>
      </c>
      <c r="F460" s="160">
        <v>-1.206666666666667E-2</v>
      </c>
      <c r="G460" s="153">
        <v>456500000.00000006</v>
      </c>
      <c r="H460" s="153">
        <v>766493000</v>
      </c>
      <c r="I460" s="151">
        <v>0.59556969209112154</v>
      </c>
      <c r="J460" s="153">
        <v>0</v>
      </c>
    </row>
    <row r="461" spans="1:10" hidden="1">
      <c r="A461" s="64">
        <v>3284</v>
      </c>
      <c r="B461" s="151">
        <v>1.26</v>
      </c>
      <c r="C461" s="160">
        <v>4.3478260869565216E-2</v>
      </c>
      <c r="D461" s="153">
        <v>57142857.142857142</v>
      </c>
      <c r="E461" s="26">
        <f>VLOOKUP(3284,季財報!$A:$H,8,0)</f>
        <v>4</v>
      </c>
      <c r="F461" s="160">
        <v>-1.9625E-2</v>
      </c>
      <c r="G461" s="153">
        <v>548000000</v>
      </c>
      <c r="H461" s="153">
        <v>920090000</v>
      </c>
      <c r="I461" s="151">
        <v>0.59559390929148237</v>
      </c>
      <c r="J461" s="153">
        <v>43.763888888888893</v>
      </c>
    </row>
    <row r="462" spans="1:10" hidden="1">
      <c r="A462" s="64">
        <v>9955</v>
      </c>
      <c r="B462" s="52">
        <v>-0.23</v>
      </c>
      <c r="C462" s="161">
        <v>0.98305084745762716</v>
      </c>
      <c r="D462" s="158">
        <v>100000000</v>
      </c>
      <c r="E462" s="26">
        <f>VLOOKUP(9955,季財報!$A:$H,8,0)</f>
        <v>2</v>
      </c>
      <c r="F462" s="161">
        <v>7.481666666666667E-2</v>
      </c>
      <c r="G462" s="54">
        <v>1510000000</v>
      </c>
      <c r="H462" s="54">
        <v>2533729000</v>
      </c>
      <c r="I462" s="65">
        <v>0.59595955210679596</v>
      </c>
      <c r="J462" s="163">
        <v>0</v>
      </c>
    </row>
    <row r="463" spans="1:10" hidden="1">
      <c r="A463" s="64">
        <v>1592</v>
      </c>
      <c r="B463" s="151">
        <v>0.87</v>
      </c>
      <c r="C463" s="160">
        <v>1</v>
      </c>
      <c r="D463" s="153">
        <v>100000000</v>
      </c>
      <c r="E463" s="26">
        <f>VLOOKUP(1592,季財報!$A:$H,8,0)</f>
        <v>3</v>
      </c>
      <c r="F463" s="160">
        <v>2.069166666666666E-2</v>
      </c>
      <c r="G463" s="153">
        <v>3010000000</v>
      </c>
      <c r="H463" s="153">
        <v>5041865000</v>
      </c>
      <c r="I463" s="151">
        <v>0.59700130804771645</v>
      </c>
      <c r="J463" s="153">
        <v>8.6494252873563227</v>
      </c>
    </row>
    <row r="464" spans="1:10" hidden="1">
      <c r="A464" s="64">
        <v>3051</v>
      </c>
      <c r="B464" s="151">
        <v>0.41</v>
      </c>
      <c r="C464" s="160">
        <v>1</v>
      </c>
      <c r="D464" s="153">
        <v>326829268.29268295</v>
      </c>
      <c r="E464" s="26">
        <f>VLOOKUP(3051,季財報!$A:$H,8,0)</f>
        <v>2</v>
      </c>
      <c r="F464" s="160">
        <v>-3.4300000000000004E-2</v>
      </c>
      <c r="G464" s="153">
        <v>2320487804.8780489</v>
      </c>
      <c r="H464" s="153">
        <v>3886527000</v>
      </c>
      <c r="I464" s="151">
        <v>0.59705948392434915</v>
      </c>
      <c r="J464" s="153">
        <v>4.3292682926829267</v>
      </c>
    </row>
    <row r="465" spans="1:10" hidden="1">
      <c r="A465" s="64">
        <v>1454</v>
      </c>
      <c r="B465" s="151">
        <v>0.19</v>
      </c>
      <c r="C465" s="160">
        <v>0.69841269841269837</v>
      </c>
      <c r="D465" s="153">
        <v>131578947.36842105</v>
      </c>
      <c r="E465" s="26">
        <f>VLOOKUP(1454,季財報!$A:$H,8,0)</f>
        <v>1</v>
      </c>
      <c r="F465" s="160">
        <v>-5.6916666666666678E-3</v>
      </c>
      <c r="G465" s="153">
        <v>1257894736.8421054</v>
      </c>
      <c r="H465" s="153">
        <v>2106356000</v>
      </c>
      <c r="I465" s="151">
        <v>0.59718999867168954</v>
      </c>
      <c r="J465" s="153">
        <v>18.010765550239235</v>
      </c>
    </row>
    <row r="466" spans="1:10" hidden="1">
      <c r="A466" s="64">
        <v>8155</v>
      </c>
      <c r="B466" s="52">
        <v>0.33</v>
      </c>
      <c r="C466" s="161">
        <v>0.5</v>
      </c>
      <c r="D466" s="158">
        <v>51515151.515151516</v>
      </c>
      <c r="E466" s="26">
        <f>VLOOKUP(8155,季財報!$A:$H,8,0)</f>
        <v>3</v>
      </c>
      <c r="F466" s="161">
        <v>-1.3333333333333336E-2</v>
      </c>
      <c r="G466" s="54">
        <v>963333333.33333325</v>
      </c>
      <c r="H466" s="54">
        <v>1604718000</v>
      </c>
      <c r="I466" s="65">
        <v>0.6003131599030691</v>
      </c>
      <c r="J466" s="163">
        <v>28.333333333333332</v>
      </c>
    </row>
    <row r="467" spans="1:10" hidden="1">
      <c r="A467" s="64">
        <v>4927</v>
      </c>
      <c r="B467" s="52">
        <v>2.02</v>
      </c>
      <c r="C467" s="161">
        <v>1</v>
      </c>
      <c r="D467" s="158">
        <v>122772277.22772276</v>
      </c>
      <c r="E467" s="26">
        <f>VLOOKUP(4927,季財報!$A:$H,8,0)</f>
        <v>3</v>
      </c>
      <c r="F467" s="161">
        <v>3.0258333333333328E-2</v>
      </c>
      <c r="G467" s="54">
        <v>5138019801.9801979</v>
      </c>
      <c r="H467" s="54">
        <v>8556645000</v>
      </c>
      <c r="I467" s="65">
        <v>0.60047130645015634</v>
      </c>
      <c r="J467" s="163">
        <v>5.1794554455445549</v>
      </c>
    </row>
    <row r="468" spans="1:10" hidden="1">
      <c r="A468" s="64">
        <v>5243</v>
      </c>
      <c r="B468" s="52">
        <v>0.46</v>
      </c>
      <c r="C468" s="161">
        <v>0.52903225806451615</v>
      </c>
      <c r="D468" s="158">
        <v>176086956.52173913</v>
      </c>
      <c r="E468" s="26">
        <f>VLOOKUP(5243,季財報!$A:$H,8,0)</f>
        <v>1</v>
      </c>
      <c r="F468" s="161">
        <v>1.5583333333333345E-3</v>
      </c>
      <c r="G468" s="54">
        <v>5168152173.913044</v>
      </c>
      <c r="H468" s="54">
        <v>8600330000</v>
      </c>
      <c r="I468" s="65">
        <v>0.60092486845423887</v>
      </c>
      <c r="J468" s="163">
        <v>30.15144485683987</v>
      </c>
    </row>
    <row r="469" spans="1:10" hidden="1">
      <c r="A469" s="64">
        <v>4711</v>
      </c>
      <c r="B469" s="52">
        <v>0.28000000000000003</v>
      </c>
      <c r="C469" s="161">
        <v>0.85</v>
      </c>
      <c r="D469" s="158">
        <v>60714285.714285709</v>
      </c>
      <c r="E469" s="26">
        <f>VLOOKUP(4711,季財報!$A:$H,8,0)</f>
        <v>3</v>
      </c>
      <c r="F469" s="161">
        <v>-9.4916666666666621E-3</v>
      </c>
      <c r="G469" s="54">
        <v>737678571.42857134</v>
      </c>
      <c r="H469" s="54">
        <v>1223323000</v>
      </c>
      <c r="I469" s="65">
        <v>0.6030121001800598</v>
      </c>
      <c r="J469" s="163">
        <v>12.762605042016807</v>
      </c>
    </row>
    <row r="470" spans="1:10" hidden="1">
      <c r="A470" s="64">
        <v>8110</v>
      </c>
      <c r="B470" s="52">
        <v>0.31</v>
      </c>
      <c r="C470" s="161">
        <v>0</v>
      </c>
      <c r="D470" s="158">
        <v>487096774.19354838</v>
      </c>
      <c r="E470" s="26">
        <f>VLOOKUP(8110,季財報!$A:$H,8,0)</f>
        <v>4</v>
      </c>
      <c r="F470" s="161">
        <v>-1.7408333333333331E-2</v>
      </c>
      <c r="G470" s="54">
        <v>4846612903.2258062</v>
      </c>
      <c r="H470" s="54">
        <v>8015984000</v>
      </c>
      <c r="I470" s="65">
        <v>0.60461858497045484</v>
      </c>
      <c r="J470" s="163">
        <v>0</v>
      </c>
    </row>
    <row r="471" spans="1:10" hidden="1">
      <c r="A471" s="64">
        <v>2351</v>
      </c>
      <c r="B471" s="151">
        <v>1.0900000000000001</v>
      </c>
      <c r="C471" s="160">
        <v>0.87187499999999996</v>
      </c>
      <c r="D471" s="153">
        <v>182568807.33944952</v>
      </c>
      <c r="E471" s="26">
        <f>VLOOKUP(2351,季財報!$A:$H,8,0)</f>
        <v>2</v>
      </c>
      <c r="F471" s="160">
        <v>-1.394166666666667E-2</v>
      </c>
      <c r="G471" s="153">
        <v>5413165137.6146784</v>
      </c>
      <c r="H471" s="153">
        <v>8948629000</v>
      </c>
      <c r="I471" s="151">
        <v>0.60491558400897816</v>
      </c>
      <c r="J471" s="153">
        <v>7.7998092795370093</v>
      </c>
    </row>
    <row r="472" spans="1:10" hidden="1">
      <c r="A472" s="64">
        <v>2427</v>
      </c>
      <c r="B472" s="151">
        <v>0.12</v>
      </c>
      <c r="C472" s="160">
        <v>0</v>
      </c>
      <c r="D472" s="153">
        <v>191666666.66666669</v>
      </c>
      <c r="E472" s="26">
        <f>VLOOKUP(2427,季財報!$A:$H,8,0)</f>
        <v>3</v>
      </c>
      <c r="F472" s="160">
        <v>0.17390833333333336</v>
      </c>
      <c r="G472" s="153">
        <v>1209416666.6666667</v>
      </c>
      <c r="H472" s="153">
        <v>1979858000</v>
      </c>
      <c r="I472" s="151">
        <v>0.61086030749006581</v>
      </c>
      <c r="J472" s="153">
        <v>0</v>
      </c>
    </row>
    <row r="473" spans="1:10" hidden="1">
      <c r="A473" s="64">
        <v>6283</v>
      </c>
      <c r="B473" s="52">
        <v>-0.08</v>
      </c>
      <c r="C473" s="161">
        <v>1</v>
      </c>
      <c r="D473" s="158">
        <v>125000000</v>
      </c>
      <c r="E473" s="26">
        <f>VLOOKUP(6283,季財報!$A:$H,8,0)</f>
        <v>2</v>
      </c>
      <c r="F473" s="161">
        <v>1.5016666666666659E-2</v>
      </c>
      <c r="G473" s="54">
        <v>593750000</v>
      </c>
      <c r="H473" s="54">
        <v>971826000</v>
      </c>
      <c r="I473" s="65">
        <v>0.61096327943479589</v>
      </c>
      <c r="J473" s="163">
        <v>0</v>
      </c>
    </row>
    <row r="474" spans="1:10" hidden="1">
      <c r="A474" s="64">
        <v>6151</v>
      </c>
      <c r="B474" s="52">
        <v>0.64</v>
      </c>
      <c r="C474" s="161">
        <v>1</v>
      </c>
      <c r="D474" s="158">
        <v>54687500</v>
      </c>
      <c r="E474" s="26">
        <f>VLOOKUP(6151,季財報!$A:$H,8,0)</f>
        <v>2</v>
      </c>
      <c r="F474" s="161">
        <v>1.2891666666666668E-2</v>
      </c>
      <c r="G474" s="54">
        <v>1205859375</v>
      </c>
      <c r="H474" s="54">
        <v>1973099000</v>
      </c>
      <c r="I474" s="65">
        <v>0.61114996003748423</v>
      </c>
      <c r="J474" s="163">
        <v>8.61328125</v>
      </c>
    </row>
    <row r="475" spans="1:10" hidden="1">
      <c r="A475" s="64">
        <v>6248</v>
      </c>
      <c r="B475" s="52">
        <v>0.54</v>
      </c>
      <c r="C475" s="161">
        <v>1</v>
      </c>
      <c r="D475" s="158">
        <v>35185185.185185187</v>
      </c>
      <c r="E475" s="26">
        <f>VLOOKUP(6248,季財報!$A:$H,8,0)</f>
        <v>2</v>
      </c>
      <c r="F475" s="161">
        <v>5.2916666666666572E-3</v>
      </c>
      <c r="G475" s="54">
        <v>809259259.25925934</v>
      </c>
      <c r="H475" s="54">
        <v>1320765000</v>
      </c>
      <c r="I475" s="65">
        <v>0.61272009726125343</v>
      </c>
      <c r="J475" s="163">
        <v>10.648148148148147</v>
      </c>
    </row>
    <row r="476" spans="1:10" hidden="1">
      <c r="A476" s="64">
        <v>2329</v>
      </c>
      <c r="B476" s="151">
        <v>0.26</v>
      </c>
      <c r="C476" s="160">
        <v>1</v>
      </c>
      <c r="D476" s="153">
        <v>815384615.3846153</v>
      </c>
      <c r="E476" s="26">
        <f>VLOOKUP(2329,季財報!$A:$H,8,0)</f>
        <v>2</v>
      </c>
      <c r="F476" s="160">
        <v>1.4533333333333334E-2</v>
      </c>
      <c r="G476" s="153">
        <v>9662307692.3076916</v>
      </c>
      <c r="H476" s="153">
        <v>15743777000</v>
      </c>
      <c r="I476" s="151">
        <v>0.61372234199631326</v>
      </c>
      <c r="J476" s="153">
        <v>11.394230769230768</v>
      </c>
    </row>
    <row r="477" spans="1:10" hidden="1">
      <c r="A477" s="64">
        <v>8929</v>
      </c>
      <c r="B477" s="52">
        <v>0.17</v>
      </c>
      <c r="C477" s="161">
        <v>1</v>
      </c>
      <c r="D477" s="158">
        <v>35294117.647058822</v>
      </c>
      <c r="E477" s="26">
        <f>VLOOKUP(8929,季財報!$A:$H,8,0)</f>
        <v>1</v>
      </c>
      <c r="F477" s="161">
        <v>3.6466666666666675E-2</v>
      </c>
      <c r="G477" s="54">
        <v>822352941.17647064</v>
      </c>
      <c r="H477" s="54">
        <v>1339928000</v>
      </c>
      <c r="I477" s="65">
        <v>0.61372920125295582</v>
      </c>
      <c r="J477" s="163">
        <v>34.264705882352942</v>
      </c>
    </row>
    <row r="478" spans="1:10" hidden="1">
      <c r="A478" s="64">
        <v>2313</v>
      </c>
      <c r="B478" s="151">
        <v>0.8</v>
      </c>
      <c r="C478" s="160">
        <v>1</v>
      </c>
      <c r="D478" s="153">
        <v>1192500000</v>
      </c>
      <c r="E478" s="26">
        <f>VLOOKUP(2313,季財報!$A:$H,8,0)</f>
        <v>6</v>
      </c>
      <c r="F478" s="160">
        <v>3.6741666666666666E-2</v>
      </c>
      <c r="G478" s="153">
        <v>25996500000</v>
      </c>
      <c r="H478" s="153">
        <v>42216798000</v>
      </c>
      <c r="I478" s="151">
        <v>0.61578568796240774</v>
      </c>
      <c r="J478" s="153">
        <v>6.8125</v>
      </c>
    </row>
    <row r="479" spans="1:10" hidden="1">
      <c r="A479" s="64">
        <v>4712</v>
      </c>
      <c r="B479" s="52">
        <v>-7.0000000000000007E-2</v>
      </c>
      <c r="C479" s="161">
        <v>1</v>
      </c>
      <c r="D479" s="158">
        <v>99999999.999999985</v>
      </c>
      <c r="E479" s="26">
        <f>VLOOKUP(4712,季財報!$A:$H,8,0)</f>
        <v>2</v>
      </c>
      <c r="F479" s="161">
        <v>-4.5766666666666671E-2</v>
      </c>
      <c r="G479" s="54">
        <v>729999999.99999988</v>
      </c>
      <c r="H479" s="54">
        <v>1185445000</v>
      </c>
      <c r="I479" s="65">
        <v>0.61580250454470675</v>
      </c>
      <c r="J479" s="163">
        <v>0</v>
      </c>
    </row>
    <row r="480" spans="1:10" hidden="1">
      <c r="A480" s="64">
        <v>3149</v>
      </c>
      <c r="B480" s="151">
        <v>-2.1</v>
      </c>
      <c r="C480" s="160">
        <v>0.28907563025210087</v>
      </c>
      <c r="D480" s="153">
        <v>268571428.57142854</v>
      </c>
      <c r="E480" s="26">
        <f>VLOOKUP(3149,季財報!$A:$H,8,0)</f>
        <v>3</v>
      </c>
      <c r="F480" s="160">
        <v>2.8516666666666666E-2</v>
      </c>
      <c r="G480" s="153">
        <v>3639142857.1428571</v>
      </c>
      <c r="H480" s="153">
        <v>5908204000</v>
      </c>
      <c r="I480" s="151">
        <v>0.61594739402073073</v>
      </c>
      <c r="J480" s="153">
        <v>0</v>
      </c>
    </row>
    <row r="481" spans="1:10" hidden="1">
      <c r="A481" s="64">
        <v>2380</v>
      </c>
      <c r="B481" s="151">
        <v>-0.08</v>
      </c>
      <c r="C481" s="160">
        <v>1</v>
      </c>
      <c r="D481" s="153">
        <v>212500000</v>
      </c>
      <c r="E481" s="26">
        <f>VLOOKUP(2380,季財報!$A:$H,8,0)</f>
        <v>2</v>
      </c>
      <c r="F481" s="160">
        <v>2.2974999999999999E-2</v>
      </c>
      <c r="G481" s="153">
        <v>1572500000</v>
      </c>
      <c r="H481" s="153">
        <v>2544951000</v>
      </c>
      <c r="I481" s="151">
        <v>0.61789008904297171</v>
      </c>
      <c r="J481" s="153">
        <v>0</v>
      </c>
    </row>
    <row r="482" spans="1:10" hidden="1">
      <c r="A482" s="64">
        <v>5443</v>
      </c>
      <c r="B482" s="52">
        <v>0.73</v>
      </c>
      <c r="C482" s="161">
        <v>1</v>
      </c>
      <c r="D482" s="158">
        <v>164383561.64383563</v>
      </c>
      <c r="E482" s="26">
        <f>VLOOKUP(5443,季財報!$A:$H,8,0)</f>
        <v>4</v>
      </c>
      <c r="F482" s="161">
        <v>0.13092499999999999</v>
      </c>
      <c r="G482" s="54">
        <v>2186301369.8630142</v>
      </c>
      <c r="H482" s="54">
        <v>3531329000</v>
      </c>
      <c r="I482" s="65">
        <v>0.61911574080551945</v>
      </c>
      <c r="J482" s="163">
        <v>4.5547945205479454</v>
      </c>
    </row>
    <row r="483" spans="1:10" hidden="1">
      <c r="A483" s="64">
        <v>1402</v>
      </c>
      <c r="B483" s="151">
        <v>0.15</v>
      </c>
      <c r="C483" s="160">
        <v>0.56670416197975249</v>
      </c>
      <c r="D483" s="153">
        <v>5160000000</v>
      </c>
      <c r="E483" s="26">
        <f>VLOOKUP(1402,季財報!$A:$H,8,0)</f>
        <v>1</v>
      </c>
      <c r="F483" s="160">
        <v>5.6666666666666662E-3</v>
      </c>
      <c r="G483" s="153">
        <v>136740000000</v>
      </c>
      <c r="H483" s="153">
        <v>220475311000</v>
      </c>
      <c r="I483" s="151">
        <v>0.62020549774845313</v>
      </c>
      <c r="J483" s="153">
        <v>50</v>
      </c>
    </row>
    <row r="484" spans="1:10" hidden="1">
      <c r="A484" s="64">
        <v>6506</v>
      </c>
      <c r="B484" s="52">
        <v>0.11</v>
      </c>
      <c r="C484" s="161">
        <v>1</v>
      </c>
      <c r="D484" s="158">
        <v>63636363.636363633</v>
      </c>
      <c r="E484" s="26">
        <f>VLOOKUP(6506,季財報!$A:$H,8,0)</f>
        <v>1</v>
      </c>
      <c r="F484" s="161">
        <v>3.0541666666666661E-2</v>
      </c>
      <c r="G484" s="54">
        <v>1196363636.3636363</v>
      </c>
      <c r="H484" s="54">
        <v>1926247000</v>
      </c>
      <c r="I484" s="65">
        <v>0.62108526910808237</v>
      </c>
      <c r="J484" s="163">
        <v>42.727272727272727</v>
      </c>
    </row>
    <row r="485" spans="1:10" hidden="1">
      <c r="A485" s="64">
        <v>6160</v>
      </c>
      <c r="B485" s="52">
        <v>0.02</v>
      </c>
      <c r="C485" s="161">
        <v>1</v>
      </c>
      <c r="D485" s="158">
        <v>50000000</v>
      </c>
      <c r="E485" s="26">
        <f>VLOOKUP(6160,季財報!$A:$H,8,0)</f>
        <v>3</v>
      </c>
      <c r="F485" s="161">
        <v>7.8916666666666649E-3</v>
      </c>
      <c r="G485" s="54">
        <v>680000000</v>
      </c>
      <c r="H485" s="54">
        <v>1091857000</v>
      </c>
      <c r="I485" s="65">
        <v>0.62279217882927895</v>
      </c>
      <c r="J485" s="163">
        <v>50</v>
      </c>
    </row>
    <row r="486" spans="1:10" hidden="1">
      <c r="A486" s="64">
        <v>2364</v>
      </c>
      <c r="B486" s="151">
        <v>-0.2</v>
      </c>
      <c r="C486" s="160">
        <v>1</v>
      </c>
      <c r="D486" s="153">
        <v>185000000</v>
      </c>
      <c r="E486" s="26">
        <f>VLOOKUP(2364,季財報!$A:$H,8,0)</f>
        <v>4</v>
      </c>
      <c r="F486" s="160">
        <v>6.8266666666666684E-2</v>
      </c>
      <c r="G486" s="153">
        <v>490250000</v>
      </c>
      <c r="H486" s="153">
        <v>784795000</v>
      </c>
      <c r="I486" s="151">
        <v>0.62468542740460886</v>
      </c>
      <c r="J486" s="153">
        <v>0</v>
      </c>
    </row>
    <row r="487" spans="1:10" hidden="1">
      <c r="A487" s="64">
        <v>4755</v>
      </c>
      <c r="B487" s="52">
        <v>0.68</v>
      </c>
      <c r="C487" s="161">
        <v>0.68224299065420557</v>
      </c>
      <c r="D487" s="158">
        <v>89705882.35294117</v>
      </c>
      <c r="E487" s="26">
        <f>VLOOKUP(4755,季財報!$A:$H,8,0)</f>
        <v>3</v>
      </c>
      <c r="F487" s="161">
        <v>6.1833333333333297E-3</v>
      </c>
      <c r="G487" s="54">
        <v>2152941176.4705882</v>
      </c>
      <c r="H487" s="54">
        <v>3443417000</v>
      </c>
      <c r="I487" s="65">
        <v>0.62523393956369155</v>
      </c>
      <c r="J487" s="163">
        <v>12.933118452860596</v>
      </c>
    </row>
    <row r="488" spans="1:10" hidden="1">
      <c r="A488" s="64">
        <v>6209</v>
      </c>
      <c r="B488" s="52">
        <v>-0.25</v>
      </c>
      <c r="C488" s="161">
        <v>0.43243243243243246</v>
      </c>
      <c r="D488" s="158">
        <v>164000000</v>
      </c>
      <c r="E488" s="26">
        <f>VLOOKUP(6209,季財報!$A:$H,8,0)</f>
        <v>0</v>
      </c>
      <c r="F488" s="161">
        <v>2.5533333333333338E-2</v>
      </c>
      <c r="G488" s="54">
        <v>2615800000</v>
      </c>
      <c r="H488" s="54">
        <v>4158135000</v>
      </c>
      <c r="I488" s="65">
        <v>0.62908010442181406</v>
      </c>
      <c r="J488" s="163">
        <v>0</v>
      </c>
    </row>
    <row r="489" spans="1:10" hidden="1">
      <c r="A489" s="64">
        <v>3206</v>
      </c>
      <c r="B489" s="151">
        <v>0.67</v>
      </c>
      <c r="C489" s="160">
        <v>0.7846153846153846</v>
      </c>
      <c r="D489" s="153">
        <v>43283582.089552239</v>
      </c>
      <c r="E489" s="26">
        <f>VLOOKUP(3206,季財報!$A:$H,8,0)</f>
        <v>0</v>
      </c>
      <c r="F489" s="160">
        <v>3.5150000000000001E-2</v>
      </c>
      <c r="G489" s="153">
        <v>982537313.43283582</v>
      </c>
      <c r="H489" s="153">
        <v>1561380000</v>
      </c>
      <c r="I489" s="151">
        <v>0.62927494487750313</v>
      </c>
      <c r="J489" s="153">
        <v>10.795288264559556</v>
      </c>
    </row>
    <row r="490" spans="1:10">
      <c r="A490" s="64">
        <v>3338</v>
      </c>
      <c r="B490" s="151">
        <v>0.7</v>
      </c>
      <c r="C490" s="160">
        <v>0.69491525423728817</v>
      </c>
      <c r="D490" s="153">
        <v>70000000</v>
      </c>
      <c r="E490" s="26">
        <f>VLOOKUP(3338,季財報!$A:$H,8,0)</f>
        <v>5</v>
      </c>
      <c r="F490" s="160">
        <v>2.0249999999999994E-2</v>
      </c>
      <c r="G490" s="153">
        <v>1582000000</v>
      </c>
      <c r="H490" s="153">
        <v>2509048000</v>
      </c>
      <c r="I490" s="151">
        <v>0.63051802914890431</v>
      </c>
      <c r="J490" s="153">
        <v>11.614982578397214</v>
      </c>
    </row>
    <row r="491" spans="1:10" hidden="1">
      <c r="A491" s="64">
        <v>6432</v>
      </c>
      <c r="B491" s="52">
        <v>1.58</v>
      </c>
      <c r="C491" s="161">
        <v>0.65853658536585369</v>
      </c>
      <c r="D491" s="158">
        <v>18987341.772151899</v>
      </c>
      <c r="E491" s="26">
        <f>VLOOKUP(6432,季財報!$A:$H,8,0)</f>
        <v>6</v>
      </c>
      <c r="F491" s="161">
        <v>2.450833333333333E-2</v>
      </c>
      <c r="G491" s="54">
        <v>604746835.44303799</v>
      </c>
      <c r="H491" s="54">
        <v>957567000</v>
      </c>
      <c r="I491" s="65">
        <v>0.63154519260066189</v>
      </c>
      <c r="J491" s="163">
        <v>7.6526605719643692</v>
      </c>
    </row>
    <row r="492" spans="1:10" hidden="1">
      <c r="A492" s="64">
        <v>1312</v>
      </c>
      <c r="B492" s="151">
        <v>0.16</v>
      </c>
      <c r="C492" s="160">
        <v>0.93392504930966469</v>
      </c>
      <c r="D492" s="153">
        <v>900000000</v>
      </c>
      <c r="E492" s="26">
        <f>VLOOKUP(1312,季財報!$A:$H,8,0)</f>
        <v>2</v>
      </c>
      <c r="F492" s="160">
        <v>-3.7699999999999997E-2</v>
      </c>
      <c r="G492" s="153">
        <v>12960000000</v>
      </c>
      <c r="H492" s="153">
        <v>20498199000</v>
      </c>
      <c r="I492" s="151">
        <v>0.63225066748547032</v>
      </c>
      <c r="J492" s="153">
        <v>24.091869060190074</v>
      </c>
    </row>
    <row r="493" spans="1:10" hidden="1">
      <c r="A493" s="64">
        <v>3268</v>
      </c>
      <c r="B493" s="151">
        <v>0.47</v>
      </c>
      <c r="C493" s="160">
        <v>1</v>
      </c>
      <c r="D493" s="153">
        <v>34042553.191489361</v>
      </c>
      <c r="E493" s="26">
        <f>VLOOKUP(3268,季財報!$A:$H,8,0)</f>
        <v>2</v>
      </c>
      <c r="F493" s="160">
        <v>0.10871666666666664</v>
      </c>
      <c r="G493" s="153">
        <v>497021276.59574467</v>
      </c>
      <c r="H493" s="153">
        <v>785871000</v>
      </c>
      <c r="I493" s="151">
        <v>0.63244638954197907</v>
      </c>
      <c r="J493" s="153">
        <v>7.7659574468085113</v>
      </c>
    </row>
    <row r="494" spans="1:10" hidden="1">
      <c r="A494" s="64">
        <v>6247</v>
      </c>
      <c r="B494" s="52">
        <v>0.96</v>
      </c>
      <c r="C494" s="161">
        <v>0.44736842105263158</v>
      </c>
      <c r="D494" s="158">
        <v>60416666.666666672</v>
      </c>
      <c r="E494" s="26">
        <f>VLOOKUP(6247,季財報!$A:$H,8,0)</f>
        <v>3</v>
      </c>
      <c r="F494" s="161">
        <v>3.1649999999999984E-2</v>
      </c>
      <c r="G494" s="54">
        <v>873020833.33333337</v>
      </c>
      <c r="H494" s="54">
        <v>1380203000</v>
      </c>
      <c r="I494" s="65">
        <v>0.63253074608107163</v>
      </c>
      <c r="J494" s="163">
        <v>8.4114583333333339</v>
      </c>
    </row>
    <row r="495" spans="1:10" hidden="1">
      <c r="A495" s="64">
        <v>5438</v>
      </c>
      <c r="B495" s="52">
        <v>1.1100000000000001</v>
      </c>
      <c r="C495" s="161">
        <v>0.50314465408805031</v>
      </c>
      <c r="D495" s="158">
        <v>112612612.61261261</v>
      </c>
      <c r="E495" s="26">
        <f>VLOOKUP(5438,季財報!$A:$H,8,0)</f>
        <v>4</v>
      </c>
      <c r="F495" s="161">
        <v>9.7850000000000006E-2</v>
      </c>
      <c r="G495" s="54">
        <v>1554054054.054054</v>
      </c>
      <c r="H495" s="54">
        <v>2455185000</v>
      </c>
      <c r="I495" s="65">
        <v>0.63296820974959278</v>
      </c>
      <c r="J495" s="163">
        <v>6.177364864864864</v>
      </c>
    </row>
    <row r="496" spans="1:10" hidden="1">
      <c r="A496" s="64">
        <v>6284</v>
      </c>
      <c r="B496" s="52">
        <v>0.57999999999999996</v>
      </c>
      <c r="C496" s="161">
        <v>0</v>
      </c>
      <c r="D496" s="158">
        <v>94827586.206896558</v>
      </c>
      <c r="E496" s="26">
        <f>VLOOKUP(6284,季財報!$A:$H,8,0)</f>
        <v>4</v>
      </c>
      <c r="F496" s="161">
        <v>6.5916666666666667E-3</v>
      </c>
      <c r="G496" s="54">
        <v>2200000000</v>
      </c>
      <c r="H496" s="54">
        <v>3469152000</v>
      </c>
      <c r="I496" s="65">
        <v>0.63416074014629509</v>
      </c>
      <c r="J496" s="163">
        <v>0</v>
      </c>
    </row>
    <row r="497" spans="1:10" hidden="1">
      <c r="A497" s="64">
        <v>3661</v>
      </c>
      <c r="B497" s="151">
        <v>1.51</v>
      </c>
      <c r="C497" s="160">
        <v>0.85321100917431192</v>
      </c>
      <c r="D497" s="153">
        <v>61589403.97350993</v>
      </c>
      <c r="E497" s="26">
        <f>VLOOKUP(3661,季財報!$A:$H,8,0)</f>
        <v>2</v>
      </c>
      <c r="F497" s="160">
        <v>1.6841666666666665E-2</v>
      </c>
      <c r="G497" s="153">
        <v>2525165562.9139071</v>
      </c>
      <c r="H497" s="153">
        <v>3979036000</v>
      </c>
      <c r="I497" s="151">
        <v>0.6346174206299986</v>
      </c>
      <c r="J497" s="153">
        <v>7.955921099480169</v>
      </c>
    </row>
    <row r="498" spans="1:10" hidden="1">
      <c r="A498" s="64">
        <v>8084</v>
      </c>
      <c r="B498" s="52">
        <v>-0.53</v>
      </c>
      <c r="C498" s="161">
        <v>1</v>
      </c>
      <c r="D498" s="158">
        <v>54716981.132075466</v>
      </c>
      <c r="E498" s="26">
        <f>VLOOKUP(8084,季財報!$A:$H,8,0)</f>
        <v>1</v>
      </c>
      <c r="F498" s="161">
        <v>0.10124166666666666</v>
      </c>
      <c r="G498" s="54">
        <v>1258490566.0377357</v>
      </c>
      <c r="H498" s="54">
        <v>1982772000</v>
      </c>
      <c r="I498" s="65">
        <v>0.63471269820117271</v>
      </c>
      <c r="J498" s="163">
        <v>0</v>
      </c>
    </row>
    <row r="499" spans="1:10" hidden="1">
      <c r="A499" s="64">
        <v>3115</v>
      </c>
      <c r="B499" s="151">
        <v>-0.09</v>
      </c>
      <c r="C499" s="160">
        <v>0</v>
      </c>
      <c r="D499" s="153">
        <v>44444444.444444448</v>
      </c>
      <c r="E499" s="26">
        <f>VLOOKUP(3115,季財報!$A:$H,8,0)</f>
        <v>1</v>
      </c>
      <c r="F499" s="160">
        <v>5.5966666666666665E-2</v>
      </c>
      <c r="G499" s="153">
        <v>566666666.66666675</v>
      </c>
      <c r="H499" s="153">
        <v>891961000</v>
      </c>
      <c r="I499" s="151">
        <v>0.63530430889541889</v>
      </c>
      <c r="J499" s="153">
        <v>0</v>
      </c>
    </row>
    <row r="500" spans="1:10" hidden="1">
      <c r="A500" s="64">
        <v>4722</v>
      </c>
      <c r="B500" s="52">
        <v>1.31</v>
      </c>
      <c r="C500" s="161">
        <v>0.78306878306878303</v>
      </c>
      <c r="D500" s="158">
        <v>88549618.320610687</v>
      </c>
      <c r="E500" s="26">
        <f>VLOOKUP(4722,季財報!$A:$H,8,0)</f>
        <v>3</v>
      </c>
      <c r="F500" s="161">
        <v>-1.7416666666666657E-3</v>
      </c>
      <c r="G500" s="54">
        <v>2953129770.9923663</v>
      </c>
      <c r="H500" s="54">
        <v>4639300000</v>
      </c>
      <c r="I500" s="65">
        <v>0.63654641238815479</v>
      </c>
      <c r="J500" s="163">
        <v>8.1276433876624719</v>
      </c>
    </row>
    <row r="501" spans="1:10" hidden="1">
      <c r="A501" s="64">
        <v>6117</v>
      </c>
      <c r="B501" s="52">
        <v>-0.49</v>
      </c>
      <c r="C501" s="161">
        <v>1</v>
      </c>
      <c r="D501" s="158">
        <v>87755102.040816322</v>
      </c>
      <c r="E501" s="26">
        <f>VLOOKUP(6117,季財報!$A:$H,8,0)</f>
        <v>3</v>
      </c>
      <c r="F501" s="161">
        <v>2.4349999999999993E-2</v>
      </c>
      <c r="G501" s="54">
        <v>1316326530.6122448</v>
      </c>
      <c r="H501" s="54">
        <v>2064658000</v>
      </c>
      <c r="I501" s="65">
        <v>0.63755185149901095</v>
      </c>
      <c r="J501" s="163">
        <v>0</v>
      </c>
    </row>
    <row r="502" spans="1:10" hidden="1">
      <c r="A502" s="64">
        <v>2349</v>
      </c>
      <c r="B502" s="151">
        <v>-0.22</v>
      </c>
      <c r="C502" s="160">
        <v>1</v>
      </c>
      <c r="D502" s="153">
        <v>2668181818.181818</v>
      </c>
      <c r="E502" s="26">
        <f>VLOOKUP(2349,季財報!$A:$H,8,0)</f>
        <v>0</v>
      </c>
      <c r="F502" s="160">
        <v>-2.3616666666666664E-2</v>
      </c>
      <c r="G502" s="153">
        <v>7150727272.727273</v>
      </c>
      <c r="H502" s="153">
        <v>11213096000</v>
      </c>
      <c r="I502" s="151">
        <v>0.63771212453075166</v>
      </c>
      <c r="J502" s="153">
        <v>0</v>
      </c>
    </row>
    <row r="503" spans="1:10" hidden="1">
      <c r="A503" s="64">
        <v>6116</v>
      </c>
      <c r="B503" s="52">
        <v>-0.22</v>
      </c>
      <c r="C503" s="161">
        <v>1</v>
      </c>
      <c r="D503" s="158">
        <v>3213636363.6363635</v>
      </c>
      <c r="E503" s="26">
        <f>VLOOKUP(6116,季財報!$A:$H,8,0)</f>
        <v>2</v>
      </c>
      <c r="F503" s="161">
        <v>-2.3599999999999999E-2</v>
      </c>
      <c r="G503" s="54">
        <v>12051136363.636364</v>
      </c>
      <c r="H503" s="54">
        <v>18895279000</v>
      </c>
      <c r="I503" s="65">
        <v>0.6377855740386984</v>
      </c>
      <c r="J503" s="163">
        <v>0</v>
      </c>
    </row>
    <row r="504" spans="1:10" hidden="1">
      <c r="A504" s="64">
        <v>3622</v>
      </c>
      <c r="B504" s="151">
        <v>-1.32</v>
      </c>
      <c r="C504" s="160">
        <v>0.98102466793168885</v>
      </c>
      <c r="D504" s="153">
        <v>151515151.5151515</v>
      </c>
      <c r="E504" s="26">
        <f>VLOOKUP(3622,季財報!$A:$H,8,0)</f>
        <v>2</v>
      </c>
      <c r="F504" s="160">
        <v>2.8666666666666719E-3</v>
      </c>
      <c r="G504" s="153">
        <v>1727272727.2727273</v>
      </c>
      <c r="H504" s="153">
        <v>2703315000</v>
      </c>
      <c r="I504" s="151">
        <v>0.6389461558393037</v>
      </c>
      <c r="J504" s="153">
        <v>0</v>
      </c>
    </row>
    <row r="505" spans="1:10" hidden="1">
      <c r="A505" s="64">
        <v>1604</v>
      </c>
      <c r="B505" s="151">
        <v>0.26</v>
      </c>
      <c r="C505" s="160">
        <v>0.33950617283950618</v>
      </c>
      <c r="D505" s="153">
        <v>500000000</v>
      </c>
      <c r="E505" s="26">
        <f>VLOOKUP(1604,季財報!$A:$H,8,0)</f>
        <v>1</v>
      </c>
      <c r="F505" s="160">
        <v>5.6500000000000022E-3</v>
      </c>
      <c r="G505" s="153">
        <v>6250000000</v>
      </c>
      <c r="H505" s="153">
        <v>9759286000</v>
      </c>
      <c r="I505" s="151">
        <v>0.64041570254217373</v>
      </c>
      <c r="J505" s="153">
        <v>35.4020979020979</v>
      </c>
    </row>
    <row r="506" spans="1:10" hidden="1">
      <c r="A506" s="64">
        <v>2109</v>
      </c>
      <c r="B506" s="151">
        <v>0.02</v>
      </c>
      <c r="C506" s="160">
        <v>1</v>
      </c>
      <c r="D506" s="153">
        <v>350000000</v>
      </c>
      <c r="E506" s="26">
        <f>VLOOKUP(2109,季財報!$A:$H,8,0)</f>
        <v>1</v>
      </c>
      <c r="F506" s="160">
        <v>-5.266666666666666E-3</v>
      </c>
      <c r="G506" s="153">
        <v>4305000000</v>
      </c>
      <c r="H506" s="153">
        <v>6689692000</v>
      </c>
      <c r="I506" s="151">
        <v>0.64352738511728191</v>
      </c>
      <c r="J506" s="153">
        <v>50</v>
      </c>
    </row>
    <row r="507" spans="1:10" hidden="1">
      <c r="A507" s="64">
        <v>9958</v>
      </c>
      <c r="B507" s="52">
        <v>0.48</v>
      </c>
      <c r="C507" s="161">
        <v>1</v>
      </c>
      <c r="D507" s="158">
        <v>185416666.66666669</v>
      </c>
      <c r="E507" s="26">
        <f>VLOOKUP(9958,季財報!$A:$H,8,0)</f>
        <v>4</v>
      </c>
      <c r="F507" s="161">
        <v>5.192500000000002E-2</v>
      </c>
      <c r="G507" s="54">
        <v>1852312500.0000002</v>
      </c>
      <c r="H507" s="54">
        <v>2872436000</v>
      </c>
      <c r="I507" s="65">
        <v>0.64485770962346955</v>
      </c>
      <c r="J507" s="163">
        <v>5.203125</v>
      </c>
    </row>
    <row r="508" spans="1:10" hidden="1">
      <c r="A508" s="64">
        <v>2369</v>
      </c>
      <c r="B508" s="151">
        <v>-0.03</v>
      </c>
      <c r="C508" s="160">
        <v>1</v>
      </c>
      <c r="D508" s="153">
        <v>366666666.66666669</v>
      </c>
      <c r="E508" s="26">
        <f>VLOOKUP(2369,季財報!$A:$H,8,0)</f>
        <v>2</v>
      </c>
      <c r="F508" s="160">
        <v>-3.1249999999999993E-3</v>
      </c>
      <c r="G508" s="153">
        <v>3560333333.333334</v>
      </c>
      <c r="H508" s="153">
        <v>5519574000</v>
      </c>
      <c r="I508" s="151">
        <v>0.64503770278889894</v>
      </c>
      <c r="J508" s="153">
        <v>0</v>
      </c>
    </row>
    <row r="509" spans="1:10" hidden="1">
      <c r="A509" s="64">
        <v>1232</v>
      </c>
      <c r="B509" s="151">
        <v>1.72</v>
      </c>
      <c r="C509" s="160">
        <v>0.85365853658536583</v>
      </c>
      <c r="D509" s="153">
        <v>159302325.58139536</v>
      </c>
      <c r="E509" s="26">
        <f>VLOOKUP(1232,季財報!$A:$H,8,0)</f>
        <v>3</v>
      </c>
      <c r="F509" s="160">
        <v>-1.0858333333333331E-2</v>
      </c>
      <c r="G509" s="153">
        <v>11899883720.930233</v>
      </c>
      <c r="H509" s="153">
        <v>18441823000</v>
      </c>
      <c r="I509" s="151">
        <v>0.64526612802488303</v>
      </c>
      <c r="J509" s="153">
        <v>12.718853820598007</v>
      </c>
    </row>
    <row r="510" spans="1:10">
      <c r="A510" s="64">
        <v>3032</v>
      </c>
      <c r="B510" s="151">
        <v>0.84</v>
      </c>
      <c r="C510" s="160">
        <v>0.54782608695652169</v>
      </c>
      <c r="D510" s="153">
        <v>103571428.57142858</v>
      </c>
      <c r="E510" s="26">
        <f>VLOOKUP(3032,季財報!$A:$H,8,0)</f>
        <v>4</v>
      </c>
      <c r="F510" s="160">
        <v>4.6383333333333332E-2</v>
      </c>
      <c r="G510" s="153">
        <v>2268214285.7142859</v>
      </c>
      <c r="H510" s="153">
        <v>3511795000</v>
      </c>
      <c r="I510" s="151">
        <v>0.64588459341000426</v>
      </c>
      <c r="J510" s="153">
        <v>11.897675736961451</v>
      </c>
    </row>
    <row r="511" spans="1:10" hidden="1">
      <c r="A511" s="64">
        <v>8940</v>
      </c>
      <c r="B511" s="52">
        <v>-1.19</v>
      </c>
      <c r="C511" s="161">
        <v>1</v>
      </c>
      <c r="D511" s="158">
        <v>68067226.890756309</v>
      </c>
      <c r="E511" s="26">
        <f>VLOOKUP(8940,季財報!$A:$H,8,0)</f>
        <v>1</v>
      </c>
      <c r="F511" s="161">
        <v>0.16168333333333332</v>
      </c>
      <c r="G511" s="54">
        <v>1068655462.1848741</v>
      </c>
      <c r="H511" s="54">
        <v>1651732000</v>
      </c>
      <c r="I511" s="65">
        <v>0.64699083276516656</v>
      </c>
      <c r="J511" s="163">
        <v>0</v>
      </c>
    </row>
    <row r="512" spans="1:10" hidden="1">
      <c r="A512" s="64">
        <v>1333</v>
      </c>
      <c r="B512" s="151">
        <v>0.02</v>
      </c>
      <c r="C512" s="160">
        <v>1</v>
      </c>
      <c r="D512" s="153">
        <v>100000000</v>
      </c>
      <c r="E512" s="26">
        <f>VLOOKUP(1333,季財報!$A:$H,8,0)</f>
        <v>3</v>
      </c>
      <c r="F512" s="160">
        <v>-1.0541666666666666E-2</v>
      </c>
      <c r="G512" s="153">
        <v>590000000</v>
      </c>
      <c r="H512" s="153">
        <v>911507000</v>
      </c>
      <c r="I512" s="151">
        <v>0.64727972467572936</v>
      </c>
      <c r="J512" s="153">
        <v>50</v>
      </c>
    </row>
    <row r="513" spans="1:10" hidden="1">
      <c r="A513" s="64">
        <v>3607</v>
      </c>
      <c r="B513" s="151">
        <v>1.39</v>
      </c>
      <c r="C513" s="160">
        <v>0.86173633440514474</v>
      </c>
      <c r="D513" s="153">
        <v>123741007.19424461</v>
      </c>
      <c r="E513" s="26">
        <f>VLOOKUP(3607,季財報!$A:$H,8,0)</f>
        <v>2</v>
      </c>
      <c r="F513" s="160">
        <v>1.3725000000000001E-2</v>
      </c>
      <c r="G513" s="153">
        <v>6830503597.122303</v>
      </c>
      <c r="H513" s="153">
        <v>10530263000</v>
      </c>
      <c r="I513" s="151">
        <v>0.64865460597919566</v>
      </c>
      <c r="J513" s="153">
        <v>11.520992161494686</v>
      </c>
    </row>
    <row r="514" spans="1:10" hidden="1">
      <c r="A514" s="64">
        <v>1709</v>
      </c>
      <c r="B514" s="151">
        <v>0.59</v>
      </c>
      <c r="C514" s="160">
        <v>0.87763713080168781</v>
      </c>
      <c r="D514" s="153">
        <v>428813559.32203394</v>
      </c>
      <c r="E514" s="26">
        <f>VLOOKUP(1709,季財報!$A:$H,8,0)</f>
        <v>2</v>
      </c>
      <c r="F514" s="160">
        <v>3.3233333333333337E-2</v>
      </c>
      <c r="G514" s="153">
        <v>6239237288.1355944</v>
      </c>
      <c r="H514" s="153">
        <v>9593580000</v>
      </c>
      <c r="I514" s="151">
        <v>0.650355476072081</v>
      </c>
      <c r="J514" s="153">
        <v>7.0248329530638856</v>
      </c>
    </row>
    <row r="515" spans="1:10" hidden="1">
      <c r="A515" s="64">
        <v>8093</v>
      </c>
      <c r="B515" s="52">
        <v>0.39</v>
      </c>
      <c r="C515" s="161">
        <v>1</v>
      </c>
      <c r="D515" s="158">
        <v>64102564.102564104</v>
      </c>
      <c r="E515" s="26">
        <f>VLOOKUP(8093,季財報!$A:$H,8,0)</f>
        <v>5</v>
      </c>
      <c r="F515" s="161">
        <v>1.065E-2</v>
      </c>
      <c r="G515" s="54">
        <v>368589743.58974361</v>
      </c>
      <c r="H515" s="54">
        <v>565357000</v>
      </c>
      <c r="I515" s="65">
        <v>0.65195928163928918</v>
      </c>
      <c r="J515" s="163">
        <v>3.6858974358974357</v>
      </c>
    </row>
    <row r="516" spans="1:10" hidden="1">
      <c r="A516" s="64">
        <v>1451</v>
      </c>
      <c r="B516" s="151">
        <v>0.81</v>
      </c>
      <c r="C516" s="160">
        <v>0.67385444743935308</v>
      </c>
      <c r="D516" s="153">
        <v>401234567.90123457</v>
      </c>
      <c r="E516" s="26">
        <f>VLOOKUP(1451,季財報!$A:$H,8,0)</f>
        <v>3</v>
      </c>
      <c r="F516" s="160">
        <v>1.1399999999999995E-2</v>
      </c>
      <c r="G516" s="153">
        <v>8365740740.7407417</v>
      </c>
      <c r="H516" s="153">
        <v>12825707000</v>
      </c>
      <c r="I516" s="151">
        <v>0.65226351582339603</v>
      </c>
      <c r="J516" s="153">
        <v>9.5498148148148143</v>
      </c>
    </row>
    <row r="517" spans="1:10" hidden="1">
      <c r="A517" s="64">
        <v>3038</v>
      </c>
      <c r="B517" s="151">
        <v>0.48</v>
      </c>
      <c r="C517" s="160">
        <v>0.4315068493150685</v>
      </c>
      <c r="D517" s="153">
        <v>214583333.33333334</v>
      </c>
      <c r="E517" s="26">
        <f>VLOOKUP(3038,季財報!$A:$H,8,0)</f>
        <v>3</v>
      </c>
      <c r="F517" s="160">
        <v>-6.2999999999999974E-3</v>
      </c>
      <c r="G517" s="153">
        <v>2242395833.3333335</v>
      </c>
      <c r="H517" s="153">
        <v>3435854000</v>
      </c>
      <c r="I517" s="151">
        <v>0.65264584389596692</v>
      </c>
      <c r="J517" s="153">
        <v>12.613260582010582</v>
      </c>
    </row>
    <row r="518" spans="1:10" hidden="1">
      <c r="A518" s="64">
        <v>8411</v>
      </c>
      <c r="B518" s="52">
        <v>0.51</v>
      </c>
      <c r="C518" s="161">
        <v>0.94230769230769229</v>
      </c>
      <c r="D518" s="158">
        <v>152941176.47058824</v>
      </c>
      <c r="E518" s="26">
        <f>VLOOKUP(8411,季財報!$A:$H,8,0)</f>
        <v>5</v>
      </c>
      <c r="F518" s="161">
        <v>4.6724999999999996E-2</v>
      </c>
      <c r="G518" s="54">
        <v>3930588235.2941175</v>
      </c>
      <c r="H518" s="54">
        <v>6013863000</v>
      </c>
      <c r="I518" s="65">
        <v>0.65358792431655288</v>
      </c>
      <c r="J518" s="163">
        <v>13.369347739095637</v>
      </c>
    </row>
    <row r="519" spans="1:10" hidden="1">
      <c r="A519" s="64">
        <v>8092</v>
      </c>
      <c r="B519" s="52">
        <v>-0.16</v>
      </c>
      <c r="C519" s="161">
        <v>0.6875</v>
      </c>
      <c r="D519" s="158">
        <v>37500000</v>
      </c>
      <c r="E519" s="26">
        <f>VLOOKUP(8092,季財報!$A:$H,8,0)</f>
        <v>2</v>
      </c>
      <c r="F519" s="161">
        <v>9.9683333333333304E-2</v>
      </c>
      <c r="G519" s="54">
        <v>277875000</v>
      </c>
      <c r="H519" s="54">
        <v>424523000</v>
      </c>
      <c r="I519" s="65">
        <v>0.65455817470431521</v>
      </c>
      <c r="J519" s="163">
        <v>0</v>
      </c>
    </row>
    <row r="520" spans="1:10" hidden="1">
      <c r="A520" s="64">
        <v>3059</v>
      </c>
      <c r="B520" s="156">
        <v>0.73</v>
      </c>
      <c r="C520" s="160">
        <v>0.89495798319327735</v>
      </c>
      <c r="D520" s="157">
        <v>269863013.69863015</v>
      </c>
      <c r="E520" s="26">
        <f>VLOOKUP(3059,季財報!$A:$H,8,0)</f>
        <v>3</v>
      </c>
      <c r="F520" s="160">
        <v>2.6191666666666665E-2</v>
      </c>
      <c r="G520" s="157">
        <v>8379246575.3424664</v>
      </c>
      <c r="H520" s="157">
        <v>12785213000</v>
      </c>
      <c r="I520" s="156">
        <v>0.65538576286077255</v>
      </c>
      <c r="J520" s="157">
        <v>11.88163225930928</v>
      </c>
    </row>
    <row r="521" spans="1:10" hidden="1">
      <c r="A521" s="64">
        <v>2375</v>
      </c>
      <c r="B521" s="151">
        <v>0.06</v>
      </c>
      <c r="C521" s="160">
        <v>0.6</v>
      </c>
      <c r="D521" s="153">
        <v>66666666.666666672</v>
      </c>
      <c r="E521" s="26">
        <f>VLOOKUP(2375,季財報!$A:$H,8,0)</f>
        <v>1</v>
      </c>
      <c r="F521" s="160">
        <v>3.3624999999999995E-2</v>
      </c>
      <c r="G521" s="153">
        <v>973333333.33333337</v>
      </c>
      <c r="H521" s="153">
        <v>1479482000</v>
      </c>
      <c r="I521" s="151">
        <v>0.65788791842910788</v>
      </c>
      <c r="J521" s="153">
        <v>50</v>
      </c>
    </row>
    <row r="522" spans="1:10" hidden="1">
      <c r="A522" s="64">
        <v>2393</v>
      </c>
      <c r="B522" s="151">
        <v>0.96</v>
      </c>
      <c r="C522" s="160">
        <v>0.8559670781893004</v>
      </c>
      <c r="D522" s="153">
        <v>431250000</v>
      </c>
      <c r="E522" s="26">
        <f>VLOOKUP(2393,季財報!$A:$H,8,0)</f>
        <v>2</v>
      </c>
      <c r="F522" s="160">
        <v>-1.2658333333333336E-2</v>
      </c>
      <c r="G522" s="153">
        <v>19147500000</v>
      </c>
      <c r="H522" s="153">
        <v>29070586000</v>
      </c>
      <c r="I522" s="151">
        <v>0.65865545331628339</v>
      </c>
      <c r="J522" s="153">
        <v>13.508112980769232</v>
      </c>
    </row>
    <row r="523" spans="1:10" hidden="1">
      <c r="A523" s="64">
        <v>8054</v>
      </c>
      <c r="B523" s="52">
        <v>0.17</v>
      </c>
      <c r="C523" s="161">
        <v>0</v>
      </c>
      <c r="D523" s="158">
        <v>76470588.235294119</v>
      </c>
      <c r="E523" s="26">
        <f>VLOOKUP(8054,季財報!$A:$H,8,0)</f>
        <v>1</v>
      </c>
      <c r="F523" s="161">
        <v>-9.9500000000000005E-3</v>
      </c>
      <c r="G523" s="54">
        <v>1560000000</v>
      </c>
      <c r="H523" s="54">
        <v>2365218000</v>
      </c>
      <c r="I523" s="65">
        <v>0.6595586537900523</v>
      </c>
      <c r="J523" s="163">
        <v>0</v>
      </c>
    </row>
    <row r="524" spans="1:10" hidden="1">
      <c r="A524" s="64">
        <v>4550</v>
      </c>
      <c r="B524" s="52">
        <v>0.22</v>
      </c>
      <c r="C524" s="161">
        <v>0.95652173913043481</v>
      </c>
      <c r="D524" s="158">
        <v>31818181.818181816</v>
      </c>
      <c r="E524" s="26">
        <f>VLOOKUP(4550,季財報!$A:$H,8,0)</f>
        <v>1</v>
      </c>
      <c r="F524" s="161">
        <v>-3.4025E-2</v>
      </c>
      <c r="G524" s="54">
        <v>760454545.45454538</v>
      </c>
      <c r="H524" s="54">
        <v>1151027000</v>
      </c>
      <c r="I524" s="65">
        <v>0.66067481080334811</v>
      </c>
      <c r="J524" s="163">
        <v>28.39359504132231</v>
      </c>
    </row>
    <row r="525" spans="1:10" hidden="1">
      <c r="A525" s="64">
        <v>1314</v>
      </c>
      <c r="B525" s="151">
        <v>-0.17</v>
      </c>
      <c r="C525" s="160">
        <v>1</v>
      </c>
      <c r="D525" s="153">
        <v>2276470588.2352939</v>
      </c>
      <c r="E525" s="26">
        <f>VLOOKUP(1314,季財報!$A:$H,8,0)</f>
        <v>2</v>
      </c>
      <c r="F525" s="160">
        <v>-4.6916666666666662E-2</v>
      </c>
      <c r="G525" s="153">
        <v>18211764705.882351</v>
      </c>
      <c r="H525" s="153">
        <v>27544829000</v>
      </c>
      <c r="I525" s="151">
        <v>0.66116818898684582</v>
      </c>
      <c r="J525" s="153">
        <v>0</v>
      </c>
    </row>
    <row r="526" spans="1:10" hidden="1">
      <c r="A526" s="64">
        <v>4716</v>
      </c>
      <c r="B526" s="52">
        <v>0.14000000000000001</v>
      </c>
      <c r="C526" s="161">
        <v>0.46666666666666667</v>
      </c>
      <c r="D526" s="158">
        <v>71428571.428571418</v>
      </c>
      <c r="E526" s="26">
        <f>VLOOKUP(4716,季財報!$A:$H,8,0)</f>
        <v>2</v>
      </c>
      <c r="F526" s="161">
        <v>3.6291666666666673E-2</v>
      </c>
      <c r="G526" s="54">
        <v>739285714.28571415</v>
      </c>
      <c r="H526" s="54">
        <v>1117736000</v>
      </c>
      <c r="I526" s="65">
        <v>0.66141353082097576</v>
      </c>
      <c r="J526" s="163">
        <v>39.604591836734691</v>
      </c>
    </row>
    <row r="527" spans="1:10" ht="16.5" hidden="1" customHeight="1">
      <c r="A527" s="64">
        <v>9907</v>
      </c>
      <c r="B527" s="52">
        <v>0.09</v>
      </c>
      <c r="C527" s="161">
        <v>1</v>
      </c>
      <c r="D527" s="158">
        <v>1600000000</v>
      </c>
      <c r="E527" s="26">
        <f>VLOOKUP(9907,季財報!$A:$H,8,0)</f>
        <v>2</v>
      </c>
      <c r="F527" s="161">
        <v>8.4333333333333343E-3</v>
      </c>
      <c r="G527" s="54">
        <v>24320000000</v>
      </c>
      <c r="H527" s="54">
        <v>36756243000</v>
      </c>
      <c r="I527" s="65">
        <v>0.6616563069299547</v>
      </c>
      <c r="J527" s="163">
        <v>42.222222222222221</v>
      </c>
    </row>
    <row r="528" spans="1:10" hidden="1">
      <c r="A528" s="64">
        <v>3441</v>
      </c>
      <c r="B528" s="151">
        <v>0.23</v>
      </c>
      <c r="C528" s="160">
        <v>1</v>
      </c>
      <c r="D528" s="153">
        <v>39130434.782608695</v>
      </c>
      <c r="E528" s="26">
        <f>VLOOKUP(3441,季財報!$A:$H,8,0)</f>
        <v>2</v>
      </c>
      <c r="F528" s="160">
        <v>3.5033333333333326E-2</v>
      </c>
      <c r="G528" s="153">
        <v>485217391.30434781</v>
      </c>
      <c r="H528" s="153">
        <v>733177000</v>
      </c>
      <c r="I528" s="151">
        <v>0.6618011630265922</v>
      </c>
      <c r="J528" s="153">
        <v>13.478260869565217</v>
      </c>
    </row>
    <row r="529" spans="1:10" hidden="1">
      <c r="A529" s="64">
        <v>3052</v>
      </c>
      <c r="B529" s="151">
        <v>0.16</v>
      </c>
      <c r="C529" s="160">
        <v>1</v>
      </c>
      <c r="D529" s="153">
        <v>206250000</v>
      </c>
      <c r="E529" s="26">
        <f>VLOOKUP(3052,季財報!$A:$H,8,0)</f>
        <v>2</v>
      </c>
      <c r="F529" s="160">
        <v>0.19289999999999999</v>
      </c>
      <c r="G529" s="153">
        <v>2114062500</v>
      </c>
      <c r="H529" s="153">
        <v>3193610000</v>
      </c>
      <c r="I529" s="151">
        <v>0.66196639539580604</v>
      </c>
      <c r="J529" s="153">
        <v>16.015625</v>
      </c>
    </row>
    <row r="530" spans="1:10" hidden="1">
      <c r="A530" s="64">
        <v>5209</v>
      </c>
      <c r="B530" s="52">
        <v>0.87</v>
      </c>
      <c r="C530" s="161">
        <v>0.67500000000000004</v>
      </c>
      <c r="D530" s="158">
        <v>24137931.034482758</v>
      </c>
      <c r="E530" s="26">
        <f>VLOOKUP(5209,季財報!$A:$H,8,0)</f>
        <v>3</v>
      </c>
      <c r="F530" s="161">
        <v>1.8183333333333329E-2</v>
      </c>
      <c r="G530" s="54">
        <v>1018620689.6551725</v>
      </c>
      <c r="H530" s="54">
        <v>1537435000</v>
      </c>
      <c r="I530" s="65">
        <v>0.66254553178194364</v>
      </c>
      <c r="J530" s="163">
        <v>17.96509152830992</v>
      </c>
    </row>
    <row r="531" spans="1:10" hidden="1">
      <c r="A531" s="64">
        <v>8103</v>
      </c>
      <c r="B531" s="52">
        <v>-0.7</v>
      </c>
      <c r="C531" s="161">
        <v>1</v>
      </c>
      <c r="D531" s="158">
        <v>77142857.142857149</v>
      </c>
      <c r="E531" s="26">
        <f>VLOOKUP(8103,季財報!$A:$H,8,0)</f>
        <v>1</v>
      </c>
      <c r="F531" s="161">
        <v>-1.1433333333333342E-2</v>
      </c>
      <c r="G531" s="54">
        <v>1936285714.2857146</v>
      </c>
      <c r="H531" s="54">
        <v>2897383000</v>
      </c>
      <c r="I531" s="65">
        <v>0.66828780119359943</v>
      </c>
      <c r="J531" s="163">
        <v>0</v>
      </c>
    </row>
    <row r="532" spans="1:10" hidden="1">
      <c r="A532" s="64">
        <v>4526</v>
      </c>
      <c r="B532" s="52">
        <v>0.8</v>
      </c>
      <c r="C532" s="161">
        <v>0.32128514056224899</v>
      </c>
      <c r="D532" s="158">
        <v>255000000</v>
      </c>
      <c r="E532" s="26">
        <f>VLOOKUP(4526,季財報!$A:$H,8,0)</f>
        <v>2</v>
      </c>
      <c r="F532" s="161">
        <v>6.1100000000000008E-2</v>
      </c>
      <c r="G532" s="54">
        <v>6107250000</v>
      </c>
      <c r="H532" s="54">
        <v>9121372000</v>
      </c>
      <c r="I532" s="65">
        <v>0.66955387851739845</v>
      </c>
      <c r="J532" s="163">
        <v>23.295117187499997</v>
      </c>
    </row>
    <row r="533" spans="1:10" hidden="1">
      <c r="A533" s="64">
        <v>2727</v>
      </c>
      <c r="B533" s="151">
        <v>-0.04</v>
      </c>
      <c r="C533" s="160">
        <v>1</v>
      </c>
      <c r="D533" s="153">
        <v>75000000</v>
      </c>
      <c r="E533" s="26">
        <f>VLOOKUP(2727,季財報!$A:$H,8,0)</f>
        <v>1</v>
      </c>
      <c r="F533" s="160">
        <v>8.7333333333333343E-3</v>
      </c>
      <c r="G533" s="153">
        <v>11250000000</v>
      </c>
      <c r="H533" s="153">
        <v>16732537000</v>
      </c>
      <c r="I533" s="151">
        <v>0.67234275352267259</v>
      </c>
      <c r="J533" s="153">
        <v>0</v>
      </c>
    </row>
    <row r="534" spans="1:10" ht="16.5" hidden="1" customHeight="1">
      <c r="A534" s="64">
        <v>9912</v>
      </c>
      <c r="B534" s="52">
        <v>-0.2</v>
      </c>
      <c r="C534" s="161">
        <v>1</v>
      </c>
      <c r="D534" s="158">
        <v>50000000</v>
      </c>
      <c r="E534" s="26">
        <f>VLOOKUP(9912,季財報!$A:$H,8,0)</f>
        <v>2</v>
      </c>
      <c r="F534" s="161">
        <v>1.9791666666666669E-2</v>
      </c>
      <c r="G534" s="54">
        <v>461000000.00000006</v>
      </c>
      <c r="H534" s="54">
        <v>681814000</v>
      </c>
      <c r="I534" s="65">
        <v>0.6761374803098793</v>
      </c>
      <c r="J534" s="163">
        <v>0</v>
      </c>
    </row>
    <row r="535" spans="1:10" hidden="1">
      <c r="A535" s="64">
        <v>5009</v>
      </c>
      <c r="B535" s="52">
        <v>0.61</v>
      </c>
      <c r="C535" s="161">
        <v>0.9040178571428571</v>
      </c>
      <c r="D535" s="158">
        <v>442622950.81967217</v>
      </c>
      <c r="E535" s="26">
        <f>VLOOKUP(5009,季財報!$A:$H,8,0)</f>
        <v>3</v>
      </c>
      <c r="F535" s="161">
        <v>-2.0941666666666667E-2</v>
      </c>
      <c r="G535" s="54">
        <v>7768032786.8852472</v>
      </c>
      <c r="H535" s="54">
        <v>11479236000</v>
      </c>
      <c r="I535" s="65">
        <v>0.67670294319981283</v>
      </c>
      <c r="J535" s="163">
        <v>7.9562841530054662</v>
      </c>
    </row>
    <row r="536" spans="1:10" hidden="1">
      <c r="A536" s="64">
        <v>6282</v>
      </c>
      <c r="B536" s="52">
        <v>0.56000000000000005</v>
      </c>
      <c r="C536" s="161">
        <v>0.53417721518987338</v>
      </c>
      <c r="D536" s="158">
        <v>519642857.14285707</v>
      </c>
      <c r="E536" s="26">
        <f>VLOOKUP(6282,季財報!$A:$H,8,0)</f>
        <v>3</v>
      </c>
      <c r="F536" s="161">
        <v>2.0000000000000005E-3</v>
      </c>
      <c r="G536" s="54">
        <v>14446071428.571426</v>
      </c>
      <c r="H536" s="54">
        <v>21298527000</v>
      </c>
      <c r="I536" s="65">
        <v>0.67826622134814418</v>
      </c>
      <c r="J536" s="163">
        <v>23.23332769126608</v>
      </c>
    </row>
    <row r="537" spans="1:10" hidden="1">
      <c r="A537" s="64">
        <v>1902</v>
      </c>
      <c r="B537" s="151">
        <v>0.18</v>
      </c>
      <c r="C537" s="160">
        <v>1</v>
      </c>
      <c r="D537" s="153">
        <v>400000000</v>
      </c>
      <c r="E537" s="26">
        <f>VLOOKUP(1902,季財報!$A:$H,8,0)</f>
        <v>3</v>
      </c>
      <c r="F537" s="160">
        <v>-5.3083333333333316E-3</v>
      </c>
      <c r="G537" s="153">
        <v>4300000000</v>
      </c>
      <c r="H537" s="153">
        <v>6338743000</v>
      </c>
      <c r="I537" s="151">
        <v>0.67836793509375592</v>
      </c>
      <c r="J537" s="153">
        <v>14.930555555555555</v>
      </c>
    </row>
    <row r="538" spans="1:10" hidden="1">
      <c r="A538" s="64">
        <v>1513</v>
      </c>
      <c r="B538" s="151">
        <v>0.78</v>
      </c>
      <c r="C538" s="160">
        <v>0.72405660377358494</v>
      </c>
      <c r="D538" s="153">
        <v>407692307.69230765</v>
      </c>
      <c r="E538" s="26">
        <f>VLOOKUP(1513,季財報!$A:$H,8,0)</f>
        <v>2</v>
      </c>
      <c r="F538" s="160">
        <v>3.070833333333332E-2</v>
      </c>
      <c r="G538" s="153">
        <v>7155000000</v>
      </c>
      <c r="H538" s="153">
        <v>10540806000</v>
      </c>
      <c r="I538" s="151">
        <v>0.6787905972275744</v>
      </c>
      <c r="J538" s="153">
        <v>7.7687296416938105</v>
      </c>
    </row>
    <row r="539" spans="1:10" hidden="1">
      <c r="A539" s="64">
        <v>1809</v>
      </c>
      <c r="B539" s="151">
        <v>0.12</v>
      </c>
      <c r="C539" s="160">
        <v>0.37142857142857144</v>
      </c>
      <c r="D539" s="153">
        <v>191666666.66666669</v>
      </c>
      <c r="E539" s="26">
        <f>VLOOKUP(1809,季財報!$A:$H,8,0)</f>
        <v>1</v>
      </c>
      <c r="F539" s="160">
        <v>-2.1316666666666668E-2</v>
      </c>
      <c r="G539" s="153">
        <v>1955000000</v>
      </c>
      <c r="H539" s="153">
        <v>2875766000</v>
      </c>
      <c r="I539" s="151">
        <v>0.67981887260646379</v>
      </c>
      <c r="J539" s="153">
        <v>50</v>
      </c>
    </row>
    <row r="540" spans="1:10" hidden="1">
      <c r="A540" s="64">
        <v>1231</v>
      </c>
      <c r="B540" s="151">
        <v>0.8</v>
      </c>
      <c r="C540" s="160">
        <v>0.51677852348993292</v>
      </c>
      <c r="D540" s="153">
        <v>147500000</v>
      </c>
      <c r="E540" s="26">
        <f>VLOOKUP(1231,季財報!$A:$H,8,0)</f>
        <v>1</v>
      </c>
      <c r="F540" s="160">
        <v>1.5841666666666667E-2</v>
      </c>
      <c r="G540" s="153">
        <v>4395500000</v>
      </c>
      <c r="H540" s="153">
        <v>6435938000</v>
      </c>
      <c r="I540" s="151">
        <v>0.68296183089395823</v>
      </c>
      <c r="J540" s="153">
        <v>18.020292207792206</v>
      </c>
    </row>
    <row r="541" spans="1:10" hidden="1">
      <c r="A541" s="64">
        <v>4739</v>
      </c>
      <c r="B541" s="52">
        <v>0.15</v>
      </c>
      <c r="C541" s="161">
        <v>1</v>
      </c>
      <c r="D541" s="158">
        <v>66666666.666666672</v>
      </c>
      <c r="E541" s="26">
        <f>VLOOKUP(4739,季財報!$A:$H,8,0)</f>
        <v>1</v>
      </c>
      <c r="F541" s="161">
        <v>2.6383333333333338E-2</v>
      </c>
      <c r="G541" s="54">
        <v>2586666666.6666665</v>
      </c>
      <c r="H541" s="54">
        <v>3776506000</v>
      </c>
      <c r="I541" s="65">
        <v>0.68493646419909471</v>
      </c>
      <c r="J541" s="163">
        <v>50</v>
      </c>
    </row>
    <row r="542" spans="1:10" hidden="1">
      <c r="A542" s="64">
        <v>3573</v>
      </c>
      <c r="B542" s="151">
        <v>0.39</v>
      </c>
      <c r="C542" s="160">
        <v>1</v>
      </c>
      <c r="D542" s="153">
        <v>125641025.64102563</v>
      </c>
      <c r="E542" s="26">
        <f>VLOOKUP(3573,季財報!$A:$H,8,0)</f>
        <v>4</v>
      </c>
      <c r="F542" s="160">
        <v>2.7325000000000012E-2</v>
      </c>
      <c r="G542" s="153">
        <v>2248974358.9743586</v>
      </c>
      <c r="H542" s="153">
        <v>3278730000</v>
      </c>
      <c r="I542" s="151">
        <v>0.68592850249162285</v>
      </c>
      <c r="J542" s="153">
        <v>11.474358974358973</v>
      </c>
    </row>
    <row r="543" spans="1:10" hidden="1">
      <c r="A543" s="64">
        <v>5516</v>
      </c>
      <c r="B543" s="52">
        <v>-0.11</v>
      </c>
      <c r="C543" s="161">
        <v>0</v>
      </c>
      <c r="D543" s="158">
        <v>36363636.363636367</v>
      </c>
      <c r="E543" s="26">
        <f>VLOOKUP(5516,季財報!$A:$H,8,0)</f>
        <v>1</v>
      </c>
      <c r="F543" s="161">
        <v>0.23480000000000001</v>
      </c>
      <c r="G543" s="54">
        <v>361090909.09090912</v>
      </c>
      <c r="H543" s="54">
        <v>525390000</v>
      </c>
      <c r="I543" s="65">
        <v>0.68728165570511268</v>
      </c>
      <c r="J543" s="163">
        <v>0</v>
      </c>
    </row>
    <row r="544" spans="1:10" hidden="1">
      <c r="A544" s="64">
        <v>5493</v>
      </c>
      <c r="B544" s="52">
        <v>0.84</v>
      </c>
      <c r="C544" s="161">
        <v>0.79347826086956519</v>
      </c>
      <c r="D544" s="158">
        <v>44047619.047619052</v>
      </c>
      <c r="E544" s="26">
        <f>VLOOKUP(5493,季財報!$A:$H,8,0)</f>
        <v>2</v>
      </c>
      <c r="F544" s="161">
        <v>4.435833333333334E-2</v>
      </c>
      <c r="G544" s="54">
        <v>1546071428.5714288</v>
      </c>
      <c r="H544" s="54">
        <v>2248958000</v>
      </c>
      <c r="I544" s="65">
        <v>0.68746122807603738</v>
      </c>
      <c r="J544" s="163">
        <v>13.16536203522505</v>
      </c>
    </row>
    <row r="545" spans="1:10" hidden="1">
      <c r="A545" s="64">
        <v>2342</v>
      </c>
      <c r="B545" s="156">
        <v>-0.12</v>
      </c>
      <c r="C545" s="160">
        <v>0.75743707093821511</v>
      </c>
      <c r="D545" s="157">
        <v>375000000</v>
      </c>
      <c r="E545" s="26">
        <f>VLOOKUP(2342,季財報!$A:$H,8,0)</f>
        <v>1</v>
      </c>
      <c r="F545" s="160">
        <v>8.3833333333333346E-3</v>
      </c>
      <c r="G545" s="157">
        <v>945000000</v>
      </c>
      <c r="H545" s="157">
        <v>1372181000</v>
      </c>
      <c r="I545" s="156">
        <v>0.6886846560329869</v>
      </c>
      <c r="J545" s="157">
        <v>0</v>
      </c>
    </row>
    <row r="546" spans="1:10" hidden="1">
      <c r="A546" s="64">
        <v>3484</v>
      </c>
      <c r="B546" s="156">
        <v>0.78</v>
      </c>
      <c r="C546" s="160">
        <v>0.81481481481481477</v>
      </c>
      <c r="D546" s="157">
        <v>64102564.102564104</v>
      </c>
      <c r="E546" s="26">
        <f>VLOOKUP(3484,季財報!$A:$H,8,0)</f>
        <v>1</v>
      </c>
      <c r="F546" s="160">
        <v>1.3133333333333337E-2</v>
      </c>
      <c r="G546" s="157">
        <v>2259615384.6153846</v>
      </c>
      <c r="H546" s="157">
        <v>3262534000</v>
      </c>
      <c r="I546" s="156">
        <v>0.69259519888999921</v>
      </c>
      <c r="J546" s="157">
        <v>13.865821678321678</v>
      </c>
    </row>
    <row r="547" spans="1:10" hidden="1">
      <c r="A547" s="64">
        <v>3527</v>
      </c>
      <c r="B547" s="151">
        <v>1.59</v>
      </c>
      <c r="C547" s="160">
        <v>0.86363636363636365</v>
      </c>
      <c r="D547" s="153">
        <v>32704402.515723269</v>
      </c>
      <c r="E547" s="26">
        <f>VLOOKUP(3527,季財報!$A:$H,8,0)</f>
        <v>1</v>
      </c>
      <c r="F547" s="160">
        <v>1.6750000000000001E-2</v>
      </c>
      <c r="G547" s="153">
        <v>1438993710.691824</v>
      </c>
      <c r="H547" s="153">
        <v>2073728000</v>
      </c>
      <c r="I547" s="151">
        <v>0.69391632397875902</v>
      </c>
      <c r="J547" s="153">
        <v>8.0105925190334322</v>
      </c>
    </row>
    <row r="548" spans="1:10" hidden="1">
      <c r="A548" s="64">
        <v>6201</v>
      </c>
      <c r="B548" s="52">
        <v>0.89</v>
      </c>
      <c r="C548" s="161">
        <v>0.55813953488372092</v>
      </c>
      <c r="D548" s="158">
        <v>88764044.943820223</v>
      </c>
      <c r="E548" s="26">
        <f>VLOOKUP(6201,季財報!$A:$H,8,0)</f>
        <v>3</v>
      </c>
      <c r="F548" s="161">
        <v>-9.708333333333331E-3</v>
      </c>
      <c r="G548" s="54">
        <v>2245730337.0786519</v>
      </c>
      <c r="H548" s="54">
        <v>3236077000</v>
      </c>
      <c r="I548" s="65">
        <v>0.69396690408746509</v>
      </c>
      <c r="J548" s="163">
        <v>12.732911985018728</v>
      </c>
    </row>
    <row r="549" spans="1:10" hidden="1">
      <c r="A549" s="64">
        <v>1445</v>
      </c>
      <c r="B549" s="156">
        <v>0.22</v>
      </c>
      <c r="C549" s="160">
        <v>1</v>
      </c>
      <c r="D549" s="157">
        <v>136363636.36363637</v>
      </c>
      <c r="E549" s="26">
        <f>VLOOKUP(1445,季財報!$A:$H,8,0)</f>
        <v>2</v>
      </c>
      <c r="F549" s="160">
        <v>4.2416666666666679E-3</v>
      </c>
      <c r="G549" s="157">
        <v>1302272727.2727275</v>
      </c>
      <c r="H549" s="157">
        <v>1876148000</v>
      </c>
      <c r="I549" s="156">
        <v>0.69412046772041835</v>
      </c>
      <c r="J549" s="157">
        <v>10.852272727272728</v>
      </c>
    </row>
    <row r="550" spans="1:10" hidden="1">
      <c r="A550" s="64">
        <v>2489</v>
      </c>
      <c r="B550" s="151">
        <v>0.61</v>
      </c>
      <c r="C550" s="160">
        <v>0</v>
      </c>
      <c r="D550" s="153">
        <v>834426229.50819671</v>
      </c>
      <c r="E550" s="26">
        <f>VLOOKUP(2489,季財報!$A:$H,8,0)</f>
        <v>2</v>
      </c>
      <c r="F550" s="160">
        <v>6.9058333333333347E-2</v>
      </c>
      <c r="G550" s="153">
        <v>13309098360.655737</v>
      </c>
      <c r="H550" s="153">
        <v>19170548000</v>
      </c>
      <c r="I550" s="151">
        <v>0.69424715248910662</v>
      </c>
      <c r="J550" s="153">
        <v>0</v>
      </c>
    </row>
    <row r="551" spans="1:10" hidden="1">
      <c r="A551" s="64">
        <v>2472</v>
      </c>
      <c r="B551" s="151">
        <v>1.2</v>
      </c>
      <c r="C551" s="160">
        <v>0.65975103734439833</v>
      </c>
      <c r="D551" s="153">
        <v>140833333.33333334</v>
      </c>
      <c r="E551" s="26">
        <f>VLOOKUP(2472,季財報!$A:$H,8,0)</f>
        <v>3</v>
      </c>
      <c r="F551" s="160">
        <v>4.6666666666666926E-4</v>
      </c>
      <c r="G551" s="153">
        <v>4056000000.0000005</v>
      </c>
      <c r="H551" s="153">
        <v>5823724000</v>
      </c>
      <c r="I551" s="151">
        <v>0.69646157681923127</v>
      </c>
      <c r="J551" s="153">
        <v>9.0943396226415096</v>
      </c>
    </row>
    <row r="552" spans="1:10" hidden="1">
      <c r="A552" s="64">
        <v>3021</v>
      </c>
      <c r="B552" s="151">
        <v>0.28999999999999998</v>
      </c>
      <c r="C552" s="160">
        <v>0.660377358490566</v>
      </c>
      <c r="D552" s="153">
        <v>103448275.86206897</v>
      </c>
      <c r="E552" s="26">
        <f>VLOOKUP(3021,季財報!$A:$H,8,0)</f>
        <v>3</v>
      </c>
      <c r="F552" s="160">
        <v>3.7566666666666672E-2</v>
      </c>
      <c r="G552" s="153">
        <v>1225862068.9655173</v>
      </c>
      <c r="H552" s="153">
        <v>1749869000</v>
      </c>
      <c r="I552" s="151">
        <v>0.70054505163844683</v>
      </c>
      <c r="J552" s="153">
        <v>15.4692118226601</v>
      </c>
    </row>
    <row r="553" spans="1:10" hidden="1">
      <c r="A553" s="64">
        <v>8047</v>
      </c>
      <c r="B553" s="52">
        <v>0.06</v>
      </c>
      <c r="C553" s="161">
        <v>1</v>
      </c>
      <c r="D553" s="158">
        <v>50000000</v>
      </c>
      <c r="E553" s="26">
        <f>VLOOKUP(8047,季財報!$A:$H,8,0)</f>
        <v>0</v>
      </c>
      <c r="F553" s="161">
        <v>1.1799999999999996E-2</v>
      </c>
      <c r="G553" s="54">
        <v>575000000</v>
      </c>
      <c r="H553" s="54">
        <v>820484000</v>
      </c>
      <c r="I553" s="65">
        <v>0.70080586580603643</v>
      </c>
      <c r="J553" s="163">
        <v>47.916666666666671</v>
      </c>
    </row>
    <row r="554" spans="1:10" hidden="1">
      <c r="A554" s="64">
        <v>5321</v>
      </c>
      <c r="B554" s="52">
        <v>0.67</v>
      </c>
      <c r="C554" s="161">
        <v>0.23809523809523808</v>
      </c>
      <c r="D554" s="158">
        <v>28358208.955223881</v>
      </c>
      <c r="E554" s="26">
        <f>VLOOKUP(5321,季財報!$A:$H,8,0)</f>
        <v>2</v>
      </c>
      <c r="F554" s="161">
        <v>-1.7399999999999995E-2</v>
      </c>
      <c r="G554" s="54">
        <v>852164179.10447764</v>
      </c>
      <c r="H554" s="54">
        <v>1215917000</v>
      </c>
      <c r="I554" s="65">
        <v>0.70084074743956837</v>
      </c>
      <c r="J554" s="163">
        <v>47.093283582089555</v>
      </c>
    </row>
    <row r="555" spans="1:10" hidden="1">
      <c r="A555" s="64">
        <v>2103</v>
      </c>
      <c r="B555" s="151">
        <v>-0.09</v>
      </c>
      <c r="C555" s="160">
        <v>1</v>
      </c>
      <c r="D555" s="153">
        <v>866666666.66666675</v>
      </c>
      <c r="E555" s="26">
        <f>VLOOKUP(2103,季財報!$A:$H,8,0)</f>
        <v>0</v>
      </c>
      <c r="F555" s="160">
        <v>-1.2641666666666667E-2</v>
      </c>
      <c r="G555" s="153">
        <v>19023333333.333336</v>
      </c>
      <c r="H555" s="153">
        <v>27111246000</v>
      </c>
      <c r="I555" s="151">
        <v>0.70167683673901726</v>
      </c>
      <c r="J555" s="153">
        <v>0</v>
      </c>
    </row>
    <row r="556" spans="1:10" hidden="1">
      <c r="A556" s="64">
        <v>3005</v>
      </c>
      <c r="B556" s="151">
        <v>0.44</v>
      </c>
      <c r="C556" s="160">
        <v>0.83364839319470696</v>
      </c>
      <c r="D556" s="153">
        <v>581818181.81818187</v>
      </c>
      <c r="E556" s="26">
        <f>VLOOKUP(3005,季財報!$A:$H,8,0)</f>
        <v>2</v>
      </c>
      <c r="F556" s="160">
        <v>2.0891666666666666E-2</v>
      </c>
      <c r="G556" s="153">
        <v>12829090909.09091</v>
      </c>
      <c r="H556" s="153">
        <v>18264400000</v>
      </c>
      <c r="I556" s="151">
        <v>0.7024096553454211</v>
      </c>
      <c r="J556" s="153">
        <v>15.028409090909092</v>
      </c>
    </row>
    <row r="557" spans="1:10" hidden="1">
      <c r="A557" s="64">
        <v>3044</v>
      </c>
      <c r="B557" s="151">
        <v>1.81</v>
      </c>
      <c r="C557" s="160">
        <v>0.72535690006798093</v>
      </c>
      <c r="D557" s="153">
        <v>524309392.26519334</v>
      </c>
      <c r="E557" s="26">
        <f>VLOOKUP(3044,季財報!$A:$H,8,0)</f>
        <v>5</v>
      </c>
      <c r="F557" s="160">
        <v>5.6583333333333321E-3</v>
      </c>
      <c r="G557" s="153">
        <v>30409944751.381214</v>
      </c>
      <c r="H557" s="153">
        <v>43282789000</v>
      </c>
      <c r="I557" s="151">
        <v>0.70258745921805577</v>
      </c>
      <c r="J557" s="153">
        <v>11.044286920006005</v>
      </c>
    </row>
    <row r="558" spans="1:10" hidden="1">
      <c r="A558" s="64">
        <v>1324</v>
      </c>
      <c r="B558" s="151">
        <v>0.28000000000000003</v>
      </c>
      <c r="C558" s="160">
        <v>0.80555555555555558</v>
      </c>
      <c r="D558" s="153">
        <v>75000000</v>
      </c>
      <c r="E558" s="26">
        <f>VLOOKUP(1324,季財報!$A:$H,8,0)</f>
        <v>2</v>
      </c>
      <c r="F558" s="160">
        <v>-9.158333333333336E-3</v>
      </c>
      <c r="G558" s="153">
        <v>911250000</v>
      </c>
      <c r="H558" s="153">
        <v>1295702000</v>
      </c>
      <c r="I558" s="151">
        <v>0.70328671253112207</v>
      </c>
      <c r="J558" s="153">
        <v>13.466748768472904</v>
      </c>
    </row>
    <row r="559" spans="1:10" hidden="1">
      <c r="A559" s="64">
        <v>8443</v>
      </c>
      <c r="B559" s="52">
        <v>0.19</v>
      </c>
      <c r="C559" s="161">
        <v>0.6333333333333333</v>
      </c>
      <c r="D559" s="158">
        <v>68421052.631578952</v>
      </c>
      <c r="E559" s="26">
        <f>VLOOKUP(8443,季財報!$A:$H,8,0)</f>
        <v>1</v>
      </c>
      <c r="F559" s="161">
        <v>5.0200000000000002E-2</v>
      </c>
      <c r="G559" s="54">
        <v>1604473684.2105265</v>
      </c>
      <c r="H559" s="54">
        <v>2272586000</v>
      </c>
      <c r="I559" s="65">
        <v>0.70601230677762095</v>
      </c>
      <c r="J559" s="163">
        <v>48.71883656509695</v>
      </c>
    </row>
    <row r="560" spans="1:10" hidden="1">
      <c r="A560" s="64">
        <v>4532</v>
      </c>
      <c r="B560" s="52">
        <v>0.5</v>
      </c>
      <c r="C560" s="161">
        <v>0.89312977099236646</v>
      </c>
      <c r="D560" s="158">
        <v>472000000</v>
      </c>
      <c r="E560" s="26">
        <f>VLOOKUP(4532,季財報!$A:$H,8,0)</f>
        <v>2</v>
      </c>
      <c r="F560" s="161">
        <v>-6.9000000000000008E-3</v>
      </c>
      <c r="G560" s="54">
        <v>11044800000</v>
      </c>
      <c r="H560" s="54">
        <v>15581079000</v>
      </c>
      <c r="I560" s="65">
        <v>0.7088597651035593</v>
      </c>
      <c r="J560" s="163">
        <v>13.099999999999998</v>
      </c>
    </row>
    <row r="561" spans="1:10" hidden="1">
      <c r="A561" s="64">
        <v>3514</v>
      </c>
      <c r="B561" s="151">
        <v>0.32</v>
      </c>
      <c r="C561" s="160">
        <v>0.82530120481927716</v>
      </c>
      <c r="D561" s="153">
        <v>434375000</v>
      </c>
      <c r="E561" s="26">
        <f>VLOOKUP(3514,季財報!$A:$H,8,0)</f>
        <v>3</v>
      </c>
      <c r="F561" s="160">
        <v>6.8491666666666659E-2</v>
      </c>
      <c r="G561" s="153">
        <v>11228593750</v>
      </c>
      <c r="H561" s="153">
        <v>15821875000</v>
      </c>
      <c r="I561" s="151">
        <v>0.70968793205609326</v>
      </c>
      <c r="J561" s="153">
        <v>24.470232664233578</v>
      </c>
    </row>
    <row r="562" spans="1:10" hidden="1">
      <c r="A562" s="64">
        <v>9935</v>
      </c>
      <c r="B562" s="52">
        <v>0.01</v>
      </c>
      <c r="C562" s="161">
        <v>1</v>
      </c>
      <c r="D562" s="158">
        <v>200000000</v>
      </c>
      <c r="E562" s="26">
        <f>VLOOKUP(9935,季財報!$A:$H,8,0)</f>
        <v>2</v>
      </c>
      <c r="F562" s="161">
        <v>5.1958333333333329E-2</v>
      </c>
      <c r="G562" s="54">
        <v>2340000000</v>
      </c>
      <c r="H562" s="54">
        <v>3294234000</v>
      </c>
      <c r="I562" s="65">
        <v>0.71033205291427381</v>
      </c>
      <c r="J562" s="163">
        <v>50</v>
      </c>
    </row>
    <row r="563" spans="1:10" hidden="1">
      <c r="A563" s="64">
        <v>2061</v>
      </c>
      <c r="B563" s="151">
        <v>-0.43</v>
      </c>
      <c r="C563" s="160">
        <v>0.52830188679245282</v>
      </c>
      <c r="D563" s="153">
        <v>60465116.279069766</v>
      </c>
      <c r="E563" s="26">
        <f>VLOOKUP(2061,季財報!$A:$H,8,0)</f>
        <v>0</v>
      </c>
      <c r="F563" s="160">
        <v>5.295833333333335E-2</v>
      </c>
      <c r="G563" s="153">
        <v>792093023.25581396</v>
      </c>
      <c r="H563" s="153">
        <v>1114576000</v>
      </c>
      <c r="I563" s="151">
        <v>0.7106675751638416</v>
      </c>
      <c r="J563" s="153">
        <v>0</v>
      </c>
    </row>
    <row r="564" spans="1:10" hidden="1">
      <c r="A564" s="64">
        <v>5304</v>
      </c>
      <c r="B564" s="52">
        <v>0.26</v>
      </c>
      <c r="C564" s="161">
        <v>1</v>
      </c>
      <c r="D564" s="158">
        <v>188461538.46153846</v>
      </c>
      <c r="E564" s="26">
        <f>VLOOKUP(5304,季財報!$A:$H,8,0)</f>
        <v>4</v>
      </c>
      <c r="F564" s="161">
        <v>6.2016666666666664E-2</v>
      </c>
      <c r="G564" s="54">
        <v>569153846.15384614</v>
      </c>
      <c r="H564" s="54">
        <v>800785000</v>
      </c>
      <c r="I564" s="65">
        <v>0.7107448892697118</v>
      </c>
      <c r="J564" s="163">
        <v>2.9038461538461537</v>
      </c>
    </row>
    <row r="565" spans="1:10" hidden="1">
      <c r="A565" s="64">
        <v>1721</v>
      </c>
      <c r="B565" s="151">
        <v>0.3</v>
      </c>
      <c r="C565" s="160">
        <v>0.70270270270270274</v>
      </c>
      <c r="D565" s="153">
        <v>83333333.333333343</v>
      </c>
      <c r="E565" s="26">
        <f>VLOOKUP(1721,季財報!$A:$H,8,0)</f>
        <v>3</v>
      </c>
      <c r="F565" s="160">
        <v>3.2099999999999997E-2</v>
      </c>
      <c r="G565" s="153">
        <v>1033333333.3333335</v>
      </c>
      <c r="H565" s="153">
        <v>1447512000</v>
      </c>
      <c r="I565" s="151">
        <v>0.71386857817643889</v>
      </c>
      <c r="J565" s="153">
        <v>14.705128205128204</v>
      </c>
    </row>
    <row r="566" spans="1:10" hidden="1">
      <c r="A566" s="64">
        <v>4974</v>
      </c>
      <c r="B566" s="52">
        <v>1.4</v>
      </c>
      <c r="C566" s="161">
        <v>0.84615384615384615</v>
      </c>
      <c r="D566" s="158">
        <v>62142857.142857149</v>
      </c>
      <c r="E566" s="26">
        <f>VLOOKUP(4974,季財報!$A:$H,8,0)</f>
        <v>2</v>
      </c>
      <c r="F566" s="161">
        <v>6.0791666666666661E-2</v>
      </c>
      <c r="G566" s="54">
        <v>2578928571.4285717</v>
      </c>
      <c r="H566" s="54">
        <v>3609052000</v>
      </c>
      <c r="I566" s="65">
        <v>0.71457229528102439</v>
      </c>
      <c r="J566" s="163">
        <v>8.7581168831168839</v>
      </c>
    </row>
    <row r="567" spans="1:10" hidden="1">
      <c r="A567" s="64">
        <v>2402</v>
      </c>
      <c r="B567" s="151">
        <v>0.23</v>
      </c>
      <c r="C567" s="160">
        <v>7.6923076923076927E-3</v>
      </c>
      <c r="D567" s="153">
        <v>330434782.60869563</v>
      </c>
      <c r="E567" s="26">
        <f>VLOOKUP(2402,季財報!$A:$H,8,0)</f>
        <v>2</v>
      </c>
      <c r="F567" s="160">
        <v>-2.2991666666666671E-2</v>
      </c>
      <c r="G567" s="153">
        <v>5650434782.608696</v>
      </c>
      <c r="H567" s="153">
        <v>7903914000</v>
      </c>
      <c r="I567" s="151">
        <v>0.7148907215600645</v>
      </c>
      <c r="J567" s="153">
        <v>50</v>
      </c>
    </row>
    <row r="568" spans="1:10" hidden="1">
      <c r="A568" s="64">
        <v>3698</v>
      </c>
      <c r="B568" s="151">
        <v>0.06</v>
      </c>
      <c r="C568" s="160">
        <v>0</v>
      </c>
      <c r="D568" s="153">
        <v>600000000</v>
      </c>
      <c r="E568" s="26">
        <f>VLOOKUP(3698,季財報!$A:$H,8,0)</f>
        <v>1</v>
      </c>
      <c r="F568" s="160">
        <v>1.6783333333333327E-2</v>
      </c>
      <c r="G568" s="153">
        <v>10110000000</v>
      </c>
      <c r="H568" s="153">
        <v>14140714000</v>
      </c>
      <c r="I568" s="151">
        <v>0.714956826083888</v>
      </c>
      <c r="J568" s="153">
        <v>0</v>
      </c>
    </row>
    <row r="569" spans="1:10" hidden="1">
      <c r="A569" s="64">
        <v>5538</v>
      </c>
      <c r="B569" s="52">
        <v>0.31</v>
      </c>
      <c r="C569" s="161">
        <v>1</v>
      </c>
      <c r="D569" s="158">
        <v>164516129.03225806</v>
      </c>
      <c r="E569" s="26">
        <f>VLOOKUP(5538,季財報!$A:$H,8,0)</f>
        <v>1</v>
      </c>
      <c r="F569" s="161">
        <v>1.5466666666666672E-2</v>
      </c>
      <c r="G569" s="54">
        <v>4392580645.1612902</v>
      </c>
      <c r="H569" s="54">
        <v>6135669000</v>
      </c>
      <c r="I569" s="65">
        <v>0.71590899788780815</v>
      </c>
      <c r="J569" s="163">
        <v>21.532258064516128</v>
      </c>
    </row>
    <row r="570" spans="1:10" hidden="1">
      <c r="A570" s="64">
        <v>1519</v>
      </c>
      <c r="B570" s="151">
        <v>0.16</v>
      </c>
      <c r="C570" s="160">
        <v>0.96078431372549022</v>
      </c>
      <c r="D570" s="153">
        <v>256250000</v>
      </c>
      <c r="E570" s="26">
        <f>VLOOKUP(1519,季財報!$A:$H,8,0)</f>
        <v>0</v>
      </c>
      <c r="F570" s="160">
        <v>0.11498333333333333</v>
      </c>
      <c r="G570" s="153">
        <v>3959062500</v>
      </c>
      <c r="H570" s="153">
        <v>5527117000</v>
      </c>
      <c r="I570" s="151">
        <v>0.71629793615731308</v>
      </c>
      <c r="J570" s="153">
        <v>25.125956632653057</v>
      </c>
    </row>
    <row r="571" spans="1:10" hidden="1">
      <c r="A571" s="64">
        <v>1802</v>
      </c>
      <c r="B571" s="151">
        <v>-0.61</v>
      </c>
      <c r="C571" s="160">
        <v>0.56712962962962965</v>
      </c>
      <c r="D571" s="153">
        <v>2359016393.4426231</v>
      </c>
      <c r="E571" s="26">
        <f>VLOOKUP(1802,季財報!$A:$H,8,0)</f>
        <v>3</v>
      </c>
      <c r="F571" s="160">
        <v>3.1474999999999996E-2</v>
      </c>
      <c r="G571" s="153">
        <v>29251803278.688526</v>
      </c>
      <c r="H571" s="153">
        <v>40819564000</v>
      </c>
      <c r="I571" s="151">
        <v>0.71661234007027919</v>
      </c>
      <c r="J571" s="153">
        <v>0</v>
      </c>
    </row>
    <row r="572" spans="1:10" hidden="1">
      <c r="A572" s="64">
        <v>2020</v>
      </c>
      <c r="B572" s="151">
        <v>-1.84</v>
      </c>
      <c r="C572" s="160">
        <v>0</v>
      </c>
      <c r="D572" s="153">
        <v>257065217.39130434</v>
      </c>
      <c r="E572" s="26">
        <f>VLOOKUP(2020,季財報!$A:$H,8,0)</f>
        <v>0</v>
      </c>
      <c r="F572" s="160">
        <v>1.2574999999999994E-2</v>
      </c>
      <c r="G572" s="153">
        <v>3316141304.347826</v>
      </c>
      <c r="H572" s="153">
        <v>4626227000</v>
      </c>
      <c r="I572" s="151">
        <v>0.71681335661821743</v>
      </c>
      <c r="J572" s="153">
        <v>0</v>
      </c>
    </row>
    <row r="573" spans="1:10" hidden="1">
      <c r="A573" s="64">
        <v>2480</v>
      </c>
      <c r="B573" s="151">
        <v>0.55000000000000004</v>
      </c>
      <c r="C573" s="160">
        <v>0.86259541984732824</v>
      </c>
      <c r="D573" s="153">
        <v>132727272.72727272</v>
      </c>
      <c r="E573" s="26">
        <f>VLOOKUP(2480,季財報!$A:$H,8,0)</f>
        <v>3</v>
      </c>
      <c r="F573" s="160">
        <v>-3.1916666666666725E-3</v>
      </c>
      <c r="G573" s="153">
        <v>3331454545.4545455</v>
      </c>
      <c r="H573" s="153">
        <v>4639019000</v>
      </c>
      <c r="I573" s="151">
        <v>0.7181377238279355</v>
      </c>
      <c r="J573" s="153">
        <v>13.226468222043444</v>
      </c>
    </row>
    <row r="574" spans="1:10" hidden="1">
      <c r="A574" s="64">
        <v>3171</v>
      </c>
      <c r="B574" s="151">
        <v>0.4</v>
      </c>
      <c r="C574" s="160">
        <v>0.92307692307692313</v>
      </c>
      <c r="D574" s="153">
        <v>57500000</v>
      </c>
      <c r="E574" s="26">
        <f>VLOOKUP(3171,季財報!$A:$H,8,0)</f>
        <v>3</v>
      </c>
      <c r="F574" s="160">
        <v>2.2000000000000006E-3</v>
      </c>
      <c r="G574" s="153">
        <v>1259250000</v>
      </c>
      <c r="H574" s="153">
        <v>1753093000</v>
      </c>
      <c r="I574" s="151">
        <v>0.71830188130350192</v>
      </c>
      <c r="J574" s="153">
        <v>14.828124999999998</v>
      </c>
    </row>
    <row r="575" spans="1:10" hidden="1">
      <c r="A575" s="64">
        <v>2009</v>
      </c>
      <c r="B575" s="151">
        <v>-0.37</v>
      </c>
      <c r="C575" s="160">
        <v>0.59428571428571431</v>
      </c>
      <c r="D575" s="153">
        <v>356756756.75675678</v>
      </c>
      <c r="E575" s="26">
        <f>VLOOKUP(2009,季財報!$A:$H,8,0)</f>
        <v>1</v>
      </c>
      <c r="F575" s="160">
        <v>-7.9333333333333356E-3</v>
      </c>
      <c r="G575" s="153">
        <v>2408108108.1081085</v>
      </c>
      <c r="H575" s="153">
        <v>3352468000</v>
      </c>
      <c r="I575" s="151">
        <v>0.7183090511551814</v>
      </c>
      <c r="J575" s="153">
        <v>0</v>
      </c>
    </row>
    <row r="576" spans="1:10" hidden="1">
      <c r="A576" s="64">
        <v>6287</v>
      </c>
      <c r="B576" s="52">
        <v>-0.38</v>
      </c>
      <c r="C576" s="161">
        <v>0.95364238410596025</v>
      </c>
      <c r="D576" s="158">
        <v>181578947.36842105</v>
      </c>
      <c r="E576" s="26">
        <f>VLOOKUP(6287,季財報!$A:$H,8,0)</f>
        <v>3</v>
      </c>
      <c r="F576" s="161">
        <v>3.2025000000000005E-2</v>
      </c>
      <c r="G576" s="54">
        <v>606473684.21052623</v>
      </c>
      <c r="H576" s="54">
        <v>843965000</v>
      </c>
      <c r="I576" s="65">
        <v>0.71860051567366678</v>
      </c>
      <c r="J576" s="163">
        <v>0</v>
      </c>
    </row>
    <row r="577" spans="1:10" hidden="1">
      <c r="A577" s="64">
        <v>3224</v>
      </c>
      <c r="B577" s="151">
        <v>0.3</v>
      </c>
      <c r="C577" s="160">
        <v>0</v>
      </c>
      <c r="D577" s="153">
        <v>40000000</v>
      </c>
      <c r="E577" s="26">
        <f>VLOOKUP(3224,季財報!$A:$H,8,0)</f>
        <v>2</v>
      </c>
      <c r="F577" s="160">
        <v>2.6266666666666664E-2</v>
      </c>
      <c r="G577" s="153">
        <v>1528000000</v>
      </c>
      <c r="H577" s="153">
        <v>2124159000</v>
      </c>
      <c r="I577" s="151">
        <v>0.71934351430377863</v>
      </c>
      <c r="J577" s="153">
        <v>0</v>
      </c>
    </row>
    <row r="578" spans="1:10" hidden="1">
      <c r="A578" s="64">
        <v>1535</v>
      </c>
      <c r="B578" s="151">
        <v>1.01</v>
      </c>
      <c r="C578" s="160">
        <v>0.46558704453441296</v>
      </c>
      <c r="D578" s="153">
        <v>123762376.23762377</v>
      </c>
      <c r="E578" s="26">
        <f>VLOOKUP(1535,季財報!$A:$H,8,0)</f>
        <v>1</v>
      </c>
      <c r="F578" s="160">
        <v>5.2549999999999993E-2</v>
      </c>
      <c r="G578" s="153">
        <v>7363861386.1386137</v>
      </c>
      <c r="H578" s="153">
        <v>10228193000</v>
      </c>
      <c r="I578" s="151">
        <v>0.71995721884976294</v>
      </c>
      <c r="J578" s="153">
        <v>31.632587171760651</v>
      </c>
    </row>
    <row r="579" spans="1:10" hidden="1">
      <c r="A579" s="64">
        <v>8291</v>
      </c>
      <c r="B579" s="52">
        <v>-0.26</v>
      </c>
      <c r="C579" s="161">
        <v>1</v>
      </c>
      <c r="D579" s="158">
        <v>76923076.923076928</v>
      </c>
      <c r="E579" s="26">
        <f>VLOOKUP(8291,季財報!$A:$H,8,0)</f>
        <v>0</v>
      </c>
      <c r="F579" s="161">
        <v>2.7174999999999994E-2</v>
      </c>
      <c r="G579" s="54">
        <v>384615384.61538464</v>
      </c>
      <c r="H579" s="54">
        <v>533278000</v>
      </c>
      <c r="I579" s="65">
        <v>0.72122867362873522</v>
      </c>
      <c r="J579" s="163">
        <v>0</v>
      </c>
    </row>
    <row r="580" spans="1:10" hidden="1">
      <c r="A580" s="64">
        <v>3561</v>
      </c>
      <c r="B580" s="151">
        <v>0.06</v>
      </c>
      <c r="C580" s="160">
        <v>1</v>
      </c>
      <c r="D580" s="153">
        <v>383333333.33333337</v>
      </c>
      <c r="E580" s="26">
        <f>VLOOKUP(3561,季財報!$A:$H,8,0)</f>
        <v>4</v>
      </c>
      <c r="F580" s="160">
        <v>6.2425000000000008E-2</v>
      </c>
      <c r="G580" s="153">
        <v>7130000000.000001</v>
      </c>
      <c r="H580" s="153">
        <v>9880811000</v>
      </c>
      <c r="I580" s="151">
        <v>0.72160068642138797</v>
      </c>
      <c r="J580" s="153">
        <v>50</v>
      </c>
    </row>
    <row r="581" spans="1:10" hidden="1">
      <c r="A581" s="64">
        <v>1704</v>
      </c>
      <c r="B581" s="151">
        <v>9.08</v>
      </c>
      <c r="C581" s="160">
        <v>0.17786039817702087</v>
      </c>
      <c r="D581" s="153">
        <v>852863436.123348</v>
      </c>
      <c r="E581" s="26">
        <f>VLOOKUP(1704,季財報!$A:$H,8,0)</f>
        <v>4</v>
      </c>
      <c r="F581" s="160">
        <v>4.120833333333334E-2</v>
      </c>
      <c r="G581" s="153">
        <v>25372687224.669601</v>
      </c>
      <c r="H581" s="153">
        <v>35158647000</v>
      </c>
      <c r="I581" s="151">
        <v>0.72166278823726071</v>
      </c>
      <c r="J581" s="153">
        <v>4.6053418181386103</v>
      </c>
    </row>
    <row r="582" spans="1:10" hidden="1">
      <c r="A582" s="64">
        <v>2477</v>
      </c>
      <c r="B582" s="151">
        <v>0.63</v>
      </c>
      <c r="C582" s="160">
        <v>0.47530864197530864</v>
      </c>
      <c r="D582" s="153">
        <v>238095238.09523809</v>
      </c>
      <c r="E582" s="26">
        <f>VLOOKUP(2477,季財報!$A:$H,8,0)</f>
        <v>4</v>
      </c>
      <c r="F582" s="160">
        <v>2.2916666666666682E-2</v>
      </c>
      <c r="G582" s="153">
        <v>2976190476.1904759</v>
      </c>
      <c r="H582" s="153">
        <v>4113947000</v>
      </c>
      <c r="I582" s="151">
        <v>0.72343918776553906</v>
      </c>
      <c r="J582" s="153">
        <v>10.435992578849721</v>
      </c>
    </row>
    <row r="583" spans="1:10" hidden="1">
      <c r="A583" s="64">
        <v>8916</v>
      </c>
      <c r="B583" s="52">
        <v>2.41</v>
      </c>
      <c r="C583" s="161">
        <v>0.97662337662337662</v>
      </c>
      <c r="D583" s="158">
        <v>105809128.63070539</v>
      </c>
      <c r="E583" s="26">
        <f>VLOOKUP(8916,季財報!$A:$H,8,0)</f>
        <v>5</v>
      </c>
      <c r="F583" s="161">
        <v>2.8725000000000001E-2</v>
      </c>
      <c r="G583" s="54">
        <v>6295643153.5269709</v>
      </c>
      <c r="H583" s="54">
        <v>8692162000</v>
      </c>
      <c r="I583" s="65">
        <v>0.724289670800771</v>
      </c>
      <c r="J583" s="163">
        <v>6.3199379800476736</v>
      </c>
    </row>
    <row r="584" spans="1:10" hidden="1">
      <c r="A584" s="64">
        <v>4534</v>
      </c>
      <c r="B584" s="52">
        <v>0.43</v>
      </c>
      <c r="C584" s="161">
        <v>0.38461538461538464</v>
      </c>
      <c r="D584" s="158">
        <v>76744186.046511635</v>
      </c>
      <c r="E584" s="26">
        <f>VLOOKUP(4534,季財報!$A:$H,8,0)</f>
        <v>4</v>
      </c>
      <c r="F584" s="161">
        <v>4.5241666666666673E-2</v>
      </c>
      <c r="G584" s="54">
        <v>836511627.90697682</v>
      </c>
      <c r="H584" s="54">
        <v>1150544000</v>
      </c>
      <c r="I584" s="65">
        <v>0.72705748576932028</v>
      </c>
      <c r="J584" s="163">
        <v>16.476744186046513</v>
      </c>
    </row>
    <row r="585" spans="1:10" hidden="1">
      <c r="A585" s="64">
        <v>6138</v>
      </c>
      <c r="B585" s="52">
        <v>0.38</v>
      </c>
      <c r="C585" s="161">
        <v>0.47916666666666669</v>
      </c>
      <c r="D585" s="158">
        <v>102631578.94736841</v>
      </c>
      <c r="E585" s="26">
        <f>VLOOKUP(6138,季財報!$A:$H,8,0)</f>
        <v>3</v>
      </c>
      <c r="F585" s="161">
        <v>1.6475000000000004E-2</v>
      </c>
      <c r="G585" s="54">
        <v>2144999999.9999998</v>
      </c>
      <c r="H585" s="54">
        <v>2943715000</v>
      </c>
      <c r="I585" s="65">
        <v>0.72867108398741043</v>
      </c>
      <c r="J585" s="163">
        <v>28.695652173913039</v>
      </c>
    </row>
    <row r="586" spans="1:10" hidden="1">
      <c r="A586" s="64">
        <v>8046</v>
      </c>
      <c r="B586" s="52">
        <v>0.67</v>
      </c>
      <c r="C586" s="161">
        <v>0</v>
      </c>
      <c r="D586" s="158">
        <v>646268656.71641791</v>
      </c>
      <c r="E586" s="26">
        <f>VLOOKUP(8046,季財報!$A:$H,8,0)</f>
        <v>2</v>
      </c>
      <c r="F586" s="161">
        <v>-1.2841666666666668E-2</v>
      </c>
      <c r="G586" s="54">
        <v>22263955223.8806</v>
      </c>
      <c r="H586" s="54">
        <v>30433432000</v>
      </c>
      <c r="I586" s="65">
        <v>0.73156242200618715</v>
      </c>
      <c r="J586" s="163">
        <v>0</v>
      </c>
    </row>
    <row r="587" spans="1:10" hidden="1">
      <c r="A587" s="64">
        <v>8426</v>
      </c>
      <c r="B587" s="52">
        <v>0.88</v>
      </c>
      <c r="C587" s="161">
        <v>0.9285714285714286</v>
      </c>
      <c r="D587" s="158">
        <v>47727272.727272727</v>
      </c>
      <c r="E587" s="26">
        <f>VLOOKUP(8426,季財報!$A:$H,8,0)</f>
        <v>4</v>
      </c>
      <c r="F587" s="161">
        <v>1.0733333333333333E-2</v>
      </c>
      <c r="G587" s="54">
        <v>1267159090.909091</v>
      </c>
      <c r="H587" s="54">
        <v>1729939000</v>
      </c>
      <c r="I587" s="65">
        <v>0.7324877298616258</v>
      </c>
      <c r="J587" s="163">
        <v>8.122814685314685</v>
      </c>
    </row>
    <row r="588" spans="1:10" hidden="1">
      <c r="A588" s="64">
        <v>5351</v>
      </c>
      <c r="B588" s="52">
        <v>-0.16</v>
      </c>
      <c r="C588" s="161">
        <v>1</v>
      </c>
      <c r="D588" s="158">
        <v>431250000</v>
      </c>
      <c r="E588" s="26">
        <f>VLOOKUP(5351,季財報!$A:$H,8,0)</f>
        <v>0</v>
      </c>
      <c r="F588" s="161">
        <v>-1.1291666666666667E-2</v>
      </c>
      <c r="G588" s="54">
        <v>5584687500</v>
      </c>
      <c r="H588" s="54">
        <v>7612874000</v>
      </c>
      <c r="I588" s="65">
        <v>0.73358464884615193</v>
      </c>
      <c r="J588" s="163">
        <v>0</v>
      </c>
    </row>
    <row r="589" spans="1:10" hidden="1">
      <c r="A589" s="64">
        <v>5353</v>
      </c>
      <c r="B589" s="52">
        <v>0.25</v>
      </c>
      <c r="C589" s="161">
        <v>0</v>
      </c>
      <c r="D589" s="158">
        <v>88000000</v>
      </c>
      <c r="E589" s="26">
        <f>VLOOKUP(5353,季財報!$A:$H,8,0)</f>
        <v>4</v>
      </c>
      <c r="F589" s="161">
        <v>1.21E-2</v>
      </c>
      <c r="G589" s="54">
        <v>815760000</v>
      </c>
      <c r="H589" s="54">
        <v>1111898000</v>
      </c>
      <c r="I589" s="65">
        <v>0.73366441885856437</v>
      </c>
      <c r="J589" s="163">
        <v>0</v>
      </c>
    </row>
    <row r="590" spans="1:10">
      <c r="A590" s="64">
        <v>3303</v>
      </c>
      <c r="B590" s="151">
        <v>0.76</v>
      </c>
      <c r="C590" s="160">
        <v>0.81132075471698117</v>
      </c>
      <c r="D590" s="153">
        <v>97368421.052631572</v>
      </c>
      <c r="E590" s="26">
        <f>VLOOKUP(3303,季財報!$A:$H,8,0)</f>
        <v>5</v>
      </c>
      <c r="F590" s="160">
        <v>2.3108333333333328E-2</v>
      </c>
      <c r="G590" s="153">
        <v>1742894736.8421049</v>
      </c>
      <c r="H590" s="153">
        <v>2369047000</v>
      </c>
      <c r="I590" s="151">
        <v>0.73569445301933856</v>
      </c>
      <c r="J590" s="153">
        <v>7.2574969400244784</v>
      </c>
    </row>
    <row r="591" spans="1:10" hidden="1">
      <c r="A591" s="64">
        <v>6180</v>
      </c>
      <c r="B591" s="52">
        <v>0.17</v>
      </c>
      <c r="C591" s="161">
        <v>0.36065573770491804</v>
      </c>
      <c r="D591" s="158">
        <v>152941176.47058824</v>
      </c>
      <c r="E591" s="26">
        <f>VLOOKUP(6180,季財報!$A:$H,8,0)</f>
        <v>2</v>
      </c>
      <c r="F591" s="161">
        <v>3.8575000000000005E-2</v>
      </c>
      <c r="G591" s="54">
        <v>7096470588.2352943</v>
      </c>
      <c r="H591" s="54">
        <v>9636114000</v>
      </c>
      <c r="I591" s="65">
        <v>0.73644527121983971</v>
      </c>
      <c r="J591" s="163">
        <v>50</v>
      </c>
    </row>
    <row r="592" spans="1:10" hidden="1">
      <c r="A592" s="64">
        <v>8349</v>
      </c>
      <c r="B592" s="52">
        <v>1.44</v>
      </c>
      <c r="C592" s="161">
        <v>0.81949458483754511</v>
      </c>
      <c r="D592" s="158">
        <v>88194444.444444448</v>
      </c>
      <c r="E592" s="26">
        <f>VLOOKUP(8349,季財報!$A:$H,8,0)</f>
        <v>1</v>
      </c>
      <c r="F592" s="161">
        <v>1.3408333333333328E-2</v>
      </c>
      <c r="G592" s="54">
        <v>7152569444.4444447</v>
      </c>
      <c r="H592" s="54">
        <v>9683473000</v>
      </c>
      <c r="I592" s="65">
        <v>0.73863679327080733</v>
      </c>
      <c r="J592" s="163">
        <v>17.18115210474792</v>
      </c>
    </row>
    <row r="593" spans="1:10" hidden="1">
      <c r="A593" s="64">
        <v>4527</v>
      </c>
      <c r="B593" s="52">
        <v>0.56999999999999995</v>
      </c>
      <c r="C593" s="161">
        <v>0.93670886075949367</v>
      </c>
      <c r="D593" s="158">
        <v>77192982.456140354</v>
      </c>
      <c r="E593" s="26">
        <f>VLOOKUP(4527,季財報!$A:$H,8,0)</f>
        <v>1</v>
      </c>
      <c r="F593" s="161">
        <v>4.986666666666667E-2</v>
      </c>
      <c r="G593" s="54">
        <v>1740701754.3859651</v>
      </c>
      <c r="H593" s="54">
        <v>2353899000</v>
      </c>
      <c r="I593" s="65">
        <v>0.73949721478532648</v>
      </c>
      <c r="J593" s="163">
        <v>10.558617828354672</v>
      </c>
    </row>
    <row r="594" spans="1:10" hidden="1">
      <c r="A594" s="64">
        <v>4433</v>
      </c>
      <c r="B594" s="52">
        <v>0.18</v>
      </c>
      <c r="C594" s="161">
        <v>0.125</v>
      </c>
      <c r="D594" s="158">
        <v>27777777.77777778</v>
      </c>
      <c r="E594" s="26">
        <f>VLOOKUP(4433,季財報!$A:$H,8,0)</f>
        <v>2</v>
      </c>
      <c r="F594" s="161">
        <v>1.3650000000000002E-2</v>
      </c>
      <c r="G594" s="54">
        <v>1072222222.2222223</v>
      </c>
      <c r="H594" s="54">
        <v>1445873000</v>
      </c>
      <c r="I594" s="65">
        <v>0.74157427534937181</v>
      </c>
      <c r="J594" s="163">
        <v>50</v>
      </c>
    </row>
    <row r="595" spans="1:10" hidden="1">
      <c r="A595" s="64">
        <v>6173</v>
      </c>
      <c r="B595" s="52">
        <v>0.26</v>
      </c>
      <c r="C595" s="161">
        <v>0.61538461538461542</v>
      </c>
      <c r="D595" s="158">
        <v>184615384.61538461</v>
      </c>
      <c r="E595" s="26">
        <f>VLOOKUP(6173,季財報!$A:$H,8,0)</f>
        <v>1</v>
      </c>
      <c r="F595" s="161">
        <v>-8.6666666666666836E-4</v>
      </c>
      <c r="G595" s="54">
        <v>1792615384.6153848</v>
      </c>
      <c r="H595" s="54">
        <v>2410050000</v>
      </c>
      <c r="I595" s="65">
        <v>0.7438083793346133</v>
      </c>
      <c r="J595" s="163">
        <v>15.171875000000002</v>
      </c>
    </row>
    <row r="596" spans="1:10" hidden="1">
      <c r="A596" s="64">
        <v>1216</v>
      </c>
      <c r="B596" s="151">
        <v>0.68</v>
      </c>
      <c r="C596" s="160">
        <v>0.57225642883013406</v>
      </c>
      <c r="D596" s="153">
        <v>5669117647.0588236</v>
      </c>
      <c r="E596" s="26">
        <f>VLOOKUP(1216,季財報!$A:$H,8,0)</f>
        <v>4</v>
      </c>
      <c r="F596" s="160">
        <v>5.2916666666666693E-3</v>
      </c>
      <c r="G596" s="153">
        <v>310667647058.82349</v>
      </c>
      <c r="H596" s="153">
        <v>417449851000</v>
      </c>
      <c r="I596" s="151">
        <v>0.74420351645741389</v>
      </c>
      <c r="J596" s="153">
        <v>35.206347728964992</v>
      </c>
    </row>
    <row r="597" spans="1:10" hidden="1">
      <c r="A597" s="64">
        <v>8027</v>
      </c>
      <c r="B597" s="52">
        <v>0.18</v>
      </c>
      <c r="C597" s="161">
        <v>0</v>
      </c>
      <c r="D597" s="158">
        <v>55555555.55555556</v>
      </c>
      <c r="E597" s="26">
        <f>VLOOKUP(8027,季財報!$A:$H,8,0)</f>
        <v>2</v>
      </c>
      <c r="F597" s="161">
        <v>-1.9949999999999999E-2</v>
      </c>
      <c r="G597" s="54">
        <v>1230555555.5555556</v>
      </c>
      <c r="H597" s="54">
        <v>1651019000</v>
      </c>
      <c r="I597" s="65">
        <v>0.74533094746671935</v>
      </c>
      <c r="J597" s="163">
        <v>0</v>
      </c>
    </row>
    <row r="598" spans="1:10" hidden="1">
      <c r="A598" s="64">
        <v>9802</v>
      </c>
      <c r="B598" s="52">
        <v>0.43</v>
      </c>
      <c r="C598" s="161">
        <v>1</v>
      </c>
      <c r="D598" s="158">
        <v>130232558.13953489</v>
      </c>
      <c r="E598" s="26">
        <f>VLOOKUP(9802,季財報!$A:$H,8,0)</f>
        <v>2</v>
      </c>
      <c r="F598" s="161">
        <v>2.6916666666666662E-2</v>
      </c>
      <c r="G598" s="54">
        <v>6837209302.3255816</v>
      </c>
      <c r="H598" s="54">
        <v>9162276000</v>
      </c>
      <c r="I598" s="65">
        <v>0.74623481134224523</v>
      </c>
      <c r="J598" s="163">
        <v>30.52325581395349</v>
      </c>
    </row>
    <row r="599" spans="1:10" hidden="1">
      <c r="A599" s="64">
        <v>2499</v>
      </c>
      <c r="B599" s="151">
        <v>0.2</v>
      </c>
      <c r="C599" s="160">
        <v>0.546875</v>
      </c>
      <c r="D599" s="153">
        <v>315000000</v>
      </c>
      <c r="E599" s="26">
        <f>VLOOKUP(2499,季財報!$A:$H,8,0)</f>
        <v>1</v>
      </c>
      <c r="F599" s="160">
        <v>-1.1708333333333334E-2</v>
      </c>
      <c r="G599" s="153">
        <v>6142500000</v>
      </c>
      <c r="H599" s="153">
        <v>8223770000</v>
      </c>
      <c r="I599" s="151">
        <v>0.74692020812838877</v>
      </c>
      <c r="J599" s="153">
        <v>44.571428571428569</v>
      </c>
    </row>
    <row r="600" spans="1:10" hidden="1">
      <c r="A600" s="64">
        <v>3276</v>
      </c>
      <c r="B600" s="151">
        <v>0.16</v>
      </c>
      <c r="C600" s="160">
        <v>0.23076923076923078</v>
      </c>
      <c r="D600" s="153">
        <v>68750000</v>
      </c>
      <c r="E600" s="26">
        <f>VLOOKUP(3276,季財報!$A:$H,8,0)</f>
        <v>2</v>
      </c>
      <c r="F600" s="160">
        <v>2.7591666666666667E-2</v>
      </c>
      <c r="G600" s="153">
        <v>645562500</v>
      </c>
      <c r="H600" s="153">
        <v>863648000</v>
      </c>
      <c r="I600" s="151">
        <v>0.7474833496980251</v>
      </c>
      <c r="J600" s="153">
        <v>50</v>
      </c>
    </row>
    <row r="601" spans="1:10" hidden="1">
      <c r="A601" s="64">
        <v>3406</v>
      </c>
      <c r="B601" s="151">
        <v>-0.53</v>
      </c>
      <c r="C601" s="160">
        <v>0.87671232876712324</v>
      </c>
      <c r="D601" s="153">
        <v>100000000</v>
      </c>
      <c r="E601" s="26">
        <f>VLOOKUP(3406,季財報!$A:$H,8,0)</f>
        <v>2</v>
      </c>
      <c r="F601" s="160">
        <v>7.5825000000000017E-2</v>
      </c>
      <c r="G601" s="153">
        <v>7100000000</v>
      </c>
      <c r="H601" s="153">
        <v>9495195000</v>
      </c>
      <c r="I601" s="151">
        <v>0.74774662342374221</v>
      </c>
      <c r="J601" s="153">
        <v>0</v>
      </c>
    </row>
    <row r="602" spans="1:10" hidden="1">
      <c r="A602" s="64">
        <v>2464</v>
      </c>
      <c r="B602" s="151">
        <v>0.93</v>
      </c>
      <c r="C602" s="160">
        <v>0.93602693602693599</v>
      </c>
      <c r="D602" s="153">
        <v>191397849.46236557</v>
      </c>
      <c r="E602" s="26">
        <f>VLOOKUP(2464,季財報!$A:$H,8,0)</f>
        <v>3</v>
      </c>
      <c r="F602" s="160">
        <v>2.8058333333333327E-2</v>
      </c>
      <c r="G602" s="153">
        <v>5885483870.967741</v>
      </c>
      <c r="H602" s="153">
        <v>7829047000</v>
      </c>
      <c r="I602" s="151">
        <v>0.75174971755409581</v>
      </c>
      <c r="J602" s="153">
        <v>8.8310802970526794</v>
      </c>
    </row>
    <row r="603" spans="1:10" hidden="1">
      <c r="A603" s="64">
        <v>3515</v>
      </c>
      <c r="B603" s="151">
        <v>0.55000000000000004</v>
      </c>
      <c r="C603" s="160">
        <v>1</v>
      </c>
      <c r="D603" s="153">
        <v>114545454.54545453</v>
      </c>
      <c r="E603" s="26">
        <f>VLOOKUP(3515,季財報!$A:$H,8,0)</f>
        <v>1</v>
      </c>
      <c r="F603" s="160">
        <v>1.8558333333333333E-2</v>
      </c>
      <c r="G603" s="153">
        <v>5440909090.90909</v>
      </c>
      <c r="H603" s="153">
        <v>7232024000</v>
      </c>
      <c r="I603" s="151">
        <v>0.75233559663367955</v>
      </c>
      <c r="J603" s="153">
        <v>21.59090909090909</v>
      </c>
    </row>
    <row r="604" spans="1:10" hidden="1">
      <c r="A604" s="64">
        <v>6609</v>
      </c>
      <c r="B604" s="52">
        <v>1.27</v>
      </c>
      <c r="C604" s="161">
        <v>1</v>
      </c>
      <c r="D604" s="158">
        <v>70866141.732283458</v>
      </c>
      <c r="E604" s="26">
        <f>VLOOKUP(6609,季財報!$A:$H,8,0)</f>
        <v>2</v>
      </c>
      <c r="F604" s="161">
        <v>4.1375000000000009E-2</v>
      </c>
      <c r="G604" s="54">
        <v>2097637795.2755904</v>
      </c>
      <c r="H604" s="54">
        <v>2784931000</v>
      </c>
      <c r="I604" s="65">
        <v>0.7532099701125774</v>
      </c>
      <c r="J604" s="163">
        <v>5.8267716535433074</v>
      </c>
    </row>
    <row r="605" spans="1:10" hidden="1">
      <c r="A605" s="64">
        <v>3625</v>
      </c>
      <c r="B605" s="151">
        <v>7.0000000000000007E-2</v>
      </c>
      <c r="C605" s="160">
        <v>0</v>
      </c>
      <c r="D605" s="153">
        <v>57142857.142857134</v>
      </c>
      <c r="E605" s="26">
        <f>VLOOKUP(3625,季財報!$A:$H,8,0)</f>
        <v>2</v>
      </c>
      <c r="F605" s="160">
        <v>4.6116666666666674E-2</v>
      </c>
      <c r="G605" s="153">
        <v>552571428.57142854</v>
      </c>
      <c r="H605" s="153">
        <v>731810000</v>
      </c>
      <c r="I605" s="151">
        <v>0.75507499019066227</v>
      </c>
      <c r="J605" s="153">
        <v>0</v>
      </c>
    </row>
    <row r="606" spans="1:10" hidden="1">
      <c r="A606" s="64">
        <v>2916</v>
      </c>
      <c r="B606" s="151">
        <v>-0.12</v>
      </c>
      <c r="C606" s="160">
        <v>0</v>
      </c>
      <c r="D606" s="153">
        <v>58333333.333333336</v>
      </c>
      <c r="E606" s="26">
        <f>VLOOKUP(2916,季財報!$A:$H,8,0)</f>
        <v>1</v>
      </c>
      <c r="F606" s="160">
        <v>3.339166666666666E-2</v>
      </c>
      <c r="G606" s="153">
        <v>1050000000</v>
      </c>
      <c r="H606" s="153">
        <v>1388864000</v>
      </c>
      <c r="I606" s="151">
        <v>0.75601354776277596</v>
      </c>
      <c r="J606" s="153">
        <v>0</v>
      </c>
    </row>
    <row r="607" spans="1:10" hidden="1">
      <c r="A607" s="64">
        <v>2344</v>
      </c>
      <c r="B607" s="151">
        <v>0.18</v>
      </c>
      <c r="C607" s="160">
        <v>0.90434192672998648</v>
      </c>
      <c r="D607" s="153">
        <v>3738888888.8888888</v>
      </c>
      <c r="E607" s="26">
        <f>VLOOKUP(2344,季財報!$A:$H,8,0)</f>
        <v>1</v>
      </c>
      <c r="F607" s="160">
        <v>5.9916666666666668E-3</v>
      </c>
      <c r="G607" s="153">
        <v>29051166666.666664</v>
      </c>
      <c r="H607" s="153">
        <v>38256968000</v>
      </c>
      <c r="I607" s="151">
        <v>0.75936929101821826</v>
      </c>
      <c r="J607" s="153">
        <v>11.933170792698174</v>
      </c>
    </row>
    <row r="608" spans="1:10" hidden="1">
      <c r="A608" s="64">
        <v>2492</v>
      </c>
      <c r="B608" s="151">
        <v>0.62</v>
      </c>
      <c r="C608" s="160">
        <v>0.54024556616643926</v>
      </c>
      <c r="D608" s="153">
        <v>680645161.29032254</v>
      </c>
      <c r="E608" s="26">
        <f>VLOOKUP(2492,季財報!$A:$H,8,0)</f>
        <v>4</v>
      </c>
      <c r="F608" s="160">
        <v>1.4766666666666662E-2</v>
      </c>
      <c r="G608" s="153">
        <v>11945322580.645161</v>
      </c>
      <c r="H608" s="153">
        <v>15705920000</v>
      </c>
      <c r="I608" s="151">
        <v>0.76056178693417265</v>
      </c>
      <c r="J608" s="153">
        <v>13.098881964809387</v>
      </c>
    </row>
    <row r="609" spans="1:10" hidden="1">
      <c r="A609" s="64">
        <v>1727</v>
      </c>
      <c r="B609" s="151">
        <v>0.25</v>
      </c>
      <c r="C609" s="160">
        <v>1</v>
      </c>
      <c r="D609" s="153">
        <v>108000000</v>
      </c>
      <c r="E609" s="26">
        <f>VLOOKUP(1727,季財報!$A:$H,8,0)</f>
        <v>2</v>
      </c>
      <c r="F609" s="160">
        <v>1.3974999999999996E-2</v>
      </c>
      <c r="G609" s="153">
        <v>1706400000</v>
      </c>
      <c r="H609" s="153">
        <v>2241586000</v>
      </c>
      <c r="I609" s="151">
        <v>0.76124672441744368</v>
      </c>
      <c r="J609" s="153">
        <v>15.8</v>
      </c>
    </row>
    <row r="610" spans="1:10" hidden="1">
      <c r="A610" s="64">
        <v>1217</v>
      </c>
      <c r="B610" s="151">
        <v>0.44</v>
      </c>
      <c r="C610" s="160">
        <v>0</v>
      </c>
      <c r="D610" s="153">
        <v>481818181.81818181</v>
      </c>
      <c r="E610" s="26">
        <f>VLOOKUP(1217,季財報!$A:$H,8,0)</f>
        <v>2</v>
      </c>
      <c r="F610" s="160">
        <v>1.7274999999999995E-2</v>
      </c>
      <c r="G610" s="153">
        <v>3498000000</v>
      </c>
      <c r="H610" s="153">
        <v>4584199000</v>
      </c>
      <c r="I610" s="151">
        <v>0.76305587955496701</v>
      </c>
      <c r="J610" s="153">
        <v>0</v>
      </c>
    </row>
    <row r="611" spans="1:10" hidden="1">
      <c r="A611" s="64">
        <v>6164</v>
      </c>
      <c r="B611" s="52">
        <v>7.0000000000000007E-2</v>
      </c>
      <c r="C611" s="161">
        <v>1</v>
      </c>
      <c r="D611" s="158">
        <v>128571428.57142855</v>
      </c>
      <c r="E611" s="26">
        <f>VLOOKUP(6164,季財報!$A:$H,8,0)</f>
        <v>2</v>
      </c>
      <c r="F611" s="161">
        <v>2.2500000000000024E-3</v>
      </c>
      <c r="G611" s="54">
        <v>1317857142.8571427</v>
      </c>
      <c r="H611" s="54">
        <v>1724192000</v>
      </c>
      <c r="I611" s="65">
        <v>0.76433317336882589</v>
      </c>
      <c r="J611" s="163">
        <v>36.607142857142854</v>
      </c>
    </row>
    <row r="612" spans="1:10" hidden="1">
      <c r="A612" s="64">
        <v>1457</v>
      </c>
      <c r="B612" s="151">
        <v>0.13</v>
      </c>
      <c r="C612" s="160">
        <v>0</v>
      </c>
      <c r="D612" s="153">
        <v>269230769.23076922</v>
      </c>
      <c r="E612" s="26">
        <f>VLOOKUP(1457,季財報!$A:$H,8,0)</f>
        <v>2</v>
      </c>
      <c r="F612" s="160">
        <v>5.7858333333333338E-2</v>
      </c>
      <c r="G612" s="153">
        <v>3244230769.2307692</v>
      </c>
      <c r="H612" s="153">
        <v>4242788000</v>
      </c>
      <c r="I612" s="151">
        <v>0.76464597553089364</v>
      </c>
      <c r="J612" s="153">
        <v>0</v>
      </c>
    </row>
    <row r="613" spans="1:10" hidden="1">
      <c r="A613" s="64">
        <v>5340</v>
      </c>
      <c r="B613" s="52">
        <v>-0.1</v>
      </c>
      <c r="C613" s="161">
        <v>1</v>
      </c>
      <c r="D613" s="158">
        <v>190000000</v>
      </c>
      <c r="E613" s="26">
        <f>VLOOKUP(5340,季財報!$A:$H,8,0)</f>
        <v>1</v>
      </c>
      <c r="F613" s="161">
        <v>1.7108333333333333E-2</v>
      </c>
      <c r="G613" s="54">
        <v>716300000</v>
      </c>
      <c r="H613" s="54">
        <v>932682000</v>
      </c>
      <c r="I613" s="65">
        <v>0.76800024016760271</v>
      </c>
      <c r="J613" s="163">
        <v>0</v>
      </c>
    </row>
    <row r="614" spans="1:10" hidden="1">
      <c r="A614" s="64">
        <v>5468</v>
      </c>
      <c r="B614" s="52">
        <v>-0.04</v>
      </c>
      <c r="C614" s="161">
        <v>0.33333333333333331</v>
      </c>
      <c r="D614" s="158">
        <v>50000000</v>
      </c>
      <c r="E614" s="26">
        <f>VLOOKUP(5468,季財報!$A:$H,8,0)</f>
        <v>2</v>
      </c>
      <c r="F614" s="161">
        <v>-1.3716666666666667E-2</v>
      </c>
      <c r="G614" s="54">
        <v>354500000</v>
      </c>
      <c r="H614" s="54">
        <v>459641000</v>
      </c>
      <c r="I614" s="65">
        <v>0.77125408742910229</v>
      </c>
      <c r="J614" s="163">
        <v>0</v>
      </c>
    </row>
    <row r="615" spans="1:10" hidden="1">
      <c r="A615" s="64">
        <v>1517</v>
      </c>
      <c r="B615" s="151">
        <v>0.28000000000000003</v>
      </c>
      <c r="C615" s="160">
        <v>6.7226890756302518E-2</v>
      </c>
      <c r="D615" s="153">
        <v>228571428.57142854</v>
      </c>
      <c r="E615" s="26">
        <f>VLOOKUP(1517,季財報!$A:$H,8,0)</f>
        <v>2</v>
      </c>
      <c r="F615" s="160">
        <v>1.0666666666666585E-3</v>
      </c>
      <c r="G615" s="153">
        <v>2777142857.1428566</v>
      </c>
      <c r="H615" s="153">
        <v>3592634000</v>
      </c>
      <c r="I615" s="151">
        <v>0.77301023626198961</v>
      </c>
      <c r="J615" s="153">
        <v>50</v>
      </c>
    </row>
    <row r="616" spans="1:10" hidden="1">
      <c r="A616" s="64">
        <v>3669</v>
      </c>
      <c r="B616" s="151">
        <v>0.21</v>
      </c>
      <c r="C616" s="160">
        <v>0.05</v>
      </c>
      <c r="D616" s="153">
        <v>90476190.476190478</v>
      </c>
      <c r="E616" s="26">
        <f>VLOOKUP(3669,季財報!$A:$H,8,0)</f>
        <v>4</v>
      </c>
      <c r="F616" s="160">
        <v>2.5833333333333333E-2</v>
      </c>
      <c r="G616" s="153">
        <v>1280238095.2380953</v>
      </c>
      <c r="H616" s="153">
        <v>1650767000</v>
      </c>
      <c r="I616" s="151">
        <v>0.77554136667264084</v>
      </c>
      <c r="J616" s="153">
        <v>50</v>
      </c>
    </row>
    <row r="617" spans="1:10" hidden="1">
      <c r="A617" s="64">
        <v>3419</v>
      </c>
      <c r="B617" s="151">
        <v>0.05</v>
      </c>
      <c r="C617" s="160">
        <v>0.93023255813953487</v>
      </c>
      <c r="D617" s="153">
        <v>120000000</v>
      </c>
      <c r="E617" s="26">
        <f>VLOOKUP(3419,季財報!$A:$H,8,0)</f>
        <v>5</v>
      </c>
      <c r="F617" s="160">
        <v>3.5541666666666659E-2</v>
      </c>
      <c r="G617" s="153">
        <v>1674000000</v>
      </c>
      <c r="H617" s="153">
        <v>2154180000</v>
      </c>
      <c r="I617" s="151">
        <v>0.77709383616967942</v>
      </c>
      <c r="J617" s="153">
        <v>50</v>
      </c>
    </row>
    <row r="618" spans="1:10" hidden="1">
      <c r="A618" s="64">
        <v>8039</v>
      </c>
      <c r="B618" s="52">
        <v>1.49</v>
      </c>
      <c r="C618" s="161">
        <v>0.95905172413793105</v>
      </c>
      <c r="D618" s="158">
        <v>202013422.81879196</v>
      </c>
      <c r="E618" s="26">
        <f>VLOOKUP(8039,季財報!$A:$H,8,0)</f>
        <v>5</v>
      </c>
      <c r="F618" s="161">
        <v>1.8333333333333337E-2</v>
      </c>
      <c r="G618" s="54">
        <v>7747214765.1006718</v>
      </c>
      <c r="H618" s="54">
        <v>9946955000</v>
      </c>
      <c r="I618" s="65">
        <v>0.7788529017272795</v>
      </c>
      <c r="J618" s="163">
        <v>6.7092979413317249</v>
      </c>
    </row>
    <row r="619" spans="1:10" hidden="1">
      <c r="A619" s="64">
        <v>1323</v>
      </c>
      <c r="B619" s="151">
        <v>0.69</v>
      </c>
      <c r="C619" s="160">
        <v>0.79611650485436891</v>
      </c>
      <c r="D619" s="153">
        <v>91304347.826086968</v>
      </c>
      <c r="E619" s="26">
        <f>VLOOKUP(1323,季財報!$A:$H,8,0)</f>
        <v>2</v>
      </c>
      <c r="F619" s="160">
        <v>5.8750000000000017E-3</v>
      </c>
      <c r="G619" s="153">
        <v>2483478260.8695655</v>
      </c>
      <c r="H619" s="153">
        <v>3176482000</v>
      </c>
      <c r="I619" s="151">
        <v>0.78183293998504177</v>
      </c>
      <c r="J619" s="153">
        <v>12.378932484977026</v>
      </c>
    </row>
    <row r="620" spans="1:10" hidden="1">
      <c r="A620" s="64">
        <v>8941</v>
      </c>
      <c r="B620" s="52">
        <v>2.82</v>
      </c>
      <c r="C620" s="161">
        <v>0.64406779661016944</v>
      </c>
      <c r="D620" s="158">
        <v>21276595.744680852</v>
      </c>
      <c r="E620" s="26">
        <f>VLOOKUP(8941,季財報!$A:$H,8,0)</f>
        <v>1</v>
      </c>
      <c r="F620" s="161">
        <v>1.2958333333333329E-2</v>
      </c>
      <c r="G620" s="54">
        <v>1936170212.7659576</v>
      </c>
      <c r="H620" s="54">
        <v>2472537000</v>
      </c>
      <c r="I620" s="65">
        <v>0.78307026862124107</v>
      </c>
      <c r="J620" s="163">
        <v>12.525662560656963</v>
      </c>
    </row>
    <row r="621" spans="1:10" hidden="1">
      <c r="A621" s="64">
        <v>4429</v>
      </c>
      <c r="B621" s="52">
        <v>0.53</v>
      </c>
      <c r="C621" s="161">
        <v>0.92592592592592593</v>
      </c>
      <c r="D621" s="158">
        <v>33962264.150943391</v>
      </c>
      <c r="E621" s="26">
        <f>VLOOKUP(4429,季財報!$A:$H,8,0)</f>
        <v>3</v>
      </c>
      <c r="F621" s="161">
        <v>1.5591666666666665E-2</v>
      </c>
      <c r="G621" s="54">
        <v>794716981.13207531</v>
      </c>
      <c r="H621" s="54">
        <v>1011186000</v>
      </c>
      <c r="I621" s="65">
        <v>0.78592561717831866</v>
      </c>
      <c r="J621" s="163">
        <v>11.920754716981131</v>
      </c>
    </row>
    <row r="622" spans="1:10" hidden="1">
      <c r="A622" s="64">
        <v>3438</v>
      </c>
      <c r="B622" s="151">
        <v>-0.3</v>
      </c>
      <c r="C622" s="160">
        <v>1</v>
      </c>
      <c r="D622" s="153">
        <v>40000000</v>
      </c>
      <c r="E622" s="26">
        <f>VLOOKUP(3438,季財報!$A:$H,8,0)</f>
        <v>0</v>
      </c>
      <c r="F622" s="160">
        <v>-8.6416666666666603E-3</v>
      </c>
      <c r="G622" s="153">
        <v>720000000</v>
      </c>
      <c r="H622" s="153">
        <v>915865000</v>
      </c>
      <c r="I622" s="151">
        <v>0.78614206242186346</v>
      </c>
      <c r="J622" s="153">
        <v>0</v>
      </c>
    </row>
    <row r="623" spans="1:10" hidden="1">
      <c r="A623" s="64">
        <v>5439</v>
      </c>
      <c r="B623" s="52">
        <v>0.6</v>
      </c>
      <c r="C623" s="161">
        <v>0.86111111111111116</v>
      </c>
      <c r="D623" s="158">
        <v>78333333.333333343</v>
      </c>
      <c r="E623" s="26">
        <f>VLOOKUP(5439,季財報!$A:$H,8,0)</f>
        <v>3</v>
      </c>
      <c r="F623" s="161">
        <v>8.5749999999999993E-3</v>
      </c>
      <c r="G623" s="54">
        <v>1453083333.3333335</v>
      </c>
      <c r="H623" s="54">
        <v>1846906000</v>
      </c>
      <c r="I623" s="65">
        <v>0.7867662638668852</v>
      </c>
      <c r="J623" s="163">
        <v>8.9758064516129021</v>
      </c>
    </row>
    <row r="624" spans="1:10" hidden="1">
      <c r="A624" s="64">
        <v>3144</v>
      </c>
      <c r="B624" s="151">
        <v>0.5</v>
      </c>
      <c r="C624" s="160">
        <v>1</v>
      </c>
      <c r="D624" s="153">
        <v>100000000</v>
      </c>
      <c r="E624" s="26">
        <f>VLOOKUP(3144,季財報!$A:$H,8,0)</f>
        <v>2</v>
      </c>
      <c r="F624" s="160">
        <v>2.1441666666666668E-2</v>
      </c>
      <c r="G624" s="153">
        <v>1605000000</v>
      </c>
      <c r="H624" s="153">
        <v>2038708000</v>
      </c>
      <c r="I624" s="151">
        <v>0.78726330597613781</v>
      </c>
      <c r="J624" s="153">
        <v>8.0250000000000004</v>
      </c>
    </row>
    <row r="625" spans="1:10" hidden="1">
      <c r="A625" s="64">
        <v>1459</v>
      </c>
      <c r="B625" s="151">
        <v>0.13</v>
      </c>
      <c r="C625" s="160">
        <v>0.28205128205128205</v>
      </c>
      <c r="D625" s="153">
        <v>300000000</v>
      </c>
      <c r="E625" s="26">
        <f>VLOOKUP(1459,季財報!$A:$H,8,0)</f>
        <v>1</v>
      </c>
      <c r="F625" s="160">
        <v>1.3175000000000001E-2</v>
      </c>
      <c r="G625" s="153">
        <v>3165000000</v>
      </c>
      <c r="H625" s="153">
        <v>4019231000</v>
      </c>
      <c r="I625" s="151">
        <v>0.78746406961928783</v>
      </c>
      <c r="J625" s="153">
        <v>50</v>
      </c>
    </row>
    <row r="626" spans="1:10" hidden="1">
      <c r="A626" s="64">
        <v>3055</v>
      </c>
      <c r="B626" s="151">
        <v>0.1</v>
      </c>
      <c r="C626" s="160">
        <v>0.91428571428571426</v>
      </c>
      <c r="D626" s="153">
        <v>130000000</v>
      </c>
      <c r="E626" s="26">
        <f>VLOOKUP(3055,季財報!$A:$H,8,0)</f>
        <v>0</v>
      </c>
      <c r="F626" s="160">
        <v>3.1749999999999994E-2</v>
      </c>
      <c r="G626" s="153">
        <v>2112500000</v>
      </c>
      <c r="H626" s="153">
        <v>2674580000</v>
      </c>
      <c r="I626" s="151">
        <v>0.78984363900126375</v>
      </c>
      <c r="J626" s="153">
        <v>44.43359375</v>
      </c>
    </row>
    <row r="627" spans="1:10" hidden="1">
      <c r="A627" s="64">
        <v>6105</v>
      </c>
      <c r="B627" s="52">
        <v>1.4</v>
      </c>
      <c r="C627" s="161">
        <v>0.23809523809523808</v>
      </c>
      <c r="D627" s="158">
        <v>103571428.57142858</v>
      </c>
      <c r="E627" s="26">
        <f>VLOOKUP(6105,季財報!$A:$H,8,0)</f>
        <v>2</v>
      </c>
      <c r="F627" s="161">
        <v>-5.7166666666666659E-3</v>
      </c>
      <c r="G627" s="54">
        <v>4640000000</v>
      </c>
      <c r="H627" s="54">
        <v>5874476000</v>
      </c>
      <c r="I627" s="65">
        <v>0.78985768262565037</v>
      </c>
      <c r="J627" s="163">
        <v>33.6</v>
      </c>
    </row>
    <row r="628" spans="1:10" hidden="1">
      <c r="A628" s="64">
        <v>5355</v>
      </c>
      <c r="B628" s="52">
        <v>0.12</v>
      </c>
      <c r="C628" s="161">
        <v>0</v>
      </c>
      <c r="D628" s="158">
        <v>175000000</v>
      </c>
      <c r="E628" s="26">
        <f>VLOOKUP(5355,季財報!$A:$H,8,0)</f>
        <v>2</v>
      </c>
      <c r="F628" s="161">
        <v>-1.1099999999999999E-2</v>
      </c>
      <c r="G628" s="54">
        <v>1176000000</v>
      </c>
      <c r="H628" s="54">
        <v>1488355000</v>
      </c>
      <c r="I628" s="65">
        <v>0.79013407419600834</v>
      </c>
      <c r="J628" s="163">
        <v>0</v>
      </c>
    </row>
    <row r="629" spans="1:10" hidden="1">
      <c r="A629" s="64">
        <v>5907</v>
      </c>
      <c r="B629" s="52">
        <v>-2.48</v>
      </c>
      <c r="C629" s="161">
        <v>0</v>
      </c>
      <c r="D629" s="158">
        <v>197580645.16129032</v>
      </c>
      <c r="E629" s="26">
        <f>VLOOKUP(5907,季財報!$A:$H,8,0)</f>
        <v>0</v>
      </c>
      <c r="F629" s="161">
        <v>1.3216666666666668E-2</v>
      </c>
      <c r="G629" s="54">
        <v>6026209677.4193544</v>
      </c>
      <c r="H629" s="54">
        <v>7607359000</v>
      </c>
      <c r="I629" s="65">
        <v>0.79215529034706456</v>
      </c>
      <c r="J629" s="163">
        <v>0</v>
      </c>
    </row>
    <row r="630" spans="1:10" hidden="1">
      <c r="A630" s="64">
        <v>4523</v>
      </c>
      <c r="B630" s="52">
        <v>-0.24</v>
      </c>
      <c r="C630" s="161">
        <v>0</v>
      </c>
      <c r="D630" s="158">
        <v>66666666.666666672</v>
      </c>
      <c r="E630" s="26">
        <f>VLOOKUP(4523,季財報!$A:$H,8,0)</f>
        <v>2</v>
      </c>
      <c r="F630" s="161">
        <v>2.7449999999999992E-2</v>
      </c>
      <c r="G630" s="54">
        <v>1210000000</v>
      </c>
      <c r="H630" s="54">
        <v>1525601000</v>
      </c>
      <c r="I630" s="65">
        <v>0.79313005169765882</v>
      </c>
      <c r="J630" s="163">
        <v>0</v>
      </c>
    </row>
    <row r="631" spans="1:10" hidden="1">
      <c r="A631" s="64">
        <v>6107</v>
      </c>
      <c r="B631" s="52">
        <v>1.32</v>
      </c>
      <c r="C631" s="161">
        <v>0.66666666666666663</v>
      </c>
      <c r="D631" s="158">
        <v>74242424.242424235</v>
      </c>
      <c r="E631" s="26">
        <f>VLOOKUP(6107,季財報!$A:$H,8,0)</f>
        <v>1</v>
      </c>
      <c r="F631" s="161">
        <v>0.13785833333333333</v>
      </c>
      <c r="G631" s="54">
        <v>5568181818.181818</v>
      </c>
      <c r="H631" s="54">
        <v>6972934000</v>
      </c>
      <c r="I631" s="65">
        <v>0.79854216577724935</v>
      </c>
      <c r="J631" s="163">
        <v>21.306818181818183</v>
      </c>
    </row>
    <row r="632" spans="1:10" hidden="1">
      <c r="A632" s="64">
        <v>3628</v>
      </c>
      <c r="B632" s="151">
        <v>0.65</v>
      </c>
      <c r="C632" s="160">
        <v>0.66249999999999998</v>
      </c>
      <c r="D632" s="153">
        <v>44615384.615384616</v>
      </c>
      <c r="E632" s="26">
        <f>VLOOKUP(3628,季財報!$A:$H,8,0)</f>
        <v>0</v>
      </c>
      <c r="F632" s="160">
        <v>1.5208333333333338E-2</v>
      </c>
      <c r="G632" s="153">
        <v>2228538461.5384617</v>
      </c>
      <c r="H632" s="153">
        <v>2788756000</v>
      </c>
      <c r="I632" s="151">
        <v>0.79911561339122594</v>
      </c>
      <c r="J632" s="153">
        <v>28.998548621190135</v>
      </c>
    </row>
    <row r="633" spans="1:10" hidden="1">
      <c r="A633" s="64">
        <v>1612</v>
      </c>
      <c r="B633" s="151">
        <v>-0.03</v>
      </c>
      <c r="C633" s="160">
        <v>0</v>
      </c>
      <c r="D633" s="153">
        <v>300000000</v>
      </c>
      <c r="E633" s="26">
        <f>VLOOKUP(1612,季財報!$A:$H,8,0)</f>
        <v>1</v>
      </c>
      <c r="F633" s="160">
        <v>2.2999999999999993E-2</v>
      </c>
      <c r="G633" s="153">
        <v>2556000000</v>
      </c>
      <c r="H633" s="153">
        <v>3197776000</v>
      </c>
      <c r="I633" s="151">
        <v>0.79930551733454747</v>
      </c>
      <c r="J633" s="153">
        <v>0</v>
      </c>
    </row>
    <row r="634" spans="1:10" hidden="1">
      <c r="A634" s="64">
        <v>1108</v>
      </c>
      <c r="B634" s="151">
        <v>0.23</v>
      </c>
      <c r="C634" s="160">
        <v>1</v>
      </c>
      <c r="D634" s="153">
        <v>400000000</v>
      </c>
      <c r="E634" s="26">
        <f>VLOOKUP(1108,季財報!$A:$H,8,0)</f>
        <v>2</v>
      </c>
      <c r="F634" s="160">
        <v>-5.249999999999965E-4</v>
      </c>
      <c r="G634" s="153">
        <v>4040000000</v>
      </c>
      <c r="H634" s="153">
        <v>5049013000</v>
      </c>
      <c r="I634" s="151">
        <v>0.80015638700078606</v>
      </c>
      <c r="J634" s="153">
        <v>10.978260869565217</v>
      </c>
    </row>
    <row r="635" spans="1:10" hidden="1">
      <c r="A635" s="64">
        <v>8234</v>
      </c>
      <c r="B635" s="52">
        <v>0.51</v>
      </c>
      <c r="C635" s="161">
        <v>0.58260869565217388</v>
      </c>
      <c r="D635" s="158">
        <v>141176470.58823529</v>
      </c>
      <c r="E635" s="26">
        <f>VLOOKUP(8234,季財報!$A:$H,8,0)</f>
        <v>2</v>
      </c>
      <c r="F635" s="161">
        <v>1.3883333333333338E-2</v>
      </c>
      <c r="G635" s="54">
        <v>4348235294.1176472</v>
      </c>
      <c r="H635" s="54">
        <v>5433376000</v>
      </c>
      <c r="I635" s="65">
        <v>0.80028242001246508</v>
      </c>
      <c r="J635" s="163">
        <v>25.914544922446591</v>
      </c>
    </row>
    <row r="636" spans="1:10" hidden="1">
      <c r="A636" s="64">
        <v>6245</v>
      </c>
      <c r="B636" s="52">
        <v>1.24</v>
      </c>
      <c r="C636" s="161">
        <v>0.75657894736842102</v>
      </c>
      <c r="D636" s="158">
        <v>98387096.774193555</v>
      </c>
      <c r="E636" s="26">
        <f>VLOOKUP(6245,季財報!$A:$H,8,0)</f>
        <v>2</v>
      </c>
      <c r="F636" s="161">
        <v>6.0316666666666657E-2</v>
      </c>
      <c r="G636" s="54">
        <v>4220806451.6129036</v>
      </c>
      <c r="H636" s="54">
        <v>5264569000</v>
      </c>
      <c r="I636" s="65">
        <v>0.8017382717584105</v>
      </c>
      <c r="J636" s="163">
        <v>11.431977559607294</v>
      </c>
    </row>
    <row r="637" spans="1:10" hidden="1">
      <c r="A637" s="64">
        <v>3291</v>
      </c>
      <c r="B637" s="151">
        <v>0.21</v>
      </c>
      <c r="C637" s="160">
        <v>0.5</v>
      </c>
      <c r="D637" s="153">
        <v>33333333.333333336</v>
      </c>
      <c r="E637" s="26">
        <f>VLOOKUP(3291,季財報!$A:$H,8,0)</f>
        <v>3</v>
      </c>
      <c r="F637" s="160">
        <v>1.0558333333333334E-2</v>
      </c>
      <c r="G637" s="153">
        <v>563333333.33333337</v>
      </c>
      <c r="H637" s="153">
        <v>702034000</v>
      </c>
      <c r="I637" s="151">
        <v>0.80243027165825787</v>
      </c>
      <c r="J637" s="153">
        <v>40.238095238095234</v>
      </c>
    </row>
    <row r="638" spans="1:10" hidden="1">
      <c r="A638" s="64">
        <v>4956</v>
      </c>
      <c r="B638" s="52">
        <v>0.25</v>
      </c>
      <c r="C638" s="161">
        <v>0.47222222222222221</v>
      </c>
      <c r="D638" s="158">
        <v>100000000</v>
      </c>
      <c r="E638" s="26">
        <f>VLOOKUP(4956,季財報!$A:$H,8,0)</f>
        <v>2</v>
      </c>
      <c r="F638" s="161">
        <v>-3.4666666666666682E-3</v>
      </c>
      <c r="G638" s="54">
        <v>1165000000</v>
      </c>
      <c r="H638" s="54">
        <v>1449605000</v>
      </c>
      <c r="I638" s="65">
        <v>0.80366720589401941</v>
      </c>
      <c r="J638" s="163">
        <v>24.670588235294119</v>
      </c>
    </row>
    <row r="639" spans="1:10" hidden="1">
      <c r="A639" s="64">
        <v>5465</v>
      </c>
      <c r="B639" s="52">
        <v>0.01</v>
      </c>
      <c r="C639" s="161">
        <v>0</v>
      </c>
      <c r="D639" s="158">
        <v>200000000</v>
      </c>
      <c r="E639" s="26">
        <f>VLOOKUP(5465,季財報!$A:$H,8,0)</f>
        <v>2</v>
      </c>
      <c r="F639" s="161">
        <v>-7.3916666666666644E-3</v>
      </c>
      <c r="G639" s="54">
        <v>2070000000</v>
      </c>
      <c r="H639" s="54">
        <v>2575428000</v>
      </c>
      <c r="I639" s="65">
        <v>0.80374990098733101</v>
      </c>
      <c r="J639" s="163">
        <v>0</v>
      </c>
    </row>
    <row r="640" spans="1:10" hidden="1">
      <c r="A640" s="64">
        <v>5525</v>
      </c>
      <c r="B640" s="52">
        <v>0.52</v>
      </c>
      <c r="C640" s="161">
        <v>1</v>
      </c>
      <c r="D640" s="158">
        <v>242307692.30769229</v>
      </c>
      <c r="E640" s="26">
        <f>VLOOKUP(5525,季財報!$A:$H,8,0)</f>
        <v>1</v>
      </c>
      <c r="F640" s="161">
        <v>1.0185416666666667</v>
      </c>
      <c r="G640" s="54">
        <v>3961730769.2307692</v>
      </c>
      <c r="H640" s="54">
        <v>4926367000</v>
      </c>
      <c r="I640" s="65">
        <v>0.80418912542057241</v>
      </c>
      <c r="J640" s="163">
        <v>7.8605769230769234</v>
      </c>
    </row>
    <row r="641" spans="1:10" hidden="1">
      <c r="A641" s="64">
        <v>2437</v>
      </c>
      <c r="B641" s="151">
        <v>1.64</v>
      </c>
      <c r="C641" s="160">
        <v>0.95260663507109</v>
      </c>
      <c r="D641" s="153">
        <v>66463414.634146348</v>
      </c>
      <c r="E641" s="26">
        <f>VLOOKUP(2437,季財報!$A:$H,8,0)</f>
        <v>3</v>
      </c>
      <c r="F641" s="160">
        <v>1.3291666666666667E-2</v>
      </c>
      <c r="G641" s="153">
        <v>3283292682.9268293</v>
      </c>
      <c r="H641" s="153">
        <v>4079986000</v>
      </c>
      <c r="I641" s="151">
        <v>0.80473136008967416</v>
      </c>
      <c r="J641" s="153">
        <v>7.9051389394490972</v>
      </c>
    </row>
    <row r="642" spans="1:10" hidden="1">
      <c r="A642" s="64">
        <v>5903</v>
      </c>
      <c r="B642" s="52">
        <v>2.09</v>
      </c>
      <c r="C642" s="161">
        <v>0.81152460984393759</v>
      </c>
      <c r="D642" s="158">
        <v>222966507.17703351</v>
      </c>
      <c r="E642" s="26">
        <f>VLOOKUP(5903,季財報!$A:$H,8,0)</f>
        <v>2</v>
      </c>
      <c r="F642" s="161">
        <v>5.4749999999999981E-3</v>
      </c>
      <c r="G642" s="54">
        <v>46154066985.645935</v>
      </c>
      <c r="H642" s="54">
        <v>57331786000</v>
      </c>
      <c r="I642" s="65">
        <v>0.8050345228325162</v>
      </c>
      <c r="J642" s="163">
        <v>30.511416720930896</v>
      </c>
    </row>
    <row r="643" spans="1:10" hidden="1">
      <c r="A643" s="64">
        <v>2337</v>
      </c>
      <c r="B643" s="151">
        <v>-0.27</v>
      </c>
      <c r="C643" s="160">
        <v>1</v>
      </c>
      <c r="D643" s="153">
        <v>3514814814.8148146</v>
      </c>
      <c r="E643" s="26">
        <f>VLOOKUP(2337,季財報!$A:$H,8,0)</f>
        <v>3</v>
      </c>
      <c r="F643" s="160">
        <v>-1.1824999999999997E-2</v>
      </c>
      <c r="G643" s="153">
        <v>16800814814.814814</v>
      </c>
      <c r="H643" s="153">
        <v>20826032000</v>
      </c>
      <c r="I643" s="151">
        <v>0.80672183807336961</v>
      </c>
      <c r="J643" s="153">
        <v>0</v>
      </c>
    </row>
    <row r="644" spans="1:10" hidden="1">
      <c r="A644" s="64">
        <v>1530</v>
      </c>
      <c r="B644" s="151">
        <v>1.75</v>
      </c>
      <c r="C644" s="160">
        <v>0.56804733727810652</v>
      </c>
      <c r="D644" s="153">
        <v>92000000</v>
      </c>
      <c r="E644" s="26">
        <f>VLOOKUP(1530,季財報!$A:$H,8,0)</f>
        <v>2</v>
      </c>
      <c r="F644" s="160">
        <v>3.9383333333333333E-2</v>
      </c>
      <c r="G644" s="153">
        <v>3187800000</v>
      </c>
      <c r="H644" s="153">
        <v>3928844000</v>
      </c>
      <c r="I644" s="151">
        <v>0.81138370472332322</v>
      </c>
      <c r="J644" s="153">
        <v>8.7140625000000007</v>
      </c>
    </row>
    <row r="645" spans="1:10" hidden="1">
      <c r="A645" s="64">
        <v>6235</v>
      </c>
      <c r="B645" s="52">
        <v>-0.09</v>
      </c>
      <c r="C645" s="161">
        <v>0</v>
      </c>
      <c r="D645" s="158">
        <v>155555555.55555555</v>
      </c>
      <c r="E645" s="26">
        <f>VLOOKUP(6235,季財報!$A:$H,8,0)</f>
        <v>2</v>
      </c>
      <c r="F645" s="161">
        <v>6.08E-2</v>
      </c>
      <c r="G645" s="54">
        <v>1356444444.4444444</v>
      </c>
      <c r="H645" s="54">
        <v>1671130000</v>
      </c>
      <c r="I645" s="65">
        <v>0.81169295293869681</v>
      </c>
      <c r="J645" s="163">
        <v>0</v>
      </c>
    </row>
    <row r="646" spans="1:10" hidden="1">
      <c r="A646" s="64">
        <v>3679</v>
      </c>
      <c r="B646" s="151">
        <v>1.75</v>
      </c>
      <c r="C646" s="160">
        <v>0.60427807486631013</v>
      </c>
      <c r="D646" s="153">
        <v>79428571.428571433</v>
      </c>
      <c r="E646" s="26">
        <f>VLOOKUP(3679,季財報!$A:$H,8,0)</f>
        <v>3</v>
      </c>
      <c r="F646" s="160">
        <v>2.4775000000000002E-2</v>
      </c>
      <c r="G646" s="153">
        <v>3570314285.7142863</v>
      </c>
      <c r="H646" s="153">
        <v>4395652000</v>
      </c>
      <c r="I646" s="151">
        <v>0.81223770346567159</v>
      </c>
      <c r="J646" s="153">
        <v>10.626611883691531</v>
      </c>
    </row>
    <row r="647" spans="1:10" hidden="1">
      <c r="A647" s="64">
        <v>4706</v>
      </c>
      <c r="B647" s="52">
        <v>0.43</v>
      </c>
      <c r="C647" s="161">
        <v>0.98</v>
      </c>
      <c r="D647" s="158">
        <v>79069767.441860467</v>
      </c>
      <c r="E647" s="26">
        <f>VLOOKUP(4706,季財報!$A:$H,8,0)</f>
        <v>4</v>
      </c>
      <c r="F647" s="161">
        <v>2.7741666666666678E-2</v>
      </c>
      <c r="G647" s="54">
        <v>1186046511.627907</v>
      </c>
      <c r="H647" s="54">
        <v>1460066000</v>
      </c>
      <c r="I647" s="65">
        <v>0.81232390291117462</v>
      </c>
      <c r="J647" s="163">
        <v>8.89890840056953</v>
      </c>
    </row>
    <row r="648" spans="1:10" hidden="1">
      <c r="A648" s="64">
        <v>5608</v>
      </c>
      <c r="B648" s="52">
        <v>0.01</v>
      </c>
      <c r="C648" s="161">
        <v>0</v>
      </c>
      <c r="D648" s="158">
        <v>300000000</v>
      </c>
      <c r="E648" s="26">
        <f>VLOOKUP(5608,季財報!$A:$H,8,0)</f>
        <v>2</v>
      </c>
      <c r="F648" s="161">
        <v>-9.7666666666666648E-3</v>
      </c>
      <c r="G648" s="54">
        <v>3690000000</v>
      </c>
      <c r="H648" s="54">
        <v>4540408000</v>
      </c>
      <c r="I648" s="65">
        <v>0.81270229459555177</v>
      </c>
      <c r="J648" s="163">
        <v>0</v>
      </c>
    </row>
    <row r="649" spans="1:10" hidden="1">
      <c r="A649" s="64">
        <v>1203</v>
      </c>
      <c r="B649" s="151">
        <v>0.47</v>
      </c>
      <c r="C649" s="160">
        <v>0.93908629441624369</v>
      </c>
      <c r="D649" s="153">
        <v>238297872.34042555</v>
      </c>
      <c r="E649" s="26">
        <f>VLOOKUP(1203,季財報!$A:$H,8,0)</f>
        <v>5</v>
      </c>
      <c r="F649" s="160">
        <v>2.2474999999999995E-2</v>
      </c>
      <c r="G649" s="153">
        <v>5504680851.0638304</v>
      </c>
      <c r="H649" s="153">
        <v>6763308000</v>
      </c>
      <c r="I649" s="151">
        <v>0.81390361803186106</v>
      </c>
      <c r="J649" s="153">
        <v>13.084243818286373</v>
      </c>
    </row>
    <row r="650" spans="1:10" hidden="1">
      <c r="A650" s="64">
        <v>2401</v>
      </c>
      <c r="B650" s="151">
        <v>-0.51</v>
      </c>
      <c r="C650" s="160">
        <v>0</v>
      </c>
      <c r="D650" s="153">
        <v>584313725.49019611</v>
      </c>
      <c r="E650" s="26">
        <f>VLOOKUP(2401,季財報!$A:$H,8,0)</f>
        <v>0</v>
      </c>
      <c r="F650" s="160">
        <v>3.314166666666666E-2</v>
      </c>
      <c r="G650" s="153">
        <v>6982549019.6078434</v>
      </c>
      <c r="H650" s="153">
        <v>8575215000</v>
      </c>
      <c r="I650" s="151">
        <v>0.81427101473348984</v>
      </c>
      <c r="J650" s="153">
        <v>0</v>
      </c>
    </row>
    <row r="651" spans="1:10" hidden="1">
      <c r="A651" s="64">
        <v>1526</v>
      </c>
      <c r="B651" s="151">
        <v>0.97</v>
      </c>
      <c r="C651" s="160">
        <v>0.52238805970149249</v>
      </c>
      <c r="D651" s="153">
        <v>49484536.082474232</v>
      </c>
      <c r="E651" s="26">
        <f>VLOOKUP(1526,季財報!$A:$H,8,0)</f>
        <v>3</v>
      </c>
      <c r="F651" s="160">
        <v>4.4850000000000001E-2</v>
      </c>
      <c r="G651" s="153">
        <v>737319587.62886608</v>
      </c>
      <c r="H651" s="153">
        <v>904518000</v>
      </c>
      <c r="I651" s="151">
        <v>0.8151519235978345</v>
      </c>
      <c r="J651" s="153">
        <v>7.3512518409425631</v>
      </c>
    </row>
    <row r="652" spans="1:10" hidden="1">
      <c r="A652" s="64">
        <v>6443</v>
      </c>
      <c r="B652" s="52">
        <v>0.2</v>
      </c>
      <c r="C652" s="161">
        <v>0</v>
      </c>
      <c r="D652" s="158">
        <v>325000000</v>
      </c>
      <c r="E652" s="26">
        <f>VLOOKUP(6443,季財報!$A:$H,8,0)</f>
        <v>1</v>
      </c>
      <c r="F652" s="161">
        <v>2.3391666666666668E-2</v>
      </c>
      <c r="G652" s="54">
        <v>5622500000</v>
      </c>
      <c r="H652" s="54">
        <v>6882788000</v>
      </c>
      <c r="I652" s="65">
        <v>0.81689280564794386</v>
      </c>
      <c r="J652" s="163">
        <v>0</v>
      </c>
    </row>
    <row r="653" spans="1:10" hidden="1">
      <c r="A653" s="64">
        <v>1582</v>
      </c>
      <c r="B653" s="151">
        <v>1.84</v>
      </c>
      <c r="C653" s="160">
        <v>0.80888888888888888</v>
      </c>
      <c r="D653" s="153">
        <v>150000000</v>
      </c>
      <c r="E653" s="26">
        <f>VLOOKUP(1582,季財報!$A:$H,8,0)</f>
        <v>3</v>
      </c>
      <c r="F653" s="160">
        <v>-3.741666666666664E-3</v>
      </c>
      <c r="G653" s="153">
        <v>7935000000</v>
      </c>
      <c r="H653" s="153">
        <v>9707848000</v>
      </c>
      <c r="I653" s="151">
        <v>0.81737991777374353</v>
      </c>
      <c r="J653" s="153">
        <v>8.885645604395604</v>
      </c>
    </row>
    <row r="654" spans="1:10" hidden="1">
      <c r="A654" s="64">
        <v>3046</v>
      </c>
      <c r="B654" s="151">
        <v>-0.11</v>
      </c>
      <c r="C654" s="160">
        <v>1</v>
      </c>
      <c r="D654" s="153">
        <v>118181818.18181819</v>
      </c>
      <c r="E654" s="26">
        <f>VLOOKUP(3046,季財報!$A:$H,8,0)</f>
        <v>5</v>
      </c>
      <c r="F654" s="160">
        <v>5.7850000000000013E-2</v>
      </c>
      <c r="G654" s="153">
        <v>1217272727.2727275</v>
      </c>
      <c r="H654" s="153">
        <v>1488909000</v>
      </c>
      <c r="I654" s="151">
        <v>0.81756019157163229</v>
      </c>
      <c r="J654" s="153">
        <v>0</v>
      </c>
    </row>
    <row r="655" spans="1:10" hidden="1">
      <c r="A655" s="64">
        <v>2404</v>
      </c>
      <c r="B655" s="151">
        <v>1.81</v>
      </c>
      <c r="C655" s="160">
        <v>0.44009216589861749</v>
      </c>
      <c r="D655" s="153">
        <v>238674033.14917126</v>
      </c>
      <c r="E655" s="26">
        <f>VLOOKUP(2404,季財報!$A:$H,8,0)</f>
        <v>3</v>
      </c>
      <c r="F655" s="160">
        <v>7.5141666666666662E-2</v>
      </c>
      <c r="G655" s="153">
        <v>9881104972.3756905</v>
      </c>
      <c r="H655" s="153">
        <v>12083169000</v>
      </c>
      <c r="I655" s="151">
        <v>0.81775773990876821</v>
      </c>
      <c r="J655" s="153">
        <v>12.993260247027855</v>
      </c>
    </row>
    <row r="656" spans="1:10" hidden="1">
      <c r="A656" s="64">
        <v>1460</v>
      </c>
      <c r="B656" s="151">
        <v>0.21</v>
      </c>
      <c r="C656" s="160">
        <v>0.97468354430379744</v>
      </c>
      <c r="D656" s="153">
        <v>433333333.33333337</v>
      </c>
      <c r="E656" s="26">
        <f>VLOOKUP(1460,季財報!$A:$H,8,0)</f>
        <v>3</v>
      </c>
      <c r="F656" s="160">
        <v>9.9083333333333298E-3</v>
      </c>
      <c r="G656" s="153">
        <v>6825000000.000001</v>
      </c>
      <c r="H656" s="153">
        <v>8345852000</v>
      </c>
      <c r="I656" s="151">
        <v>0.81777151092542755</v>
      </c>
      <c r="J656" s="153">
        <v>19.237012987012989</v>
      </c>
    </row>
    <row r="657" spans="1:10" hidden="1">
      <c r="A657" s="64">
        <v>4714</v>
      </c>
      <c r="B657" s="52">
        <v>7.0000000000000007E-2</v>
      </c>
      <c r="C657" s="161">
        <v>1</v>
      </c>
      <c r="D657" s="158">
        <v>71428571.428571418</v>
      </c>
      <c r="E657" s="26">
        <f>VLOOKUP(4714,季財報!$A:$H,8,0)</f>
        <v>2</v>
      </c>
      <c r="F657" s="161">
        <v>5.1108333333333346E-2</v>
      </c>
      <c r="G657" s="54">
        <v>617142857.14285707</v>
      </c>
      <c r="H657" s="54">
        <v>752638000</v>
      </c>
      <c r="I657" s="65">
        <v>0.81997302440596553</v>
      </c>
      <c r="J657" s="163">
        <v>30.857142857142858</v>
      </c>
    </row>
    <row r="658" spans="1:10" hidden="1">
      <c r="A658" s="64">
        <v>1717</v>
      </c>
      <c r="B658" s="151">
        <v>0.77</v>
      </c>
      <c r="C658" s="160">
        <v>0.98334489937543368</v>
      </c>
      <c r="D658" s="153">
        <v>1019480519.4805194</v>
      </c>
      <c r="E658" s="26">
        <f>VLOOKUP(1717,季財報!$A:$H,8,0)</f>
        <v>3</v>
      </c>
      <c r="F658" s="160">
        <v>9.2416666666666689E-3</v>
      </c>
      <c r="G658" s="153">
        <v>31909740259.740257</v>
      </c>
      <c r="H658" s="153">
        <v>38850390000</v>
      </c>
      <c r="I658" s="151">
        <v>0.82134929043801763</v>
      </c>
      <c r="J658" s="153">
        <v>10.334459118862789</v>
      </c>
    </row>
    <row r="659" spans="1:10" hidden="1">
      <c r="A659" s="64">
        <v>6456</v>
      </c>
      <c r="B659" s="52">
        <v>3.11</v>
      </c>
      <c r="C659" s="161">
        <v>1</v>
      </c>
      <c r="D659" s="158">
        <v>307395498.39228296</v>
      </c>
      <c r="E659" s="26">
        <f>VLOOKUP(6456,季財報!$A:$H,8,0)</f>
        <v>4</v>
      </c>
      <c r="F659" s="161">
        <v>2.9558333333333336E-2</v>
      </c>
      <c r="G659" s="54">
        <v>45033440514.469452</v>
      </c>
      <c r="H659" s="54">
        <v>54800376000</v>
      </c>
      <c r="I659" s="65">
        <v>0.82177247313904289</v>
      </c>
      <c r="J659" s="163">
        <v>11.776527331189712</v>
      </c>
    </row>
    <row r="660" spans="1:10" hidden="1">
      <c r="A660" s="64">
        <v>4430</v>
      </c>
      <c r="B660" s="52">
        <v>0.51</v>
      </c>
      <c r="C660" s="161">
        <v>0.31944444444444442</v>
      </c>
      <c r="D660" s="158">
        <v>56862745.098039217</v>
      </c>
      <c r="E660" s="26">
        <f>VLOOKUP(4430,季財報!$A:$H,8,0)</f>
        <v>2</v>
      </c>
      <c r="F660" s="161">
        <v>-3.7749999999999975E-3</v>
      </c>
      <c r="G660" s="54">
        <v>1626274509.8039217</v>
      </c>
      <c r="H660" s="54">
        <v>1978730000</v>
      </c>
      <c r="I660" s="65">
        <v>0.82187792665190385</v>
      </c>
      <c r="J660" s="163">
        <v>43.887468030690542</v>
      </c>
    </row>
    <row r="661" spans="1:10" hidden="1">
      <c r="A661" s="64">
        <v>2204</v>
      </c>
      <c r="B661" s="151">
        <v>0.51</v>
      </c>
      <c r="C661" s="160">
        <v>0.48193508879363134</v>
      </c>
      <c r="D661" s="153">
        <v>1372549019.6078432</v>
      </c>
      <c r="E661" s="26">
        <f>VLOOKUP(2204,季財報!$A:$H,8,0)</f>
        <v>3</v>
      </c>
      <c r="F661" s="160">
        <v>5.1875000000000004E-2</v>
      </c>
      <c r="G661" s="153">
        <v>29578431372.549023</v>
      </c>
      <c r="H661" s="153">
        <v>35908702000</v>
      </c>
      <c r="I661" s="151">
        <v>0.82371207326149032</v>
      </c>
      <c r="J661" s="153">
        <v>21.919394822732144</v>
      </c>
    </row>
    <row r="662" spans="1:10" hidden="1">
      <c r="A662" s="64">
        <v>2388</v>
      </c>
      <c r="B662" s="151">
        <v>3.47</v>
      </c>
      <c r="C662" s="160">
        <v>0</v>
      </c>
      <c r="D662" s="153">
        <v>493083573.4870317</v>
      </c>
      <c r="E662" s="26">
        <f>VLOOKUP(2388,季財報!$A:$H,8,0)</f>
        <v>4</v>
      </c>
      <c r="F662" s="160">
        <v>1.8091666666666659E-2</v>
      </c>
      <c r="G662" s="153">
        <v>3989046109.5100865</v>
      </c>
      <c r="H662" s="153">
        <v>4835083000</v>
      </c>
      <c r="I662" s="151">
        <v>0.82502122704203562</v>
      </c>
      <c r="J662" s="153">
        <v>0</v>
      </c>
    </row>
    <row r="663" spans="1:10" hidden="1">
      <c r="A663" s="64">
        <v>3006</v>
      </c>
      <c r="B663" s="151">
        <v>0.59</v>
      </c>
      <c r="C663" s="160">
        <v>0.27411167512690354</v>
      </c>
      <c r="D663" s="153">
        <v>266101694.91525427</v>
      </c>
      <c r="E663" s="26">
        <f>VLOOKUP(3006,季財報!$A:$H,8,0)</f>
        <v>2</v>
      </c>
      <c r="F663" s="160">
        <v>1.9333333333333366E-3</v>
      </c>
      <c r="G663" s="153">
        <v>7730254237.2881365</v>
      </c>
      <c r="H663" s="153">
        <v>9338024000</v>
      </c>
      <c r="I663" s="151">
        <v>0.82782548398763345</v>
      </c>
      <c r="J663" s="153">
        <v>44.906230382925301</v>
      </c>
    </row>
    <row r="664" spans="1:10" hidden="1">
      <c r="A664" s="64">
        <v>5305</v>
      </c>
      <c r="B664" s="52">
        <v>0.03</v>
      </c>
      <c r="C664" s="161">
        <v>0</v>
      </c>
      <c r="D664" s="158">
        <v>366666666.66666669</v>
      </c>
      <c r="E664" s="26">
        <f>VLOOKUP(5305,季財報!$A:$H,8,0)</f>
        <v>1</v>
      </c>
      <c r="F664" s="161">
        <v>7.2916666666666642E-3</v>
      </c>
      <c r="G664" s="54">
        <v>7700000000</v>
      </c>
      <c r="H664" s="54">
        <v>9299015000</v>
      </c>
      <c r="I664" s="65">
        <v>0.82804469075488107</v>
      </c>
      <c r="J664" s="163">
        <v>0</v>
      </c>
    </row>
    <row r="665" spans="1:10">
      <c r="A665" s="64">
        <v>1539</v>
      </c>
      <c r="B665" s="151">
        <v>1.88</v>
      </c>
      <c r="C665" s="160">
        <v>0.65384615384615385</v>
      </c>
      <c r="D665" s="153">
        <v>65425531.91489362</v>
      </c>
      <c r="E665" s="26">
        <f>VLOOKUP(1539,季財報!$A:$H,8,0)</f>
        <v>4</v>
      </c>
      <c r="F665" s="160">
        <v>5.213333333333333E-2</v>
      </c>
      <c r="G665" s="153">
        <v>2283351063.8297873</v>
      </c>
      <c r="H665" s="153">
        <v>2754984000</v>
      </c>
      <c r="I665" s="151">
        <v>0.82880737740392951</v>
      </c>
      <c r="J665" s="153">
        <v>7.0979349186483107</v>
      </c>
    </row>
    <row r="666" spans="1:10" hidden="1">
      <c r="A666" s="64">
        <v>3325</v>
      </c>
      <c r="B666" s="151">
        <v>0.04</v>
      </c>
      <c r="C666" s="160">
        <v>0</v>
      </c>
      <c r="D666" s="153">
        <v>75000000</v>
      </c>
      <c r="E666" s="26">
        <f>VLOOKUP(3325,季財報!$A:$H,8,0)</f>
        <v>3</v>
      </c>
      <c r="F666" s="160">
        <v>7.2283333333333338E-2</v>
      </c>
      <c r="G666" s="153">
        <v>1072500000</v>
      </c>
      <c r="H666" s="153">
        <v>1293973000</v>
      </c>
      <c r="I666" s="151">
        <v>0.82884264200257651</v>
      </c>
      <c r="J666" s="153">
        <v>0</v>
      </c>
    </row>
    <row r="667" spans="1:10" hidden="1">
      <c r="A667" s="64">
        <v>6182</v>
      </c>
      <c r="B667" s="52">
        <v>0.05</v>
      </c>
      <c r="C667" s="161">
        <v>1</v>
      </c>
      <c r="D667" s="158">
        <v>400000000</v>
      </c>
      <c r="E667" s="26">
        <f>VLOOKUP(6182,季財報!$A:$H,8,0)</f>
        <v>3</v>
      </c>
      <c r="F667" s="161">
        <v>-6.1583333333333308E-3</v>
      </c>
      <c r="G667" s="54">
        <v>4300000000</v>
      </c>
      <c r="H667" s="54">
        <v>5187400000</v>
      </c>
      <c r="I667" s="65">
        <v>0.82893164205575043</v>
      </c>
      <c r="J667" s="163">
        <v>50</v>
      </c>
    </row>
    <row r="668" spans="1:10" hidden="1">
      <c r="A668" s="64">
        <v>2104</v>
      </c>
      <c r="B668" s="151">
        <v>0.57999999999999996</v>
      </c>
      <c r="C668" s="160">
        <v>0.9452054794520548</v>
      </c>
      <c r="D668" s="153">
        <v>582758620.68965518</v>
      </c>
      <c r="E668" s="26">
        <f>VLOOKUP(2104,季財報!$A:$H,8,0)</f>
        <v>1</v>
      </c>
      <c r="F668" s="160">
        <v>-2.4966666666666668E-2</v>
      </c>
      <c r="G668" s="153">
        <v>14685517241.379311</v>
      </c>
      <c r="H668" s="153">
        <v>17671816000</v>
      </c>
      <c r="I668" s="151">
        <v>0.83101347599925846</v>
      </c>
      <c r="J668" s="153">
        <v>11.491754122938531</v>
      </c>
    </row>
    <row r="669" spans="1:10" hidden="1">
      <c r="A669" s="64">
        <v>5520</v>
      </c>
      <c r="B669" s="52">
        <v>0.49</v>
      </c>
      <c r="C669" s="161">
        <v>0.58536585365853655</v>
      </c>
      <c r="D669" s="158">
        <v>71428571.428571433</v>
      </c>
      <c r="E669" s="26">
        <f>VLOOKUP(5520,季財報!$A:$H,8,0)</f>
        <v>3</v>
      </c>
      <c r="F669" s="161">
        <v>1.1883333333333334E-2</v>
      </c>
      <c r="G669" s="54">
        <v>1928571428.5714288</v>
      </c>
      <c r="H669" s="54">
        <v>2320468000</v>
      </c>
      <c r="I669" s="65">
        <v>0.8311131325971437</v>
      </c>
      <c r="J669" s="163">
        <v>23.533163265306126</v>
      </c>
    </row>
    <row r="670" spans="1:10" hidden="1">
      <c r="A670" s="64">
        <v>3576</v>
      </c>
      <c r="B670" s="151">
        <v>-0.42</v>
      </c>
      <c r="C670" s="160">
        <v>0.88475177304964536</v>
      </c>
      <c r="D670" s="153">
        <v>859523809.52380955</v>
      </c>
      <c r="E670" s="26">
        <f>VLOOKUP(3576,季財報!$A:$H,8,0)</f>
        <v>2</v>
      </c>
      <c r="F670" s="160">
        <v>3.7183333333333325E-2</v>
      </c>
      <c r="G670" s="153">
        <v>18823571428.571426</v>
      </c>
      <c r="H670" s="153">
        <v>22586326000</v>
      </c>
      <c r="I670" s="151">
        <v>0.83340563793205791</v>
      </c>
      <c r="J670" s="153">
        <v>0</v>
      </c>
    </row>
    <row r="671" spans="1:10" hidden="1">
      <c r="A671" s="64">
        <v>5511</v>
      </c>
      <c r="B671" s="52">
        <v>0.34</v>
      </c>
      <c r="C671" s="161">
        <v>0.82222222222222219</v>
      </c>
      <c r="D671" s="158">
        <v>150000000</v>
      </c>
      <c r="E671" s="26">
        <f>VLOOKUP(5511,季財報!$A:$H,8,0)</f>
        <v>0</v>
      </c>
      <c r="F671" s="161">
        <v>0.16243333333333335</v>
      </c>
      <c r="G671" s="54">
        <v>3705000000</v>
      </c>
      <c r="H671" s="54">
        <v>4443514000</v>
      </c>
      <c r="I671" s="65">
        <v>0.83379955593703536</v>
      </c>
      <c r="J671" s="163">
        <v>22.088632750397455</v>
      </c>
    </row>
    <row r="672" spans="1:10" hidden="1">
      <c r="A672" s="64">
        <v>3581</v>
      </c>
      <c r="B672" s="156">
        <v>0.22</v>
      </c>
      <c r="C672" s="160">
        <v>1</v>
      </c>
      <c r="D672" s="157">
        <v>50000000</v>
      </c>
      <c r="E672" s="26">
        <f>VLOOKUP(3581,季財報!$A:$H,8,0)</f>
        <v>3</v>
      </c>
      <c r="F672" s="160">
        <v>5.5308333333333341E-2</v>
      </c>
      <c r="G672" s="157">
        <v>730000000</v>
      </c>
      <c r="H672" s="157">
        <v>873782000</v>
      </c>
      <c r="I672" s="156">
        <v>0.83544865881879005</v>
      </c>
      <c r="J672" s="157">
        <v>16.59090909090909</v>
      </c>
    </row>
    <row r="673" spans="1:10" hidden="1">
      <c r="A673" s="64">
        <v>5234</v>
      </c>
      <c r="B673" s="52">
        <v>0.71</v>
      </c>
      <c r="C673" s="161">
        <v>0.97674418604651159</v>
      </c>
      <c r="D673" s="158">
        <v>92957746.478873238</v>
      </c>
      <c r="E673" s="26">
        <f>VLOOKUP(5234,季財報!$A:$H,8,0)</f>
        <v>3</v>
      </c>
      <c r="F673" s="161">
        <v>-1.4999999999999966E-4</v>
      </c>
      <c r="G673" s="54">
        <v>2844507042.2535214</v>
      </c>
      <c r="H673" s="54">
        <v>3403758000</v>
      </c>
      <c r="I673" s="65">
        <v>0.8356960284055216</v>
      </c>
      <c r="J673" s="163">
        <v>11.031187122736421</v>
      </c>
    </row>
    <row r="674" spans="1:10" hidden="1">
      <c r="A674" s="64">
        <v>8049</v>
      </c>
      <c r="B674" s="52">
        <v>0.4</v>
      </c>
      <c r="C674" s="161">
        <v>0.93975903614457834</v>
      </c>
      <c r="D674" s="158">
        <v>127500000</v>
      </c>
      <c r="E674" s="26">
        <f>VLOOKUP(8049,季財報!$A:$H,8,0)</f>
        <v>5</v>
      </c>
      <c r="F674" s="161">
        <v>3.0424999999999997E-2</v>
      </c>
      <c r="G674" s="54">
        <v>1220175000</v>
      </c>
      <c r="H674" s="54">
        <v>1457106000</v>
      </c>
      <c r="I674" s="65">
        <v>0.83739618119752446</v>
      </c>
      <c r="J674" s="163">
        <v>6.364663461538461</v>
      </c>
    </row>
    <row r="675" spans="1:10" hidden="1">
      <c r="A675" s="64">
        <v>6115</v>
      </c>
      <c r="B675" s="52">
        <v>1.55</v>
      </c>
      <c r="C675" s="161">
        <v>0.3271276595744681</v>
      </c>
      <c r="D675" s="158">
        <v>179354838.70967743</v>
      </c>
      <c r="E675" s="26">
        <f>VLOOKUP(6115,季財報!$A:$H,8,0)</f>
        <v>5</v>
      </c>
      <c r="F675" s="161">
        <v>1.3949999999999995E-2</v>
      </c>
      <c r="G675" s="54">
        <v>6053225806.4516134</v>
      </c>
      <c r="H675" s="54">
        <v>7213420000</v>
      </c>
      <c r="I675" s="65">
        <v>0.83916170227875453</v>
      </c>
      <c r="J675" s="163">
        <v>16.640440597954363</v>
      </c>
    </row>
    <row r="676" spans="1:10" hidden="1">
      <c r="A676" s="64">
        <v>3526</v>
      </c>
      <c r="B676" s="151">
        <v>0.64</v>
      </c>
      <c r="C676" s="160">
        <v>0</v>
      </c>
      <c r="D676" s="153">
        <v>65625000</v>
      </c>
      <c r="E676" s="26">
        <f>VLOOKUP(3526,季財報!$A:$H,8,0)</f>
        <v>4</v>
      </c>
      <c r="F676" s="160">
        <v>1.6475E-2</v>
      </c>
      <c r="G676" s="153">
        <v>1414218750</v>
      </c>
      <c r="H676" s="153">
        <v>1684933000</v>
      </c>
      <c r="I676" s="151">
        <v>0.83933233546971897</v>
      </c>
      <c r="J676" s="153">
        <v>0</v>
      </c>
    </row>
    <row r="677" spans="1:10" hidden="1">
      <c r="A677" s="64">
        <v>6176</v>
      </c>
      <c r="B677" s="52">
        <v>2.78</v>
      </c>
      <c r="C677" s="161">
        <v>0.82658517952635602</v>
      </c>
      <c r="D677" s="158">
        <v>465467625.89928061</v>
      </c>
      <c r="E677" s="26">
        <f>VLOOKUP(6176,季財報!$A:$H,8,0)</f>
        <v>3</v>
      </c>
      <c r="F677" s="161">
        <v>4.0366666666666669E-2</v>
      </c>
      <c r="G677" s="54">
        <v>42543741007.194252</v>
      </c>
      <c r="H677" s="54">
        <v>50621498000</v>
      </c>
      <c r="I677" s="65">
        <v>0.84042832962379443</v>
      </c>
      <c r="J677" s="163">
        <v>9.9438323647920868</v>
      </c>
    </row>
    <row r="678" spans="1:10">
      <c r="A678" s="64">
        <v>1258</v>
      </c>
      <c r="B678" s="151">
        <v>1.32</v>
      </c>
      <c r="C678" s="160">
        <v>1</v>
      </c>
      <c r="D678" s="153">
        <v>34090909.090909086</v>
      </c>
      <c r="E678" s="26">
        <f>VLOOKUP(1258,季財報!$A:$H,8,0)</f>
        <v>6</v>
      </c>
      <c r="F678" s="160">
        <v>4.1841666666666666E-2</v>
      </c>
      <c r="G678" s="153">
        <v>1418181818.181818</v>
      </c>
      <c r="H678" s="153">
        <v>1684577000</v>
      </c>
      <c r="I678" s="151">
        <v>0.84186227057701613</v>
      </c>
      <c r="J678" s="153">
        <v>7.8787878787878789</v>
      </c>
    </row>
    <row r="679" spans="1:10" hidden="1">
      <c r="A679" s="64">
        <v>3535</v>
      </c>
      <c r="B679" s="151">
        <v>0.08</v>
      </c>
      <c r="C679" s="160">
        <v>0</v>
      </c>
      <c r="D679" s="153">
        <v>87500000</v>
      </c>
      <c r="E679" s="26">
        <f>VLOOKUP(3535,季財報!$A:$H,8,0)</f>
        <v>2</v>
      </c>
      <c r="F679" s="160">
        <v>1.4014250000000004</v>
      </c>
      <c r="G679" s="153">
        <v>833000000</v>
      </c>
      <c r="H679" s="153">
        <v>986132000</v>
      </c>
      <c r="I679" s="151">
        <v>0.84471450069564724</v>
      </c>
      <c r="J679" s="153">
        <v>0</v>
      </c>
    </row>
    <row r="680" spans="1:10" hidden="1">
      <c r="A680" s="64">
        <v>1444</v>
      </c>
      <c r="B680" s="151">
        <v>0.14000000000000001</v>
      </c>
      <c r="C680" s="160">
        <v>0.14979757085020243</v>
      </c>
      <c r="D680" s="153">
        <v>971428571.42857134</v>
      </c>
      <c r="E680" s="26">
        <f>VLOOKUP(1444,季財報!$A:$H,8,0)</f>
        <v>2</v>
      </c>
      <c r="F680" s="160">
        <v>-9.4333333333333335E-3</v>
      </c>
      <c r="G680" s="153">
        <v>9014857142.8571415</v>
      </c>
      <c r="H680" s="153">
        <v>10646006000</v>
      </c>
      <c r="I680" s="151">
        <v>0.84678302293434193</v>
      </c>
      <c r="J680" s="153">
        <v>50</v>
      </c>
    </row>
    <row r="681" spans="1:10" hidden="1">
      <c r="A681" s="64">
        <v>8201</v>
      </c>
      <c r="B681" s="52">
        <v>-0.31</v>
      </c>
      <c r="C681" s="161">
        <v>1</v>
      </c>
      <c r="D681" s="158">
        <v>87096774.193548381</v>
      </c>
      <c r="E681" s="26">
        <f>VLOOKUP(8201,季財報!$A:$H,8,0)</f>
        <v>3</v>
      </c>
      <c r="F681" s="161">
        <v>0.23507500000000001</v>
      </c>
      <c r="G681" s="54">
        <v>837870967.74193537</v>
      </c>
      <c r="H681" s="54">
        <v>987121000</v>
      </c>
      <c r="I681" s="65">
        <v>0.84880269768542593</v>
      </c>
      <c r="J681" s="163">
        <v>0</v>
      </c>
    </row>
    <row r="682" spans="1:10" hidden="1">
      <c r="A682" s="64">
        <v>9944</v>
      </c>
      <c r="B682" s="52">
        <v>0.16</v>
      </c>
      <c r="C682" s="161">
        <v>0.7192982456140351</v>
      </c>
      <c r="D682" s="158">
        <v>112500000</v>
      </c>
      <c r="E682" s="26">
        <f>VLOOKUP(9944,季財報!$A:$H,8,0)</f>
        <v>2</v>
      </c>
      <c r="F682" s="161">
        <v>4.8166666666666644E-3</v>
      </c>
      <c r="G682" s="54">
        <v>3414375000</v>
      </c>
      <c r="H682" s="54">
        <v>4021850000</v>
      </c>
      <c r="I682" s="65">
        <v>0.84895632606884897</v>
      </c>
      <c r="J682" s="163">
        <v>50</v>
      </c>
    </row>
    <row r="683" spans="1:10" hidden="1">
      <c r="A683" s="64">
        <v>3027</v>
      </c>
      <c r="B683" s="151">
        <v>0.13</v>
      </c>
      <c r="C683" s="160">
        <v>0</v>
      </c>
      <c r="D683" s="153">
        <v>92307692.307692304</v>
      </c>
      <c r="E683" s="26">
        <f>VLOOKUP(3027,季財報!$A:$H,8,0)</f>
        <v>2</v>
      </c>
      <c r="F683" s="160">
        <v>8.3858333333333326E-2</v>
      </c>
      <c r="G683" s="153">
        <v>1126153846.153846</v>
      </c>
      <c r="H683" s="153">
        <v>1326418000</v>
      </c>
      <c r="I683" s="151">
        <v>0.84901882072909596</v>
      </c>
      <c r="J683" s="153">
        <v>0</v>
      </c>
    </row>
    <row r="684" spans="1:10" hidden="1">
      <c r="A684" s="64">
        <v>3217</v>
      </c>
      <c r="B684" s="151">
        <v>0.6</v>
      </c>
      <c r="C684" s="160">
        <v>0.37096774193548387</v>
      </c>
      <c r="D684" s="153">
        <v>83333333.333333343</v>
      </c>
      <c r="E684" s="26">
        <f>VLOOKUP(3217,季財報!$A:$H,8,0)</f>
        <v>5</v>
      </c>
      <c r="F684" s="160">
        <v>2.4491666666666665E-2</v>
      </c>
      <c r="G684" s="153">
        <v>1066666666.6666669</v>
      </c>
      <c r="H684" s="153">
        <v>1250063000</v>
      </c>
      <c r="I684" s="151">
        <v>0.85329032750082745</v>
      </c>
      <c r="J684" s="153">
        <v>14.3768115942029</v>
      </c>
    </row>
    <row r="685" spans="1:10" hidden="1">
      <c r="A685" s="64">
        <v>5706</v>
      </c>
      <c r="B685" s="52">
        <v>1.33</v>
      </c>
      <c r="C685" s="161">
        <v>0.59375</v>
      </c>
      <c r="D685" s="158">
        <v>62406015.037593983</v>
      </c>
      <c r="E685" s="26">
        <f>VLOOKUP(5706,季財報!$A:$H,8,0)</f>
        <v>4</v>
      </c>
      <c r="F685" s="161">
        <v>0.1241583333333333</v>
      </c>
      <c r="G685" s="54">
        <v>2474398496.2406015</v>
      </c>
      <c r="H685" s="54">
        <v>2893808000</v>
      </c>
      <c r="I685" s="65">
        <v>0.85506657533623565</v>
      </c>
      <c r="J685" s="163">
        <v>12.552433715868617</v>
      </c>
    </row>
    <row r="686" spans="1:10" hidden="1">
      <c r="A686" s="64">
        <v>3646</v>
      </c>
      <c r="B686" s="151">
        <v>0.56999999999999995</v>
      </c>
      <c r="C686" s="160">
        <v>0</v>
      </c>
      <c r="D686" s="153">
        <v>38596491.228070177</v>
      </c>
      <c r="E686" s="26">
        <f>VLOOKUP(3646,季財報!$A:$H,8,0)</f>
        <v>3</v>
      </c>
      <c r="F686" s="160">
        <v>5.4641666666666665E-2</v>
      </c>
      <c r="G686" s="153">
        <v>501754385.9649123</v>
      </c>
      <c r="H686" s="153">
        <v>586678000</v>
      </c>
      <c r="I686" s="151">
        <v>0.85524663608472162</v>
      </c>
      <c r="J686" s="153">
        <v>0</v>
      </c>
    </row>
    <row r="687" spans="1:10" hidden="1">
      <c r="A687" s="64">
        <v>3516</v>
      </c>
      <c r="B687" s="151">
        <v>0.97</v>
      </c>
      <c r="C687" s="160">
        <v>0</v>
      </c>
      <c r="D687" s="153">
        <v>71134020.618556708</v>
      </c>
      <c r="E687" s="26">
        <f>VLOOKUP(3516,季財報!$A:$H,8,0)</f>
        <v>1</v>
      </c>
      <c r="F687" s="160">
        <v>7.7183333333333312E-2</v>
      </c>
      <c r="G687" s="153">
        <v>649453608.24742281</v>
      </c>
      <c r="H687" s="153">
        <v>758703000</v>
      </c>
      <c r="I687" s="151">
        <v>0.856005061595147</v>
      </c>
      <c r="J687" s="153">
        <v>0</v>
      </c>
    </row>
    <row r="688" spans="1:10" hidden="1">
      <c r="A688" s="64">
        <v>4960</v>
      </c>
      <c r="B688" s="52">
        <v>0.61</v>
      </c>
      <c r="C688" s="161">
        <v>0.90322580645161288</v>
      </c>
      <c r="D688" s="158">
        <v>519672131.14754099</v>
      </c>
      <c r="E688" s="26">
        <f>VLOOKUP(4960,季財報!$A:$H,8,0)</f>
        <v>2</v>
      </c>
      <c r="F688" s="161">
        <v>-4.5666666666666642E-3</v>
      </c>
      <c r="G688" s="54">
        <v>11328852459.016394</v>
      </c>
      <c r="H688" s="54">
        <v>13233124000</v>
      </c>
      <c r="I688" s="65">
        <v>0.85609811099906519</v>
      </c>
      <c r="J688" s="163">
        <v>9.8916861826697904</v>
      </c>
    </row>
    <row r="689" spans="1:10" hidden="1">
      <c r="A689" s="64">
        <v>3078</v>
      </c>
      <c r="B689" s="151">
        <v>0.83</v>
      </c>
      <c r="C689" s="160">
        <v>0.61851851851851847</v>
      </c>
      <c r="D689" s="153">
        <v>227710843.373494</v>
      </c>
      <c r="E689" s="26">
        <f>VLOOKUP(3078,季財報!$A:$H,8,0)</f>
        <v>4</v>
      </c>
      <c r="F689" s="160">
        <v>4.4458333333333322E-2</v>
      </c>
      <c r="G689" s="153">
        <v>4565602409.6385546</v>
      </c>
      <c r="H689" s="153">
        <v>5290245000</v>
      </c>
      <c r="I689" s="151">
        <v>0.86302286749263113</v>
      </c>
      <c r="J689" s="153">
        <v>9.7639059230935743</v>
      </c>
    </row>
    <row r="690" spans="1:10" hidden="1">
      <c r="A690" s="64">
        <v>5383</v>
      </c>
      <c r="B690" s="52">
        <v>-0.35</v>
      </c>
      <c r="C690" s="161">
        <v>1</v>
      </c>
      <c r="D690" s="158">
        <v>71428571.428571433</v>
      </c>
      <c r="E690" s="26">
        <f>VLOOKUP(5383,季財報!$A:$H,8,0)</f>
        <v>0</v>
      </c>
      <c r="F690" s="161">
        <v>1.631666666666667E-2</v>
      </c>
      <c r="G690" s="54">
        <v>760714285.71428573</v>
      </c>
      <c r="H690" s="54">
        <v>879586000</v>
      </c>
      <c r="I690" s="65">
        <v>0.86485492687956123</v>
      </c>
      <c r="J690" s="163">
        <v>0</v>
      </c>
    </row>
    <row r="691" spans="1:10" hidden="1">
      <c r="A691" s="64">
        <v>4934</v>
      </c>
      <c r="B691" s="52">
        <v>0.41</v>
      </c>
      <c r="C691" s="161">
        <v>0.21212121212121213</v>
      </c>
      <c r="D691" s="158">
        <v>317073170.73170733</v>
      </c>
      <c r="E691" s="26">
        <f>VLOOKUP(4934,季財報!$A:$H,8,0)</f>
        <v>4</v>
      </c>
      <c r="F691" s="161">
        <v>4.7274999999999991E-2</v>
      </c>
      <c r="G691" s="54">
        <v>6341463414.6341467</v>
      </c>
      <c r="H691" s="54">
        <v>7310801000</v>
      </c>
      <c r="I691" s="65">
        <v>0.86741020780543021</v>
      </c>
      <c r="J691" s="163">
        <v>50</v>
      </c>
    </row>
    <row r="692" spans="1:10" hidden="1">
      <c r="A692" s="64">
        <v>1586</v>
      </c>
      <c r="B692" s="151">
        <v>-0.34</v>
      </c>
      <c r="C692" s="160">
        <v>0.38709677419354838</v>
      </c>
      <c r="D692" s="153">
        <v>44117647.058823526</v>
      </c>
      <c r="E692" s="26">
        <f>VLOOKUP(1586,季財報!$A:$H,8,0)</f>
        <v>0</v>
      </c>
      <c r="F692" s="160">
        <v>-1.0083333333333318E-3</v>
      </c>
      <c r="G692" s="153">
        <v>1436029411.7647057</v>
      </c>
      <c r="H692" s="153">
        <v>1655340000</v>
      </c>
      <c r="I692" s="151">
        <v>0.86751326722287003</v>
      </c>
      <c r="J692" s="153">
        <v>0</v>
      </c>
    </row>
    <row r="693" spans="1:10" hidden="1">
      <c r="A693" s="64">
        <v>3642</v>
      </c>
      <c r="B693" s="151">
        <v>-5.33</v>
      </c>
      <c r="C693" s="160">
        <v>1</v>
      </c>
      <c r="D693" s="153">
        <v>29831144.465290807</v>
      </c>
      <c r="E693" s="26">
        <f>VLOOKUP(3642,季財報!$A:$H,8,0)</f>
        <v>1</v>
      </c>
      <c r="F693" s="160">
        <v>1.3683333333333339E-2</v>
      </c>
      <c r="G693" s="153">
        <v>695065666.04127586</v>
      </c>
      <c r="H693" s="153">
        <v>799238000</v>
      </c>
      <c r="I693" s="151">
        <v>0.86966043411508942</v>
      </c>
      <c r="J693" s="153">
        <v>0</v>
      </c>
    </row>
    <row r="694" spans="1:10" hidden="1">
      <c r="A694" s="64">
        <v>3605</v>
      </c>
      <c r="B694" s="151">
        <v>0.76</v>
      </c>
      <c r="C694" s="160">
        <v>0</v>
      </c>
      <c r="D694" s="153">
        <v>121052631.57894737</v>
      </c>
      <c r="E694" s="26">
        <f>VLOOKUP(3605,季財報!$A:$H,8,0)</f>
        <v>4</v>
      </c>
      <c r="F694" s="160">
        <v>4.186666666666667E-2</v>
      </c>
      <c r="G694" s="153">
        <v>3304736842.1052632</v>
      </c>
      <c r="H694" s="153">
        <v>3793591000</v>
      </c>
      <c r="I694" s="151">
        <v>0.87113683106725615</v>
      </c>
      <c r="J694" s="153">
        <v>0</v>
      </c>
    </row>
    <row r="695" spans="1:10" hidden="1">
      <c r="A695" s="64">
        <v>6442</v>
      </c>
      <c r="B695" s="52">
        <v>1.81</v>
      </c>
      <c r="C695" s="161">
        <v>0.59235668789808915</v>
      </c>
      <c r="D695" s="158">
        <v>65193370.165745854</v>
      </c>
      <c r="E695" s="26">
        <f>VLOOKUP(6442,季財報!$A:$H,8,0)</f>
        <v>4</v>
      </c>
      <c r="F695" s="161">
        <v>3.6341666666666668E-2</v>
      </c>
      <c r="G695" s="54">
        <v>3722541436.4640884</v>
      </c>
      <c r="H695" s="54">
        <v>4272676000</v>
      </c>
      <c r="I695" s="65">
        <v>0.87124355707385448</v>
      </c>
      <c r="J695" s="163">
        <v>13.314174538109665</v>
      </c>
    </row>
    <row r="696" spans="1:10" hidden="1">
      <c r="A696" s="64">
        <v>4919</v>
      </c>
      <c r="B696" s="52">
        <v>0.71</v>
      </c>
      <c r="C696" s="161">
        <v>0.76298701298701299</v>
      </c>
      <c r="D696" s="158">
        <v>208450704.22535211</v>
      </c>
      <c r="E696" s="26">
        <f>VLOOKUP(4919,季財報!$A:$H,8,0)</f>
        <v>1</v>
      </c>
      <c r="F696" s="161">
        <v>2.7316666666666673E-2</v>
      </c>
      <c r="G696" s="54">
        <v>6263943661.9718313</v>
      </c>
      <c r="H696" s="54">
        <v>7165338000</v>
      </c>
      <c r="I696" s="65">
        <v>0.87420072325573916</v>
      </c>
      <c r="J696" s="163">
        <v>13.867845370092898</v>
      </c>
    </row>
    <row r="697" spans="1:10" hidden="1">
      <c r="A697" s="64">
        <v>2476</v>
      </c>
      <c r="B697" s="151">
        <v>0.77</v>
      </c>
      <c r="C697" s="160">
        <v>0.56561085972850678</v>
      </c>
      <c r="D697" s="153">
        <v>180519480.51948053</v>
      </c>
      <c r="E697" s="26">
        <f>VLOOKUP(2476,季財報!$A:$H,8,0)</f>
        <v>3</v>
      </c>
      <c r="F697" s="160">
        <v>4.966666666666667E-3</v>
      </c>
      <c r="G697" s="153">
        <v>4115844155.8441563</v>
      </c>
      <c r="H697" s="153">
        <v>4706969000</v>
      </c>
      <c r="I697" s="151">
        <v>0.87441496977017619</v>
      </c>
      <c r="J697" s="153">
        <v>13.087792207792209</v>
      </c>
    </row>
    <row r="698" spans="1:10" hidden="1">
      <c r="A698" s="64">
        <v>5464</v>
      </c>
      <c r="B698" s="52">
        <v>2.14</v>
      </c>
      <c r="C698" s="161">
        <v>0</v>
      </c>
      <c r="D698" s="158">
        <v>71028037.383177564</v>
      </c>
      <c r="E698" s="26">
        <f>VLOOKUP(5464,季財報!$A:$H,8,0)</f>
        <v>2</v>
      </c>
      <c r="F698" s="161">
        <v>1.3191666666666671E-2</v>
      </c>
      <c r="G698" s="54">
        <v>1221682242.990654</v>
      </c>
      <c r="H698" s="54">
        <v>1397100000</v>
      </c>
      <c r="I698" s="65">
        <v>0.87444151670650205</v>
      </c>
      <c r="J698" s="163">
        <v>0</v>
      </c>
    </row>
    <row r="699" spans="1:10" hidden="1">
      <c r="A699" s="64">
        <v>1507</v>
      </c>
      <c r="B699" s="151">
        <v>1.31</v>
      </c>
      <c r="C699" s="160">
        <v>0.89756592292089254</v>
      </c>
      <c r="D699" s="153">
        <v>409160305.34351146</v>
      </c>
      <c r="E699" s="26">
        <f>VLOOKUP(1507,季財報!$A:$H,8,0)</f>
        <v>2</v>
      </c>
      <c r="F699" s="160">
        <v>3.1666666666666882E-4</v>
      </c>
      <c r="G699" s="153">
        <v>21194503816.793892</v>
      </c>
      <c r="H699" s="153">
        <v>24235979000</v>
      </c>
      <c r="I699" s="151">
        <v>0.87450578401614776</v>
      </c>
      <c r="J699" s="153">
        <v>11.013671453831888</v>
      </c>
    </row>
    <row r="700" spans="1:10" hidden="1">
      <c r="A700" s="64">
        <v>4510</v>
      </c>
      <c r="B700" s="52">
        <v>0.61</v>
      </c>
      <c r="C700" s="161">
        <v>0.6333333333333333</v>
      </c>
      <c r="D700" s="158">
        <v>106557377.04918033</v>
      </c>
      <c r="E700" s="26">
        <f>VLOOKUP(4510,季財報!$A:$H,8,0)</f>
        <v>2</v>
      </c>
      <c r="F700" s="161">
        <v>9.7583333333333324E-3</v>
      </c>
      <c r="G700" s="54">
        <v>1864754098.3606558</v>
      </c>
      <c r="H700" s="54">
        <v>2128415000</v>
      </c>
      <c r="I700" s="65">
        <v>0.87612335863102631</v>
      </c>
      <c r="J700" s="163">
        <v>11.324417601380501</v>
      </c>
    </row>
    <row r="701" spans="1:10" hidden="1">
      <c r="A701" s="64">
        <v>6175</v>
      </c>
      <c r="B701" s="52">
        <v>0.26</v>
      </c>
      <c r="C701" s="161">
        <v>1</v>
      </c>
      <c r="D701" s="158">
        <v>134615384.61538461</v>
      </c>
      <c r="E701" s="26">
        <f>VLOOKUP(6175,季財報!$A:$H,8,0)</f>
        <v>1</v>
      </c>
      <c r="F701" s="161">
        <v>-1.2833333333333353E-3</v>
      </c>
      <c r="G701" s="54">
        <v>1696153846.153846</v>
      </c>
      <c r="H701" s="54">
        <v>1934797000</v>
      </c>
      <c r="I701" s="65">
        <v>0.87665726489851181</v>
      </c>
      <c r="J701" s="163">
        <v>12.115384615384615</v>
      </c>
    </row>
    <row r="702" spans="1:10" hidden="1">
      <c r="A702" s="64">
        <v>4958</v>
      </c>
      <c r="B702" s="52">
        <v>2.67</v>
      </c>
      <c r="C702" s="161">
        <v>0.92480998914223667</v>
      </c>
      <c r="D702" s="158">
        <v>805617977.52808988</v>
      </c>
      <c r="E702" s="26">
        <f>VLOOKUP(4958,季財報!$A:$H,8,0)</f>
        <v>2</v>
      </c>
      <c r="F702" s="161">
        <v>5.1650000000000001E-2</v>
      </c>
      <c r="G702" s="54">
        <v>76614269662.921341</v>
      </c>
      <c r="H702" s="54">
        <v>87215751000</v>
      </c>
      <c r="I702" s="65">
        <v>0.87844533567017435</v>
      </c>
      <c r="J702" s="163">
        <v>9.6284582633903106</v>
      </c>
    </row>
    <row r="703" spans="1:10" hidden="1">
      <c r="A703" s="64">
        <v>5519</v>
      </c>
      <c r="B703" s="52">
        <v>0.44</v>
      </c>
      <c r="C703" s="161">
        <v>0.97701149425287359</v>
      </c>
      <c r="D703" s="158">
        <v>181818181.81818181</v>
      </c>
      <c r="E703" s="26">
        <f>VLOOKUP(5519,季財報!$A:$H,8,0)</f>
        <v>2</v>
      </c>
      <c r="F703" s="161">
        <v>3.3250000000000016E-2</v>
      </c>
      <c r="G703" s="54">
        <v>2436363636.3636365</v>
      </c>
      <c r="H703" s="54">
        <v>2760366000</v>
      </c>
      <c r="I703" s="65">
        <v>0.88262340441942722</v>
      </c>
      <c r="J703" s="163">
        <v>7.7927807486631018</v>
      </c>
    </row>
    <row r="704" spans="1:10" hidden="1">
      <c r="A704" s="64">
        <v>1109</v>
      </c>
      <c r="B704" s="151">
        <v>-0.08</v>
      </c>
      <c r="C704" s="160">
        <v>0.2391304347826087</v>
      </c>
      <c r="D704" s="153">
        <v>400000000</v>
      </c>
      <c r="E704" s="26">
        <f>VLOOKUP(1109,季財報!$A:$H,8,0)</f>
        <v>2</v>
      </c>
      <c r="F704" s="160">
        <v>2.2266666666666674E-2</v>
      </c>
      <c r="G704" s="153">
        <v>4000000000</v>
      </c>
      <c r="H704" s="153">
        <v>4529617000</v>
      </c>
      <c r="I704" s="151">
        <v>0.88307686941302099</v>
      </c>
      <c r="J704" s="153">
        <v>0</v>
      </c>
    </row>
    <row r="705" spans="1:10" hidden="1">
      <c r="A705" s="64">
        <v>2015</v>
      </c>
      <c r="B705" s="151">
        <v>0.64</v>
      </c>
      <c r="C705" s="160">
        <v>0.87662337662337664</v>
      </c>
      <c r="D705" s="153">
        <v>581250000</v>
      </c>
      <c r="E705" s="26">
        <f>VLOOKUP(2015,季財報!$A:$H,8,0)</f>
        <v>3</v>
      </c>
      <c r="F705" s="160">
        <v>3.0016666666666674E-2</v>
      </c>
      <c r="G705" s="153">
        <v>22029375000</v>
      </c>
      <c r="H705" s="153">
        <v>24922254000</v>
      </c>
      <c r="I705" s="151">
        <v>0.88392386178232518</v>
      </c>
      <c r="J705" s="153">
        <v>16.888310185185183</v>
      </c>
    </row>
    <row r="706" spans="1:10" hidden="1">
      <c r="A706" s="64">
        <v>2355</v>
      </c>
      <c r="B706" s="151">
        <v>1.71</v>
      </c>
      <c r="C706" s="160">
        <v>0.65760322255790538</v>
      </c>
      <c r="D706" s="153">
        <v>397076023.39181286</v>
      </c>
      <c r="E706" s="26">
        <f>VLOOKUP(2355,季財報!$A:$H,8,0)</f>
        <v>3</v>
      </c>
      <c r="F706" s="160">
        <v>5.4249999999999993E-3</v>
      </c>
      <c r="G706" s="153">
        <v>19853801169.590645</v>
      </c>
      <c r="H706" s="153">
        <v>22396199000</v>
      </c>
      <c r="I706" s="151">
        <v>0.88648083407325706</v>
      </c>
      <c r="J706" s="153">
        <v>11.11603664597942</v>
      </c>
    </row>
    <row r="707" spans="1:10" hidden="1">
      <c r="A707" s="64">
        <v>8040</v>
      </c>
      <c r="B707" s="52">
        <v>-0.26</v>
      </c>
      <c r="C707" s="161">
        <v>1</v>
      </c>
      <c r="D707" s="158">
        <v>80769230.769230768</v>
      </c>
      <c r="E707" s="26">
        <f>VLOOKUP(8040,季財報!$A:$H,8,0)</f>
        <v>1</v>
      </c>
      <c r="F707" s="161">
        <v>4.2883333333333336E-2</v>
      </c>
      <c r="G707" s="54">
        <v>621115384.61538458</v>
      </c>
      <c r="H707" s="54">
        <v>699769000</v>
      </c>
      <c r="I707" s="65">
        <v>0.88760060050585921</v>
      </c>
      <c r="J707" s="163">
        <v>0</v>
      </c>
    </row>
    <row r="708" spans="1:10" hidden="1">
      <c r="A708" s="64">
        <v>3311</v>
      </c>
      <c r="B708" s="151">
        <v>0.37</v>
      </c>
      <c r="C708" s="160">
        <v>0</v>
      </c>
      <c r="D708" s="153">
        <v>178378378.37837839</v>
      </c>
      <c r="E708" s="26">
        <f>VLOOKUP(3311,季財報!$A:$H,8,0)</f>
        <v>4</v>
      </c>
      <c r="F708" s="160">
        <v>-1.5258333333333332E-2</v>
      </c>
      <c r="G708" s="153">
        <v>3201891891.891892</v>
      </c>
      <c r="H708" s="153">
        <v>3604918000</v>
      </c>
      <c r="I708" s="151">
        <v>0.88820103311417675</v>
      </c>
      <c r="J708" s="153">
        <v>0</v>
      </c>
    </row>
    <row r="709" spans="1:10" hidden="1">
      <c r="A709" s="64">
        <v>6214</v>
      </c>
      <c r="B709" s="52">
        <v>-0.25</v>
      </c>
      <c r="C709" s="161">
        <v>0.99152542372881358</v>
      </c>
      <c r="D709" s="158">
        <v>248000000</v>
      </c>
      <c r="E709" s="26">
        <f>VLOOKUP(6214,季財報!$A:$H,8,0)</f>
        <v>1</v>
      </c>
      <c r="F709" s="161">
        <v>8.0083333333333326E-2</v>
      </c>
      <c r="G709" s="54">
        <v>14309600000</v>
      </c>
      <c r="H709" s="54">
        <v>16055883000</v>
      </c>
      <c r="I709" s="65">
        <v>0.89123718701736931</v>
      </c>
      <c r="J709" s="163">
        <v>0</v>
      </c>
    </row>
    <row r="710" spans="1:10" hidden="1">
      <c r="A710" s="64">
        <v>5460</v>
      </c>
      <c r="B710" s="52">
        <v>0.18</v>
      </c>
      <c r="C710" s="161">
        <v>0.91428571428571426</v>
      </c>
      <c r="D710" s="158">
        <v>72222222.222222224</v>
      </c>
      <c r="E710" s="26">
        <f>VLOOKUP(5460,季財報!$A:$H,8,0)</f>
        <v>1</v>
      </c>
      <c r="F710" s="161">
        <v>-1.9075000000000005E-2</v>
      </c>
      <c r="G710" s="54">
        <v>859444444.44444454</v>
      </c>
      <c r="H710" s="54">
        <v>960220000</v>
      </c>
      <c r="I710" s="65">
        <v>0.89504951411597811</v>
      </c>
      <c r="J710" s="163">
        <v>18.077256944444446</v>
      </c>
    </row>
    <row r="711" spans="1:10" hidden="1">
      <c r="A711" s="64">
        <v>2102</v>
      </c>
      <c r="B711" s="151">
        <v>0.47</v>
      </c>
      <c r="C711" s="160">
        <v>0.88130563798219586</v>
      </c>
      <c r="D711" s="153">
        <v>455319148.93617022</v>
      </c>
      <c r="E711" s="26">
        <f>VLOOKUP(2102,季財報!$A:$H,8,0)</f>
        <v>3</v>
      </c>
      <c r="F711" s="160">
        <v>2.1125000000000001E-2</v>
      </c>
      <c r="G711" s="153">
        <v>6898085106.3829794</v>
      </c>
      <c r="H711" s="153">
        <v>7692990000</v>
      </c>
      <c r="I711" s="151">
        <v>0.89667152906515923</v>
      </c>
      <c r="J711" s="153">
        <v>9.1438319363851299</v>
      </c>
    </row>
    <row r="712" spans="1:10" hidden="1">
      <c r="A712" s="64">
        <v>6127</v>
      </c>
      <c r="B712" s="52">
        <v>0.03</v>
      </c>
      <c r="C712" s="161">
        <v>1</v>
      </c>
      <c r="D712" s="158">
        <v>100000000</v>
      </c>
      <c r="E712" s="26">
        <f>VLOOKUP(6127,季財報!$A:$H,8,0)</f>
        <v>1</v>
      </c>
      <c r="F712" s="161">
        <v>-1.8666666666666658E-3</v>
      </c>
      <c r="G712" s="54">
        <v>971000000.00000012</v>
      </c>
      <c r="H712" s="54">
        <v>1077209000</v>
      </c>
      <c r="I712" s="65">
        <v>0.90140353450444632</v>
      </c>
      <c r="J712" s="163">
        <v>50</v>
      </c>
    </row>
    <row r="713" spans="1:10" hidden="1">
      <c r="A713" s="64">
        <v>1568</v>
      </c>
      <c r="B713" s="151">
        <v>0.48</v>
      </c>
      <c r="C713" s="160">
        <v>0.78749999999999998</v>
      </c>
      <c r="D713" s="153">
        <v>104166666.66666667</v>
      </c>
      <c r="E713" s="26">
        <f>VLOOKUP(1568,季財報!$A:$H,8,0)</f>
        <v>3</v>
      </c>
      <c r="F713" s="160">
        <v>1.6941666666666664E-2</v>
      </c>
      <c r="G713" s="153">
        <v>2125000000</v>
      </c>
      <c r="H713" s="153">
        <v>2357294000</v>
      </c>
      <c r="I713" s="151">
        <v>0.90145734897725949</v>
      </c>
      <c r="J713" s="153">
        <v>13.49206349206349</v>
      </c>
    </row>
    <row r="714" spans="1:10" hidden="1">
      <c r="A714" s="64">
        <v>6172</v>
      </c>
      <c r="B714" s="52">
        <v>0.12</v>
      </c>
      <c r="C714" s="161">
        <v>0</v>
      </c>
      <c r="D714" s="158">
        <v>50000000</v>
      </c>
      <c r="E714" s="26">
        <f>VLOOKUP(6172,季財報!$A:$H,8,0)</f>
        <v>3</v>
      </c>
      <c r="F714" s="161">
        <v>-3.3450000000000008E-2</v>
      </c>
      <c r="G714" s="54">
        <v>260000000</v>
      </c>
      <c r="H714" s="54">
        <v>286946000</v>
      </c>
      <c r="I714" s="65">
        <v>0.90609382950102113</v>
      </c>
      <c r="J714" s="163">
        <v>0</v>
      </c>
    </row>
    <row r="715" spans="1:10" hidden="1">
      <c r="A715" s="64">
        <v>5483</v>
      </c>
      <c r="B715" s="52">
        <v>0.5</v>
      </c>
      <c r="C715" s="161">
        <v>0</v>
      </c>
      <c r="D715" s="158">
        <v>584000000</v>
      </c>
      <c r="E715" s="26">
        <f>VLOOKUP(5483,季財報!$A:$H,8,0)</f>
        <v>3</v>
      </c>
      <c r="F715" s="161">
        <v>-1.9999999999999996E-3</v>
      </c>
      <c r="G715" s="54">
        <v>25812800000</v>
      </c>
      <c r="H715" s="54">
        <v>28478082000</v>
      </c>
      <c r="I715" s="65">
        <v>0.90640935720319926</v>
      </c>
      <c r="J715" s="163">
        <v>0</v>
      </c>
    </row>
    <row r="716" spans="1:10" hidden="1">
      <c r="A716" s="64">
        <v>1808</v>
      </c>
      <c r="B716" s="151">
        <v>2.85</v>
      </c>
      <c r="C716" s="160">
        <v>1</v>
      </c>
      <c r="D716" s="153">
        <v>214736842.10526314</v>
      </c>
      <c r="E716" s="26">
        <f>VLOOKUP(1808,季財報!$A:$H,8,0)</f>
        <v>6</v>
      </c>
      <c r="F716" s="160">
        <v>27.431700000000003</v>
      </c>
      <c r="G716" s="153">
        <v>5808631578.9473686</v>
      </c>
      <c r="H716" s="153">
        <v>6394662000</v>
      </c>
      <c r="I716" s="151">
        <v>0.90835631014545704</v>
      </c>
      <c r="J716" s="153">
        <v>2.3728070175438596</v>
      </c>
    </row>
    <row r="717" spans="1:10" hidden="1">
      <c r="A717" s="64">
        <v>3031</v>
      </c>
      <c r="B717" s="151">
        <v>0.26</v>
      </c>
      <c r="C717" s="160">
        <v>0.69565217391304346</v>
      </c>
      <c r="D717" s="153">
        <v>196153846.15384614</v>
      </c>
      <c r="E717" s="26">
        <f>VLOOKUP(3031,季財報!$A:$H,8,0)</f>
        <v>3</v>
      </c>
      <c r="F717" s="160">
        <v>5.7666666666666561E-3</v>
      </c>
      <c r="G717" s="153">
        <v>1902692307.6923075</v>
      </c>
      <c r="H717" s="153">
        <v>2088919000</v>
      </c>
      <c r="I717" s="151">
        <v>0.91085020898000713</v>
      </c>
      <c r="J717" s="153">
        <v>13.407451923076922</v>
      </c>
    </row>
    <row r="718" spans="1:10" hidden="1">
      <c r="A718" s="64">
        <v>3383</v>
      </c>
      <c r="B718" s="151">
        <v>-1.26</v>
      </c>
      <c r="C718" s="160">
        <v>0.95726495726495731</v>
      </c>
      <c r="D718" s="153">
        <v>314285714.28571427</v>
      </c>
      <c r="E718" s="26">
        <f>VLOOKUP(3383,季財報!$A:$H,8,0)</f>
        <v>1</v>
      </c>
      <c r="F718" s="160">
        <v>-2.8058333333333338E-2</v>
      </c>
      <c r="G718" s="153">
        <v>2558285714.2857141</v>
      </c>
      <c r="H718" s="153">
        <v>2798106000</v>
      </c>
      <c r="I718" s="151">
        <v>0.91429192256680558</v>
      </c>
      <c r="J718" s="153">
        <v>0</v>
      </c>
    </row>
    <row r="719" spans="1:10" hidden="1">
      <c r="A719" s="64">
        <v>3057</v>
      </c>
      <c r="B719" s="151">
        <v>0.12</v>
      </c>
      <c r="C719" s="160">
        <v>0</v>
      </c>
      <c r="D719" s="153">
        <v>166666666.66666669</v>
      </c>
      <c r="E719" s="26">
        <f>VLOOKUP(3057,季財報!$A:$H,8,0)</f>
        <v>2</v>
      </c>
      <c r="F719" s="160">
        <v>3.358333333333336E-3</v>
      </c>
      <c r="G719" s="153">
        <v>2850000000.0000005</v>
      </c>
      <c r="H719" s="153">
        <v>3109697000</v>
      </c>
      <c r="I719" s="151">
        <v>0.91648800510146178</v>
      </c>
      <c r="J719" s="153">
        <v>0</v>
      </c>
    </row>
    <row r="720" spans="1:10" hidden="1">
      <c r="A720" s="64">
        <v>2417</v>
      </c>
      <c r="B720" s="151">
        <v>-0.27</v>
      </c>
      <c r="C720" s="160">
        <v>1</v>
      </c>
      <c r="D720" s="153">
        <v>192592592.59259257</v>
      </c>
      <c r="E720" s="26">
        <f>VLOOKUP(2417,季財報!$A:$H,8,0)</f>
        <v>1</v>
      </c>
      <c r="F720" s="160">
        <v>0.18697499999999997</v>
      </c>
      <c r="G720" s="153">
        <v>1870074074.074074</v>
      </c>
      <c r="H720" s="153">
        <v>2030863000</v>
      </c>
      <c r="I720" s="151">
        <v>0.92082729070059088</v>
      </c>
      <c r="J720" s="153">
        <v>0</v>
      </c>
    </row>
    <row r="721" spans="1:10" hidden="1">
      <c r="A721" s="64">
        <v>2002</v>
      </c>
      <c r="B721" s="151">
        <v>0.05</v>
      </c>
      <c r="C721" s="160">
        <v>0.69217923740606735</v>
      </c>
      <c r="D721" s="153">
        <v>14880000000</v>
      </c>
      <c r="E721" s="26">
        <f>VLOOKUP(2002,季財報!$A:$H,8,0)</f>
        <v>1</v>
      </c>
      <c r="F721" s="160">
        <v>-2.6991666666666664E-2</v>
      </c>
      <c r="G721" s="153">
        <v>278256000000</v>
      </c>
      <c r="H721" s="153">
        <v>302177080000</v>
      </c>
      <c r="I721" s="151">
        <v>0.92083754333717172</v>
      </c>
      <c r="J721" s="153">
        <v>50</v>
      </c>
    </row>
    <row r="722" spans="1:10" hidden="1">
      <c r="A722" s="64">
        <v>8420</v>
      </c>
      <c r="B722" s="52">
        <v>0.62</v>
      </c>
      <c r="C722" s="161">
        <v>0.84848484848484851</v>
      </c>
      <c r="D722" s="158">
        <v>50000000</v>
      </c>
      <c r="E722" s="26">
        <f>VLOOKUP(8420,季財報!$A:$H,8,0)</f>
        <v>2</v>
      </c>
      <c r="F722" s="161">
        <v>4.1933333333333329E-2</v>
      </c>
      <c r="G722" s="54">
        <v>1152500000</v>
      </c>
      <c r="H722" s="54">
        <v>1250252000</v>
      </c>
      <c r="I722" s="65">
        <v>0.92181416226488744</v>
      </c>
      <c r="J722" s="163">
        <v>10.954061059907833</v>
      </c>
    </row>
    <row r="723" spans="1:10" hidden="1">
      <c r="A723" s="64">
        <v>1583</v>
      </c>
      <c r="B723" s="151">
        <v>2.84</v>
      </c>
      <c r="C723" s="160">
        <v>0.54495912806539515</v>
      </c>
      <c r="D723" s="153">
        <v>100000000</v>
      </c>
      <c r="E723" s="26">
        <f>VLOOKUP(1583,季財報!$A:$H,8,0)</f>
        <v>1</v>
      </c>
      <c r="F723" s="160">
        <v>1.7224999999999997E-2</v>
      </c>
      <c r="G723" s="153">
        <v>6900000000</v>
      </c>
      <c r="H723" s="153">
        <v>7476227000</v>
      </c>
      <c r="I723" s="151">
        <v>0.92292542749170137</v>
      </c>
      <c r="J723" s="153">
        <v>11.14568661971831</v>
      </c>
    </row>
    <row r="724" spans="1:10" hidden="1">
      <c r="A724" s="64">
        <v>8908</v>
      </c>
      <c r="B724" s="52">
        <v>0.26</v>
      </c>
      <c r="C724" s="161">
        <v>1</v>
      </c>
      <c r="D724" s="158">
        <v>134615384.61538461</v>
      </c>
      <c r="E724" s="26">
        <f>VLOOKUP(8908,季財報!$A:$H,8,0)</f>
        <v>2</v>
      </c>
      <c r="F724" s="161">
        <v>3.3250000000000016E-3</v>
      </c>
      <c r="G724" s="54">
        <v>5041346153.8461542</v>
      </c>
      <c r="H724" s="54">
        <v>5453651000</v>
      </c>
      <c r="I724" s="65">
        <v>0.92439838079960635</v>
      </c>
      <c r="J724" s="163">
        <v>36.009615384615387</v>
      </c>
    </row>
    <row r="725" spans="1:10" hidden="1">
      <c r="A725" s="64">
        <v>4735</v>
      </c>
      <c r="B725" s="52">
        <v>0.76</v>
      </c>
      <c r="C725" s="161">
        <v>0.8</v>
      </c>
      <c r="D725" s="158">
        <v>31578947.368421052</v>
      </c>
      <c r="E725" s="26">
        <f>VLOOKUP(4735,季財報!$A:$H,8,0)</f>
        <v>3</v>
      </c>
      <c r="F725" s="161">
        <v>0.10962499999999999</v>
      </c>
      <c r="G725" s="54">
        <v>945789473.68421042</v>
      </c>
      <c r="H725" s="54">
        <v>1022346000</v>
      </c>
      <c r="I725" s="65">
        <v>0.92511681337258655</v>
      </c>
      <c r="J725" s="163">
        <v>12.314967105263156</v>
      </c>
    </row>
    <row r="726" spans="1:10" hidden="1">
      <c r="A726" s="64">
        <v>3306</v>
      </c>
      <c r="B726" s="151">
        <v>0.3</v>
      </c>
      <c r="C726" s="160">
        <v>0.1111111111111111</v>
      </c>
      <c r="D726" s="153">
        <v>50000000</v>
      </c>
      <c r="E726" s="26">
        <f>VLOOKUP(3306,季財報!$A:$H,8,0)</f>
        <v>3</v>
      </c>
      <c r="F726" s="160">
        <v>9.2999999999999975E-3</v>
      </c>
      <c r="G726" s="153">
        <v>1242500000</v>
      </c>
      <c r="H726" s="153">
        <v>1340098000</v>
      </c>
      <c r="I726" s="151">
        <v>0.92717099794194158</v>
      </c>
      <c r="J726" s="153">
        <v>50</v>
      </c>
    </row>
    <row r="727" spans="1:10" hidden="1">
      <c r="A727" s="64">
        <v>3339</v>
      </c>
      <c r="B727" s="151">
        <v>-0.82</v>
      </c>
      <c r="C727" s="160">
        <v>1</v>
      </c>
      <c r="D727" s="153">
        <v>275609756.097561</v>
      </c>
      <c r="E727" s="26">
        <f>VLOOKUP(3339,季財報!$A:$H,8,0)</f>
        <v>2</v>
      </c>
      <c r="F727" s="160">
        <v>-5.1583333333333335E-2</v>
      </c>
      <c r="G727" s="153">
        <v>1105195121.9512196</v>
      </c>
      <c r="H727" s="153">
        <v>1191739000</v>
      </c>
      <c r="I727" s="151">
        <v>0.92738017464496802</v>
      </c>
      <c r="J727" s="153">
        <v>0</v>
      </c>
    </row>
    <row r="728" spans="1:10" hidden="1">
      <c r="A728" s="64">
        <v>3666</v>
      </c>
      <c r="B728" s="151">
        <v>0.28999999999999998</v>
      </c>
      <c r="C728" s="160">
        <v>1</v>
      </c>
      <c r="D728" s="153">
        <v>48275862.068965517</v>
      </c>
      <c r="E728" s="26">
        <f>VLOOKUP(3666,季財報!$A:$H,8,0)</f>
        <v>2</v>
      </c>
      <c r="F728" s="160">
        <v>1.0874999999999991E-2</v>
      </c>
      <c r="G728" s="153">
        <v>1037931034.4827586</v>
      </c>
      <c r="H728" s="153">
        <v>1118484000</v>
      </c>
      <c r="I728" s="151">
        <v>0.92798022545048353</v>
      </c>
      <c r="J728" s="153">
        <v>18.53448275862069</v>
      </c>
    </row>
    <row r="729" spans="1:10" hidden="1">
      <c r="A729" s="64">
        <v>4154</v>
      </c>
      <c r="B729" s="52">
        <v>-0.5</v>
      </c>
      <c r="C729" s="161">
        <v>0</v>
      </c>
      <c r="D729" s="158">
        <v>20000000</v>
      </c>
      <c r="E729" s="26">
        <f>VLOOKUP(4154,季財報!$A:$H,8,0)</f>
        <v>2</v>
      </c>
      <c r="F729" s="161">
        <v>1.1800000000000003E-2</v>
      </c>
      <c r="G729" s="54">
        <v>455000000</v>
      </c>
      <c r="H729" s="54">
        <v>489558000</v>
      </c>
      <c r="I729" s="65">
        <v>0.92940979414083724</v>
      </c>
      <c r="J729" s="163">
        <v>0</v>
      </c>
    </row>
    <row r="730" spans="1:10" hidden="1">
      <c r="A730" s="64">
        <v>9939</v>
      </c>
      <c r="B730" s="52">
        <v>0.74</v>
      </c>
      <c r="C730" s="161">
        <v>1</v>
      </c>
      <c r="D730" s="158">
        <v>309459459.45945948</v>
      </c>
      <c r="E730" s="26">
        <f>VLOOKUP(9939,季財報!$A:$H,8,0)</f>
        <v>1</v>
      </c>
      <c r="F730" s="161">
        <v>8.8583333333333378E-3</v>
      </c>
      <c r="G730" s="54">
        <v>15503918918.918921</v>
      </c>
      <c r="H730" s="54">
        <v>16639379000</v>
      </c>
      <c r="I730" s="65">
        <v>0.93176066960905934</v>
      </c>
      <c r="J730" s="163">
        <v>16.925675675675677</v>
      </c>
    </row>
    <row r="731" spans="1:10" hidden="1">
      <c r="A731" s="64">
        <v>1773</v>
      </c>
      <c r="B731" s="151">
        <v>1.06</v>
      </c>
      <c r="C731" s="160">
        <v>0.7539936102236422</v>
      </c>
      <c r="D731" s="153">
        <v>150943396.2264151</v>
      </c>
      <c r="E731" s="26">
        <f>VLOOKUP(1773,季財報!$A:$H,8,0)</f>
        <v>5</v>
      </c>
      <c r="F731" s="160">
        <v>1.6000000000000007E-3</v>
      </c>
      <c r="G731" s="153">
        <v>6233962264.1509428</v>
      </c>
      <c r="H731" s="153">
        <v>6661913000</v>
      </c>
      <c r="I731" s="151">
        <v>0.93576158442041235</v>
      </c>
      <c r="J731" s="153">
        <v>12.918632075471695</v>
      </c>
    </row>
    <row r="732" spans="1:10" hidden="1">
      <c r="A732" s="64">
        <v>1815</v>
      </c>
      <c r="B732" s="151">
        <v>0.35</v>
      </c>
      <c r="C732" s="160">
        <v>0.8990825688073395</v>
      </c>
      <c r="D732" s="153">
        <v>411428571.42857146</v>
      </c>
      <c r="E732" s="26">
        <f>VLOOKUP(1815,季財報!$A:$H,8,0)</f>
        <v>3</v>
      </c>
      <c r="F732" s="160">
        <v>1.8000000000000006E-3</v>
      </c>
      <c r="G732" s="153">
        <v>4566857142.8571434</v>
      </c>
      <c r="H732" s="153">
        <v>4871894000</v>
      </c>
      <c r="I732" s="151">
        <v>0.93738844540894017</v>
      </c>
      <c r="J732" s="153">
        <v>8.8185131195335273</v>
      </c>
    </row>
    <row r="733" spans="1:10" hidden="1">
      <c r="A733" s="64">
        <v>6205</v>
      </c>
      <c r="B733" s="52">
        <v>1.26</v>
      </c>
      <c r="C733" s="161">
        <v>0.30714285714285716</v>
      </c>
      <c r="D733" s="158">
        <v>71428571.428571433</v>
      </c>
      <c r="E733" s="26">
        <f>VLOOKUP(6205,季財報!$A:$H,8,0)</f>
        <v>5</v>
      </c>
      <c r="F733" s="161">
        <v>-1.3074999999999996E-2</v>
      </c>
      <c r="G733" s="54">
        <v>2121428571.4285715</v>
      </c>
      <c r="H733" s="54">
        <v>2260424000</v>
      </c>
      <c r="I733" s="65">
        <v>0.93850913431664651</v>
      </c>
      <c r="J733" s="163">
        <v>19.186046511627907</v>
      </c>
    </row>
    <row r="734" spans="1:10" hidden="1">
      <c r="A734" s="64">
        <v>3504</v>
      </c>
      <c r="B734" s="151">
        <v>0.5</v>
      </c>
      <c r="C734" s="160">
        <v>0.54838709677419351</v>
      </c>
      <c r="D734" s="153">
        <v>116000000</v>
      </c>
      <c r="E734" s="26">
        <f>VLOOKUP(3504,季財報!$A:$H,8,0)</f>
        <v>2</v>
      </c>
      <c r="F734" s="160">
        <v>5.3933333333333333E-2</v>
      </c>
      <c r="G734" s="153">
        <v>4442800000</v>
      </c>
      <c r="H734" s="153">
        <v>4731572000</v>
      </c>
      <c r="I734" s="151">
        <v>0.93896912062206805</v>
      </c>
      <c r="J734" s="153">
        <v>34.920588235294119</v>
      </c>
    </row>
    <row r="735" spans="1:10" hidden="1">
      <c r="A735" s="64">
        <v>6508</v>
      </c>
      <c r="B735" s="52">
        <v>0.56000000000000005</v>
      </c>
      <c r="C735" s="161">
        <v>0.80952380952380953</v>
      </c>
      <c r="D735" s="158">
        <v>80357142.857142851</v>
      </c>
      <c r="E735" s="26">
        <f>VLOOKUP(6508,季財報!$A:$H,8,0)</f>
        <v>1</v>
      </c>
      <c r="F735" s="161">
        <v>1.0866666666666672E-2</v>
      </c>
      <c r="G735" s="54">
        <v>2294196428.5714283</v>
      </c>
      <c r="H735" s="54">
        <v>2441190000</v>
      </c>
      <c r="I735" s="65">
        <v>0.93978609963641846</v>
      </c>
      <c r="J735" s="163">
        <v>15.744485294117647</v>
      </c>
    </row>
    <row r="736" spans="1:10" hidden="1">
      <c r="A736" s="64">
        <v>9946</v>
      </c>
      <c r="B736" s="52">
        <v>1.52</v>
      </c>
      <c r="C736" s="161">
        <v>0.9886621315192744</v>
      </c>
      <c r="D736" s="158">
        <v>264473684.21052632</v>
      </c>
      <c r="E736" s="26">
        <f>VLOOKUP(9946,季財報!$A:$H,8,0)</f>
        <v>5</v>
      </c>
      <c r="F736" s="161">
        <v>2.6179166666666664</v>
      </c>
      <c r="G736" s="54">
        <v>3781973684.2105265</v>
      </c>
      <c r="H736" s="54">
        <v>4021187000</v>
      </c>
      <c r="I736" s="65">
        <v>0.9405117653594639</v>
      </c>
      <c r="J736" s="163">
        <v>2.3789458594881703</v>
      </c>
    </row>
    <row r="737" spans="1:10" hidden="1">
      <c r="A737" s="64">
        <v>4173</v>
      </c>
      <c r="B737" s="52">
        <v>7.0000000000000007E-2</v>
      </c>
      <c r="C737" s="161">
        <v>1</v>
      </c>
      <c r="D737" s="158">
        <v>42857142.857142851</v>
      </c>
      <c r="E737" s="26">
        <f>VLOOKUP(4173,季財報!$A:$H,8,0)</f>
        <v>1</v>
      </c>
      <c r="F737" s="161">
        <v>8.2499999999999934E-3</v>
      </c>
      <c r="G737" s="54">
        <v>1268571428.5714285</v>
      </c>
      <c r="H737" s="54">
        <v>1342952000</v>
      </c>
      <c r="I737" s="65">
        <v>0.94461412512988441</v>
      </c>
      <c r="J737" s="163">
        <v>50</v>
      </c>
    </row>
    <row r="738" spans="1:10" hidden="1">
      <c r="A738" s="64">
        <v>3675</v>
      </c>
      <c r="B738" s="151">
        <v>0.68</v>
      </c>
      <c r="C738" s="160">
        <v>0.83018867924528306</v>
      </c>
      <c r="D738" s="153">
        <v>44117647.058823526</v>
      </c>
      <c r="E738" s="26">
        <f>VLOOKUP(3675,季財報!$A:$H,8,0)</f>
        <v>4</v>
      </c>
      <c r="F738" s="160">
        <v>-4.7500000000000206E-4</v>
      </c>
      <c r="G738" s="153">
        <v>1014705882.352941</v>
      </c>
      <c r="H738" s="153">
        <v>1073122000</v>
      </c>
      <c r="I738" s="151">
        <v>0.94556432759084341</v>
      </c>
      <c r="J738" s="153">
        <v>10.185494652406417</v>
      </c>
    </row>
    <row r="739" spans="1:10">
      <c r="A739" s="64">
        <v>2488</v>
      </c>
      <c r="B739" s="151">
        <v>0.85</v>
      </c>
      <c r="C739" s="160">
        <v>0.8839285714285714</v>
      </c>
      <c r="D739" s="153">
        <v>80000000</v>
      </c>
      <c r="E739" s="26">
        <f>VLOOKUP(2488,季財報!$A:$H,8,0)</f>
        <v>4</v>
      </c>
      <c r="F739" s="160">
        <v>3.8625E-2</v>
      </c>
      <c r="G739" s="153">
        <v>2244000000</v>
      </c>
      <c r="H739" s="153">
        <v>2368889000</v>
      </c>
      <c r="I739" s="151">
        <v>0.94727950528707761</v>
      </c>
      <c r="J739" s="153">
        <v>9.3333333333333339</v>
      </c>
    </row>
    <row r="740" spans="1:10" hidden="1">
      <c r="A740" s="64">
        <v>6208</v>
      </c>
      <c r="B740" s="52">
        <v>0.23</v>
      </c>
      <c r="C740" s="161">
        <v>0.625</v>
      </c>
      <c r="D740" s="158">
        <v>113043478.26086956</v>
      </c>
      <c r="E740" s="26">
        <f>VLOOKUP(6208,季財報!$A:$H,8,0)</f>
        <v>3</v>
      </c>
      <c r="F740" s="161">
        <v>-5.758333333333328E-3</v>
      </c>
      <c r="G740" s="54">
        <v>1232173913.0434783</v>
      </c>
      <c r="H740" s="54">
        <v>1297261000</v>
      </c>
      <c r="I740" s="65">
        <v>0.94982730001401283</v>
      </c>
      <c r="J740" s="163">
        <v>18.956521739130434</v>
      </c>
    </row>
    <row r="741" spans="1:10" hidden="1">
      <c r="A741" s="64">
        <v>2478</v>
      </c>
      <c r="B741" s="151">
        <v>0.4</v>
      </c>
      <c r="C741" s="160">
        <v>0.59060402684563762</v>
      </c>
      <c r="D741" s="153">
        <v>255000000</v>
      </c>
      <c r="E741" s="26">
        <f>VLOOKUP(2478,季財報!$A:$H,8,0)</f>
        <v>2</v>
      </c>
      <c r="F741" s="160">
        <v>2.0941666666666667E-2</v>
      </c>
      <c r="G741" s="153">
        <v>3735750000</v>
      </c>
      <c r="H741" s="153">
        <v>3922416000</v>
      </c>
      <c r="I741" s="151">
        <v>0.95241045314928352</v>
      </c>
      <c r="J741" s="153">
        <v>15.503196022727272</v>
      </c>
    </row>
    <row r="742" spans="1:10" hidden="1">
      <c r="A742" s="64">
        <v>5011</v>
      </c>
      <c r="B742" s="52">
        <v>0.28000000000000003</v>
      </c>
      <c r="C742" s="161">
        <v>0.63157894736842102</v>
      </c>
      <c r="D742" s="158">
        <v>35714285.714285709</v>
      </c>
      <c r="E742" s="26">
        <f>VLOOKUP(5011,季財報!$A:$H,8,0)</f>
        <v>3</v>
      </c>
      <c r="F742" s="161">
        <v>4.1224999999999991E-2</v>
      </c>
      <c r="G742" s="54">
        <v>896428571.42857134</v>
      </c>
      <c r="H742" s="54">
        <v>936585000</v>
      </c>
      <c r="I742" s="65">
        <v>0.95712462982918944</v>
      </c>
      <c r="J742" s="163">
        <v>35.483630952380949</v>
      </c>
    </row>
    <row r="743" spans="1:10" hidden="1">
      <c r="A743" s="64">
        <v>5392</v>
      </c>
      <c r="B743" s="52">
        <v>-0.35</v>
      </c>
      <c r="C743" s="161">
        <v>1</v>
      </c>
      <c r="D743" s="158">
        <v>97142857.142857149</v>
      </c>
      <c r="E743" s="26">
        <f>VLOOKUP(5392,季財報!$A:$H,8,0)</f>
        <v>2</v>
      </c>
      <c r="F743" s="161">
        <v>8.7633333333333341E-2</v>
      </c>
      <c r="G743" s="54">
        <v>5236000000</v>
      </c>
      <c r="H743" s="54">
        <v>5467176000</v>
      </c>
      <c r="I743" s="65">
        <v>0.95771564698118372</v>
      </c>
      <c r="J743" s="163">
        <v>0</v>
      </c>
    </row>
    <row r="744" spans="1:10" hidden="1">
      <c r="A744" s="64">
        <v>2354</v>
      </c>
      <c r="B744" s="151">
        <v>2.09</v>
      </c>
      <c r="C744" s="160">
        <v>0.80058550025830899</v>
      </c>
      <c r="D744" s="153">
        <v>1394736842.1052632</v>
      </c>
      <c r="E744" s="26">
        <f>VLOOKUP(2354,季財報!$A:$H,8,0)</f>
        <v>0</v>
      </c>
      <c r="F744" s="160">
        <v>2.4416666666666614E-3</v>
      </c>
      <c r="G744" s="153">
        <v>106418421052.63158</v>
      </c>
      <c r="H744" s="153">
        <v>110874267000</v>
      </c>
      <c r="I744" s="151">
        <v>0.95981172125928527</v>
      </c>
      <c r="J744" s="153">
        <v>11.40014933499101</v>
      </c>
    </row>
    <row r="745" spans="1:10" hidden="1">
      <c r="A745" s="64">
        <v>5349</v>
      </c>
      <c r="B745" s="52">
        <v>0.45</v>
      </c>
      <c r="C745" s="161">
        <v>0.89686098654708524</v>
      </c>
      <c r="D745" s="158">
        <v>215555555.55555555</v>
      </c>
      <c r="E745" s="26">
        <f>VLOOKUP(5349,季財報!$A:$H,8,0)</f>
        <v>1</v>
      </c>
      <c r="F745" s="161">
        <v>-6.1416666666666642E-3</v>
      </c>
      <c r="G745" s="54">
        <v>7803111111.1111116</v>
      </c>
      <c r="H745" s="54">
        <v>8105112000</v>
      </c>
      <c r="I745" s="65">
        <v>0.96273945518718451</v>
      </c>
      <c r="J745" s="163">
        <v>22.423888888888889</v>
      </c>
    </row>
    <row r="746" spans="1:10" hidden="1">
      <c r="A746" s="64">
        <v>3489</v>
      </c>
      <c r="B746" s="151">
        <v>0.2</v>
      </c>
      <c r="C746" s="160">
        <v>1</v>
      </c>
      <c r="D746" s="153">
        <v>80000000</v>
      </c>
      <c r="E746" s="26">
        <f>VLOOKUP(3489,季財報!$A:$H,8,0)</f>
        <v>3</v>
      </c>
      <c r="F746" s="160">
        <v>0.49763333333333337</v>
      </c>
      <c r="G746" s="153">
        <v>796000000</v>
      </c>
      <c r="H746" s="153">
        <v>825240000</v>
      </c>
      <c r="I746" s="151">
        <v>0.96456788328243903</v>
      </c>
      <c r="J746" s="153">
        <v>12.437499999999998</v>
      </c>
    </row>
    <row r="747" spans="1:10" hidden="1">
      <c r="A747" s="64">
        <v>1618</v>
      </c>
      <c r="B747" s="151">
        <v>0.14000000000000001</v>
      </c>
      <c r="C747" s="160">
        <v>1</v>
      </c>
      <c r="D747" s="153">
        <v>242857142.85714284</v>
      </c>
      <c r="E747" s="26">
        <f>VLOOKUP(1618,季財報!$A:$H,8,0)</f>
        <v>3</v>
      </c>
      <c r="F747" s="160">
        <v>0.25332499999999997</v>
      </c>
      <c r="G747" s="153">
        <v>1692714285.7142856</v>
      </c>
      <c r="H747" s="153">
        <v>1745914000</v>
      </c>
      <c r="I747" s="151">
        <v>0.96952901787504175</v>
      </c>
      <c r="J747" s="153">
        <v>12.446428571428569</v>
      </c>
    </row>
    <row r="748" spans="1:10" hidden="1">
      <c r="A748" s="64">
        <v>2383</v>
      </c>
      <c r="B748" s="151">
        <v>2.4300000000000002</v>
      </c>
      <c r="C748" s="160">
        <v>0.97838270616493195</v>
      </c>
      <c r="D748" s="153">
        <v>316872427.98353904</v>
      </c>
      <c r="E748" s="26">
        <f>VLOOKUP(2383,季財報!$A:$H,8,0)</f>
        <v>5</v>
      </c>
      <c r="F748" s="160">
        <v>7.6250000000000024E-3</v>
      </c>
      <c r="G748" s="153">
        <v>20501646090.534977</v>
      </c>
      <c r="H748" s="153">
        <v>21141654000</v>
      </c>
      <c r="I748" s="151">
        <v>0.96972763297209275</v>
      </c>
      <c r="J748" s="153">
        <v>6.8034507957675805</v>
      </c>
    </row>
    <row r="749" spans="1:10" hidden="1">
      <c r="A749" s="64">
        <v>2311</v>
      </c>
      <c r="B749" s="151">
        <v>0.83</v>
      </c>
      <c r="C749" s="160">
        <v>0.85838323353293411</v>
      </c>
      <c r="D749" s="153">
        <v>7673493975.903615</v>
      </c>
      <c r="E749" s="26">
        <f>VLOOKUP(2311,季財報!$A:$H,8,0)</f>
        <v>2</v>
      </c>
      <c r="F749" s="160">
        <v>1.0058333333333339E-2</v>
      </c>
      <c r="G749" s="153">
        <v>277396807228.91565</v>
      </c>
      <c r="H749" s="153">
        <v>285629325000</v>
      </c>
      <c r="I749" s="151">
        <v>0.97117761710537132</v>
      </c>
      <c r="J749" s="153">
        <v>12.684956778631792</v>
      </c>
    </row>
    <row r="750" spans="1:10" hidden="1">
      <c r="A750" s="64">
        <v>6244</v>
      </c>
      <c r="B750" s="52">
        <v>0.09</v>
      </c>
      <c r="C750" s="161">
        <v>0.96626984126984128</v>
      </c>
      <c r="D750" s="158">
        <v>500000000</v>
      </c>
      <c r="E750" s="26">
        <f>VLOOKUP(6244,季財報!$A:$H,8,0)</f>
        <v>3</v>
      </c>
      <c r="F750" s="161">
        <v>5.6908333333333339E-2</v>
      </c>
      <c r="G750" s="54">
        <v>21750000000</v>
      </c>
      <c r="H750" s="54">
        <v>22320767000</v>
      </c>
      <c r="I750" s="65">
        <v>0.97442888051293219</v>
      </c>
      <c r="J750" s="163">
        <v>50</v>
      </c>
    </row>
    <row r="751" spans="1:10" hidden="1">
      <c r="A751" s="64">
        <v>8427</v>
      </c>
      <c r="B751" s="52">
        <v>-0.4</v>
      </c>
      <c r="C751" s="161">
        <v>1</v>
      </c>
      <c r="D751" s="158">
        <v>105000000</v>
      </c>
      <c r="E751" s="26">
        <f>VLOOKUP(8427,季財報!$A:$H,8,0)</f>
        <v>1</v>
      </c>
      <c r="F751" s="161">
        <v>0.75351666666666672</v>
      </c>
      <c r="G751" s="54">
        <v>5911500000</v>
      </c>
      <c r="H751" s="54">
        <v>6063819000</v>
      </c>
      <c r="I751" s="65">
        <v>0.9748806816298442</v>
      </c>
      <c r="J751" s="163">
        <v>0</v>
      </c>
    </row>
    <row r="752" spans="1:10">
      <c r="A752" s="64">
        <v>1599</v>
      </c>
      <c r="B752" s="151">
        <v>2.7</v>
      </c>
      <c r="C752" s="160">
        <v>0.90374331550802134</v>
      </c>
      <c r="D752" s="153">
        <v>44814814.814814813</v>
      </c>
      <c r="E752" s="26">
        <f>VLOOKUP(1599,季財報!$A:$H,8,0)</f>
        <v>4</v>
      </c>
      <c r="F752" s="160">
        <v>0.11845000000000001</v>
      </c>
      <c r="G752" s="153">
        <v>2778518518.5185184</v>
      </c>
      <c r="H752" s="153">
        <v>2848386000</v>
      </c>
      <c r="I752" s="151">
        <v>0.97547120317208358</v>
      </c>
      <c r="J752" s="153">
        <v>6.3521805829498144</v>
      </c>
    </row>
    <row r="753" spans="1:10" hidden="1">
      <c r="A753" s="64">
        <v>3693</v>
      </c>
      <c r="B753" s="151">
        <v>3.35</v>
      </c>
      <c r="C753" s="160">
        <v>0.69273743016759781</v>
      </c>
      <c r="D753" s="153">
        <v>38208955.223880596</v>
      </c>
      <c r="E753" s="26">
        <f>VLOOKUP(3693,季財報!$A:$H,8,0)</f>
        <v>4</v>
      </c>
      <c r="F753" s="160">
        <v>0.13569166666666668</v>
      </c>
      <c r="G753" s="153">
        <v>4967164179.1044779</v>
      </c>
      <c r="H753" s="153">
        <v>5084354000</v>
      </c>
      <c r="I753" s="151">
        <v>0.97695089270032687</v>
      </c>
      <c r="J753" s="153">
        <v>14.004573904670195</v>
      </c>
    </row>
    <row r="754" spans="1:10" hidden="1">
      <c r="A754" s="64">
        <v>9911</v>
      </c>
      <c r="B754" s="52">
        <v>0.55000000000000004</v>
      </c>
      <c r="C754" s="161">
        <v>0.80382775119617222</v>
      </c>
      <c r="D754" s="158">
        <v>270909090.90909088</v>
      </c>
      <c r="E754" s="26">
        <f>VLOOKUP(9911,季財報!$A:$H,8,0)</f>
        <v>2</v>
      </c>
      <c r="F754" s="161">
        <v>1.9450000000000005E-2</v>
      </c>
      <c r="G754" s="54">
        <v>4930545454.545454</v>
      </c>
      <c r="H754" s="54">
        <v>5040243000</v>
      </c>
      <c r="I754" s="65">
        <v>0.97823566334905954</v>
      </c>
      <c r="J754" s="163">
        <v>10.291666666666666</v>
      </c>
    </row>
    <row r="755" spans="1:10" hidden="1">
      <c r="A755" s="64">
        <v>6292</v>
      </c>
      <c r="B755" s="52">
        <v>0.44</v>
      </c>
      <c r="C755" s="161">
        <v>1</v>
      </c>
      <c r="D755" s="158">
        <v>47727272.727272727</v>
      </c>
      <c r="E755" s="26">
        <f>VLOOKUP(6292,季財報!$A:$H,8,0)</f>
        <v>2</v>
      </c>
      <c r="F755" s="161">
        <v>4.0641666666666666E-2</v>
      </c>
      <c r="G755" s="54">
        <v>1355454545.4545453</v>
      </c>
      <c r="H755" s="54">
        <v>1385483000</v>
      </c>
      <c r="I755" s="65">
        <v>0.97832636376956283</v>
      </c>
      <c r="J755" s="163">
        <v>16.136363636363637</v>
      </c>
    </row>
    <row r="756" spans="1:10">
      <c r="A756" s="64">
        <v>2726</v>
      </c>
      <c r="B756" s="156">
        <v>1.33</v>
      </c>
      <c r="C756" s="160">
        <v>0.56521739130434778</v>
      </c>
      <c r="D756" s="157">
        <v>27067669.172932331</v>
      </c>
      <c r="E756" s="26">
        <f>VLOOKUP(2726,季財報!$A:$H,8,0)</f>
        <v>5</v>
      </c>
      <c r="F756" s="160">
        <v>2.1808333333333332E-2</v>
      </c>
      <c r="G756" s="157">
        <v>1556390977.443609</v>
      </c>
      <c r="H756" s="157">
        <v>1587663000</v>
      </c>
      <c r="I756" s="156">
        <v>0.98030311057422703</v>
      </c>
      <c r="J756" s="157">
        <v>19.122325043377675</v>
      </c>
    </row>
    <row r="757" spans="1:10" hidden="1">
      <c r="A757" s="64">
        <v>3013</v>
      </c>
      <c r="B757" s="151">
        <v>0.4</v>
      </c>
      <c r="C757" s="160">
        <v>0.44047619047619047</v>
      </c>
      <c r="D757" s="153">
        <v>177500000</v>
      </c>
      <c r="E757" s="26">
        <f>VLOOKUP(3013,季財報!$A:$H,8,0)</f>
        <v>2</v>
      </c>
      <c r="F757" s="160">
        <v>3.4708333333333334E-2</v>
      </c>
      <c r="G757" s="153">
        <v>3159500000</v>
      </c>
      <c r="H757" s="153">
        <v>3219147000</v>
      </c>
      <c r="I757" s="151">
        <v>0.98147117854512389</v>
      </c>
      <c r="J757" s="153">
        <v>25.256756756756754</v>
      </c>
    </row>
    <row r="758" spans="1:10" hidden="1">
      <c r="A758" s="64">
        <v>4104</v>
      </c>
      <c r="B758" s="52">
        <v>0.77</v>
      </c>
      <c r="C758" s="161">
        <v>0.48691099476439792</v>
      </c>
      <c r="D758" s="158">
        <v>116883116.88311689</v>
      </c>
      <c r="E758" s="26">
        <f>VLOOKUP(4104,季財報!$A:$H,8,0)</f>
        <v>3</v>
      </c>
      <c r="F758" s="161">
        <v>1.0199999999999999E-2</v>
      </c>
      <c r="G758" s="54">
        <v>6066233766.2337666</v>
      </c>
      <c r="H758" s="54">
        <v>6177972000</v>
      </c>
      <c r="I758" s="65">
        <v>0.98191344444969431</v>
      </c>
      <c r="J758" s="163">
        <v>34.607247591118558</v>
      </c>
    </row>
    <row r="759" spans="1:10">
      <c r="A759" s="64">
        <v>1730</v>
      </c>
      <c r="B759" s="151">
        <v>0.81</v>
      </c>
      <c r="C759" s="160">
        <v>0.80555555555555558</v>
      </c>
      <c r="D759" s="153">
        <v>53086419.753086418</v>
      </c>
      <c r="E759" s="26">
        <f>VLOOKUP(1730,季財報!$A:$H,8,0)</f>
        <v>6</v>
      </c>
      <c r="F759" s="160">
        <v>3.4066666666666669E-2</v>
      </c>
      <c r="G759" s="153">
        <v>1913765432.0987651</v>
      </c>
      <c r="H759" s="153">
        <v>1948921000</v>
      </c>
      <c r="I759" s="151">
        <v>0.98196152234942569</v>
      </c>
      <c r="J759" s="153">
        <v>13.812260536398465</v>
      </c>
    </row>
    <row r="760" spans="1:10" hidden="1">
      <c r="A760" s="64">
        <v>2221</v>
      </c>
      <c r="B760" s="151">
        <v>0.37</v>
      </c>
      <c r="C760" s="160">
        <v>1</v>
      </c>
      <c r="D760" s="153">
        <v>43243243.243243247</v>
      </c>
      <c r="E760" s="26">
        <f>VLOOKUP(2221,季財報!$A:$H,8,0)</f>
        <v>1</v>
      </c>
      <c r="F760" s="160">
        <v>0.1164</v>
      </c>
      <c r="G760" s="153">
        <v>838918918.91891897</v>
      </c>
      <c r="H760" s="153">
        <v>852229000</v>
      </c>
      <c r="I760" s="151">
        <v>0.98438203689257109</v>
      </c>
      <c r="J760" s="153">
        <v>13.108108108108107</v>
      </c>
    </row>
    <row r="761" spans="1:10" hidden="1">
      <c r="A761" s="64">
        <v>2439</v>
      </c>
      <c r="B761" s="151">
        <v>1.38</v>
      </c>
      <c r="C761" s="160">
        <v>0.85512367491166075</v>
      </c>
      <c r="D761" s="153">
        <v>184782608.69565219</v>
      </c>
      <c r="E761" s="26">
        <f>VLOOKUP(2439,季財報!$A:$H,8,0)</f>
        <v>2</v>
      </c>
      <c r="F761" s="160">
        <v>3.7941666666666672E-2</v>
      </c>
      <c r="G761" s="153">
        <v>12010869565.217392</v>
      </c>
      <c r="H761" s="153">
        <v>12182805000</v>
      </c>
      <c r="I761" s="151">
        <v>0.9858870403997595</v>
      </c>
      <c r="J761" s="153">
        <v>13.770361719966465</v>
      </c>
    </row>
    <row r="762" spans="1:10">
      <c r="A762" s="64">
        <v>3285</v>
      </c>
      <c r="B762" s="151">
        <v>0.99</v>
      </c>
      <c r="C762" s="160">
        <v>0.57999999999999996</v>
      </c>
      <c r="D762" s="153">
        <v>44444444.444444448</v>
      </c>
      <c r="E762" s="26">
        <f>VLOOKUP(3285,季財報!$A:$H,8,0)</f>
        <v>4</v>
      </c>
      <c r="F762" s="160">
        <v>2.7158333333333329E-2</v>
      </c>
      <c r="G762" s="153">
        <v>1415555555.5555558</v>
      </c>
      <c r="H762" s="153">
        <v>1435674000</v>
      </c>
      <c r="I762" s="151">
        <v>0.98598675991593898</v>
      </c>
      <c r="J762" s="153">
        <v>13.867119470567749</v>
      </c>
    </row>
    <row r="763" spans="1:10" hidden="1">
      <c r="A763" s="64">
        <v>6422</v>
      </c>
      <c r="B763" s="52">
        <v>1.58</v>
      </c>
      <c r="C763" s="161">
        <v>0.9553571428571429</v>
      </c>
      <c r="D763" s="158">
        <v>36708860.759493671</v>
      </c>
      <c r="E763" s="26">
        <f>VLOOKUP(6422,季財報!$A:$H,8,0)</f>
        <v>1</v>
      </c>
      <c r="F763" s="161">
        <v>4.8925000000000003E-2</v>
      </c>
      <c r="G763" s="54">
        <v>2041012658.2278483</v>
      </c>
      <c r="H763" s="54">
        <v>2067189000</v>
      </c>
      <c r="I763" s="65">
        <v>0.98733722858812056</v>
      </c>
      <c r="J763" s="163">
        <v>9.2085650065065643</v>
      </c>
    </row>
    <row r="764" spans="1:10" hidden="1">
      <c r="A764" s="64">
        <v>5285</v>
      </c>
      <c r="B764" s="52">
        <v>0.94</v>
      </c>
      <c r="C764" s="161">
        <v>0.79807692307692313</v>
      </c>
      <c r="D764" s="158">
        <v>74468085.106382981</v>
      </c>
      <c r="E764" s="26">
        <f>VLOOKUP(5285,季財報!$A:$H,8,0)</f>
        <v>4</v>
      </c>
      <c r="F764" s="161">
        <v>6.4499999999999983E-3</v>
      </c>
      <c r="G764" s="54">
        <v>2338297872.3404255</v>
      </c>
      <c r="H764" s="54">
        <v>2364811000</v>
      </c>
      <c r="I764" s="65">
        <v>0.9887884792232553</v>
      </c>
      <c r="J764" s="163">
        <v>10.463983593950269</v>
      </c>
    </row>
    <row r="765" spans="1:10" hidden="1">
      <c r="A765" s="64">
        <v>3680</v>
      </c>
      <c r="B765" s="151">
        <v>0.35</v>
      </c>
      <c r="C765" s="160">
        <v>0</v>
      </c>
      <c r="D765" s="153">
        <v>62857142.857142858</v>
      </c>
      <c r="E765" s="26">
        <f>VLOOKUP(3680,季財報!$A:$H,8,0)</f>
        <v>3</v>
      </c>
      <c r="F765" s="160">
        <v>5.2949999999999997E-2</v>
      </c>
      <c r="G765" s="153">
        <v>1879428571.4285715</v>
      </c>
      <c r="H765" s="153">
        <v>1898704000</v>
      </c>
      <c r="I765" s="151">
        <v>0.98984811293838926</v>
      </c>
      <c r="J765" s="153">
        <v>0</v>
      </c>
    </row>
    <row r="766" spans="1:10" hidden="1">
      <c r="A766" s="64">
        <v>5315</v>
      </c>
      <c r="B766" s="52">
        <v>1.1499999999999999</v>
      </c>
      <c r="C766" s="161">
        <v>0.8571428571428571</v>
      </c>
      <c r="D766" s="158">
        <v>106086956.52173914</v>
      </c>
      <c r="E766" s="26">
        <f>VLOOKUP(5315,季財報!$A:$H,8,0)</f>
        <v>3</v>
      </c>
      <c r="F766" s="161">
        <v>1.5566666666666668E-2</v>
      </c>
      <c r="G766" s="54">
        <v>2577913043.478261</v>
      </c>
      <c r="H766" s="54">
        <v>2599300000</v>
      </c>
      <c r="I766" s="65">
        <v>0.99177203226955757</v>
      </c>
      <c r="J766" s="163">
        <v>6.163043478260871</v>
      </c>
    </row>
    <row r="767" spans="1:10" hidden="1">
      <c r="A767" s="64">
        <v>8935</v>
      </c>
      <c r="B767" s="52">
        <v>-0.18</v>
      </c>
      <c r="C767" s="161">
        <v>0.76923076923076927</v>
      </c>
      <c r="D767" s="158">
        <v>122222222.22222222</v>
      </c>
      <c r="E767" s="26">
        <f>VLOOKUP(8935,季財報!$A:$H,8,0)</f>
        <v>2</v>
      </c>
      <c r="F767" s="161">
        <v>5.1833333333333306E-3</v>
      </c>
      <c r="G767" s="54">
        <v>754111111.11111116</v>
      </c>
      <c r="H767" s="54">
        <v>758194000</v>
      </c>
      <c r="I767" s="65">
        <v>0.99461498127274972</v>
      </c>
      <c r="J767" s="163">
        <v>0</v>
      </c>
    </row>
    <row r="768" spans="1:10">
      <c r="A768" s="64">
        <v>2482</v>
      </c>
      <c r="B768" s="151">
        <v>0.39</v>
      </c>
      <c r="C768" s="160">
        <v>1</v>
      </c>
      <c r="D768" s="153">
        <v>61538461.538461536</v>
      </c>
      <c r="E768" s="26">
        <f>VLOOKUP(2482,季財報!$A:$H,8,0)</f>
        <v>6</v>
      </c>
      <c r="F768" s="160">
        <v>9.9874999999999992E-2</v>
      </c>
      <c r="G768" s="153">
        <v>855384615.38461542</v>
      </c>
      <c r="H768" s="153">
        <v>858328000</v>
      </c>
      <c r="I768" s="151">
        <v>0.99657079273263305</v>
      </c>
      <c r="J768" s="153">
        <v>8.9102564102564106</v>
      </c>
    </row>
    <row r="769" spans="1:11" hidden="1">
      <c r="A769" s="64">
        <v>5328</v>
      </c>
      <c r="B769" s="52">
        <v>0.27</v>
      </c>
      <c r="C769" s="161">
        <v>0</v>
      </c>
      <c r="D769" s="158">
        <v>181481481.48148146</v>
      </c>
      <c r="E769" s="26">
        <f>VLOOKUP(5328,季財報!$A:$H,8,0)</f>
        <v>3</v>
      </c>
      <c r="F769" s="161">
        <v>2.7441666666666666E-2</v>
      </c>
      <c r="G769" s="54">
        <v>1054407407.4074073</v>
      </c>
      <c r="H769" s="54">
        <v>1057960000</v>
      </c>
      <c r="I769" s="65">
        <v>0.99664203505558557</v>
      </c>
      <c r="J769" s="163">
        <v>0</v>
      </c>
    </row>
    <row r="770" spans="1:11" hidden="1">
      <c r="A770" s="64">
        <v>1736</v>
      </c>
      <c r="B770" s="151">
        <v>0.73</v>
      </c>
      <c r="C770" s="160">
        <v>0</v>
      </c>
      <c r="D770" s="153">
        <v>302739726.02739727</v>
      </c>
      <c r="E770" s="26">
        <f>VLOOKUP(1736,季財報!$A:$H,8,0)</f>
        <v>1</v>
      </c>
      <c r="F770" s="160">
        <v>1.827500000000001E-2</v>
      </c>
      <c r="G770" s="153">
        <v>16469041095.890411</v>
      </c>
      <c r="H770" s="153">
        <v>16521148000</v>
      </c>
      <c r="I770" s="151">
        <v>0.99684604822197653</v>
      </c>
      <c r="J770" s="153">
        <v>0</v>
      </c>
    </row>
    <row r="771" spans="1:11" hidden="1">
      <c r="A771" s="64">
        <v>1236</v>
      </c>
      <c r="B771" s="151">
        <v>0.09</v>
      </c>
      <c r="C771" s="160">
        <v>1</v>
      </c>
      <c r="D771" s="153">
        <v>111111111.11111112</v>
      </c>
      <c r="E771" s="26">
        <f>VLOOKUP(1236,季財報!$A:$H,8,0)</f>
        <v>1</v>
      </c>
      <c r="F771" s="160">
        <v>6.5475000000000005E-2</v>
      </c>
      <c r="G771" s="153">
        <v>2322222222.2222223</v>
      </c>
      <c r="H771" s="153">
        <v>2327104000</v>
      </c>
      <c r="I771" s="151">
        <v>0.99790220902126525</v>
      </c>
      <c r="J771" s="153">
        <v>50</v>
      </c>
    </row>
    <row r="772" spans="1:11" hidden="1">
      <c r="A772" s="64">
        <v>3299</v>
      </c>
      <c r="B772" s="151">
        <v>1.52</v>
      </c>
      <c r="C772" s="160">
        <v>0.67586206896551726</v>
      </c>
      <c r="D772" s="153">
        <v>50657894.736842103</v>
      </c>
      <c r="E772" s="26">
        <f>VLOOKUP(3299,季財報!$A:$H,8,0)</f>
        <v>2</v>
      </c>
      <c r="F772" s="160">
        <v>6.8333333333333328E-3</v>
      </c>
      <c r="G772" s="153">
        <v>2664605263.1578946</v>
      </c>
      <c r="H772" s="153">
        <v>2667897000</v>
      </c>
      <c r="I772" s="151">
        <v>0.99876616794347561</v>
      </c>
      <c r="J772" s="153">
        <v>12.800416219119226</v>
      </c>
    </row>
    <row r="773" spans="1:11" hidden="1">
      <c r="A773" s="64">
        <v>9960</v>
      </c>
      <c r="B773" s="52">
        <v>-7.0000000000000007E-2</v>
      </c>
      <c r="C773" s="161">
        <v>0</v>
      </c>
      <c r="D773" s="158">
        <v>28571428.571428567</v>
      </c>
      <c r="E773" s="26">
        <f>VLOOKUP(9960,季財報!$A:$H,8,0)</f>
        <v>0</v>
      </c>
      <c r="F773" s="161">
        <v>-1.6891666666666669E-2</v>
      </c>
      <c r="G773" s="54">
        <v>534285714.28571421</v>
      </c>
      <c r="H773" s="54">
        <v>533012000</v>
      </c>
      <c r="I773" s="65">
        <v>1.0023896540522805</v>
      </c>
      <c r="J773" s="163">
        <v>0</v>
      </c>
    </row>
    <row r="774" spans="1:11" hidden="1">
      <c r="A774" s="64">
        <v>8210</v>
      </c>
      <c r="B774" s="52">
        <v>1.1200000000000001</v>
      </c>
      <c r="C774" s="161">
        <v>0.78542510121457487</v>
      </c>
      <c r="D774" s="158">
        <v>119642857.14285713</v>
      </c>
      <c r="E774" s="26">
        <f>VLOOKUP(8210,季財報!$A:$H,8,0)</f>
        <v>4</v>
      </c>
      <c r="F774" s="161">
        <v>2.3908333333333337E-2</v>
      </c>
      <c r="G774" s="54">
        <v>4402857142.8571424</v>
      </c>
      <c r="H774" s="54">
        <v>4376337000</v>
      </c>
      <c r="I774" s="65">
        <v>1.0060598950348527</v>
      </c>
      <c r="J774" s="163">
        <v>10.458394698085419</v>
      </c>
    </row>
    <row r="775" spans="1:11" hidden="1">
      <c r="A775" s="64">
        <v>6197</v>
      </c>
      <c r="B775" s="52">
        <v>0.79</v>
      </c>
      <c r="C775" s="161">
        <v>0.2857142857142857</v>
      </c>
      <c r="D775" s="158">
        <v>170886075.94936708</v>
      </c>
      <c r="E775" s="26">
        <f>VLOOKUP(6197,季財報!$A:$H,8,0)</f>
        <v>5</v>
      </c>
      <c r="F775" s="161">
        <v>1.0616666666666668E-2</v>
      </c>
      <c r="G775" s="54">
        <v>5365822784.8101263</v>
      </c>
      <c r="H775" s="54">
        <v>5325030000</v>
      </c>
      <c r="I775" s="65">
        <v>1.0076605737075897</v>
      </c>
      <c r="J775" s="163">
        <v>34.778481012658226</v>
      </c>
      <c r="K775" s="32"/>
    </row>
    <row r="776" spans="1:11" hidden="1">
      <c r="A776" s="64">
        <v>2340</v>
      </c>
      <c r="B776" s="151">
        <v>0.28999999999999998</v>
      </c>
      <c r="C776" s="160">
        <v>0.71241830065359479</v>
      </c>
      <c r="D776" s="153">
        <v>548275862.06896555</v>
      </c>
      <c r="E776" s="26">
        <f>VLOOKUP(2340,季財報!$A:$H,8,0)</f>
        <v>3</v>
      </c>
      <c r="F776" s="160">
        <v>-4.8500000000000001E-3</v>
      </c>
      <c r="G776" s="153">
        <v>5674655172.4137936</v>
      </c>
      <c r="H776" s="153">
        <v>5624922000</v>
      </c>
      <c r="I776" s="151">
        <v>1.0088415754767432</v>
      </c>
      <c r="J776" s="153">
        <v>12.524122113255299</v>
      </c>
    </row>
    <row r="777" spans="1:11" hidden="1">
      <c r="A777" s="64">
        <v>3413</v>
      </c>
      <c r="B777" s="151">
        <v>2.5099999999999998</v>
      </c>
      <c r="C777" s="160">
        <v>0.78731343283582089</v>
      </c>
      <c r="D777" s="153">
        <v>65737051.792828694</v>
      </c>
      <c r="E777" s="26">
        <f>VLOOKUP(3413,季財報!$A:$H,8,0)</f>
        <v>2</v>
      </c>
      <c r="F777" s="160">
        <v>5.2458333333333329E-2</v>
      </c>
      <c r="G777" s="153">
        <v>4982868525.8964148</v>
      </c>
      <c r="H777" s="153">
        <v>4933645000</v>
      </c>
      <c r="I777" s="151">
        <v>1.0099771114250042</v>
      </c>
      <c r="J777" s="153">
        <v>9.5893204433451036</v>
      </c>
    </row>
    <row r="778" spans="1:11" hidden="1">
      <c r="A778" s="64">
        <v>6129</v>
      </c>
      <c r="B778" s="52">
        <v>-0.09</v>
      </c>
      <c r="C778" s="161">
        <v>0.64893617021276595</v>
      </c>
      <c r="D778" s="158">
        <v>177777777.77777779</v>
      </c>
      <c r="E778" s="26">
        <f>VLOOKUP(6129,季財報!$A:$H,8,0)</f>
        <v>1</v>
      </c>
      <c r="F778" s="161">
        <v>-2.0416666666666639E-3</v>
      </c>
      <c r="G778" s="54">
        <v>1310222222.2222223</v>
      </c>
      <c r="H778" s="54">
        <v>1296347000</v>
      </c>
      <c r="I778" s="65">
        <v>1.010703324204262</v>
      </c>
      <c r="J778" s="163">
        <v>0</v>
      </c>
    </row>
    <row r="779" spans="1:11" hidden="1">
      <c r="A779" s="64">
        <v>8105</v>
      </c>
      <c r="B779" s="52">
        <v>0.79</v>
      </c>
      <c r="C779" s="161">
        <v>0.37309644670050762</v>
      </c>
      <c r="D779" s="158">
        <v>439240506.3291139</v>
      </c>
      <c r="E779" s="26">
        <f>VLOOKUP(8105,季財報!$A:$H,8,0)</f>
        <v>3</v>
      </c>
      <c r="F779" s="161">
        <v>2.4150000000000005E-2</v>
      </c>
      <c r="G779" s="54">
        <v>10805316455.696203</v>
      </c>
      <c r="H779" s="54">
        <v>10675241000</v>
      </c>
      <c r="I779" s="65">
        <v>1.0121847793128234</v>
      </c>
      <c r="J779" s="163">
        <v>20.86540945492121</v>
      </c>
    </row>
    <row r="780" spans="1:11" hidden="1">
      <c r="A780" s="64">
        <v>3564</v>
      </c>
      <c r="B780" s="151">
        <v>1.9</v>
      </c>
      <c r="C780" s="160">
        <v>0.82222222222222219</v>
      </c>
      <c r="D780" s="153">
        <v>20526315.789473686</v>
      </c>
      <c r="E780" s="26">
        <f>VLOOKUP(3564,季財報!$A:$H,8,0)</f>
        <v>3</v>
      </c>
      <c r="F780" s="160">
        <v>7.5575000000000003E-2</v>
      </c>
      <c r="G780" s="153">
        <v>1408105263.1578948</v>
      </c>
      <c r="H780" s="153">
        <v>1390433000</v>
      </c>
      <c r="I780" s="151">
        <v>1.0127098991162429</v>
      </c>
      <c r="J780" s="153">
        <v>10.977951635846372</v>
      </c>
      <c r="K780" s="32"/>
    </row>
    <row r="781" spans="1:11" hidden="1">
      <c r="A781" s="64">
        <v>6192</v>
      </c>
      <c r="B781" s="52">
        <v>1.1599999999999999</v>
      </c>
      <c r="C781" s="161">
        <v>0.96470588235294119</v>
      </c>
      <c r="D781" s="158">
        <v>118965517.24137932</v>
      </c>
      <c r="E781" s="26">
        <f>VLOOKUP(6192,季財報!$A:$H,8,0)</f>
        <v>3</v>
      </c>
      <c r="F781" s="161">
        <v>8.7416666666666667E-3</v>
      </c>
      <c r="G781" s="54">
        <v>5359396551.7241383</v>
      </c>
      <c r="H781" s="54">
        <v>5291125000</v>
      </c>
      <c r="I781" s="65">
        <v>1.012903031344778</v>
      </c>
      <c r="J781" s="163">
        <v>10.064260933557613</v>
      </c>
    </row>
    <row r="782" spans="1:11" ht="16.149999999999999" hidden="1" customHeight="1">
      <c r="A782" s="64">
        <v>2491</v>
      </c>
      <c r="B782" s="151">
        <v>-0.21</v>
      </c>
      <c r="C782" s="160">
        <v>0.66666666666666663</v>
      </c>
      <c r="D782" s="153">
        <v>61904761.90476191</v>
      </c>
      <c r="E782" s="26">
        <f>VLOOKUP(2491,季財報!$A:$H,8,0)</f>
        <v>1</v>
      </c>
      <c r="F782" s="160">
        <v>0.12274166666666668</v>
      </c>
      <c r="G782" s="153">
        <v>436428571.42857146</v>
      </c>
      <c r="H782" s="153">
        <v>430661000</v>
      </c>
      <c r="I782" s="151">
        <v>1.0133923699349872</v>
      </c>
      <c r="J782" s="153">
        <v>0</v>
      </c>
    </row>
    <row r="783" spans="1:11" ht="16.5" hidden="1" customHeight="1">
      <c r="A783" s="64">
        <v>6143</v>
      </c>
      <c r="B783" s="52">
        <v>4.09</v>
      </c>
      <c r="C783" s="161">
        <v>0</v>
      </c>
      <c r="D783" s="158">
        <v>83374083.129584357</v>
      </c>
      <c r="E783" s="26">
        <f>VLOOKUP(6143,季財報!$A:$H,8,0)</f>
        <v>5</v>
      </c>
      <c r="F783" s="161">
        <v>8.3100000000000007E-2</v>
      </c>
      <c r="G783" s="54">
        <v>5319266503.6674814</v>
      </c>
      <c r="H783" s="54">
        <v>5246940000</v>
      </c>
      <c r="I783" s="65">
        <v>1.0137845112899102</v>
      </c>
      <c r="J783" s="163">
        <v>0</v>
      </c>
    </row>
    <row r="784" spans="1:11" ht="16.5" customHeight="1">
      <c r="A784" s="64">
        <v>3068</v>
      </c>
      <c r="B784" s="151">
        <v>0.71</v>
      </c>
      <c r="C784" s="160">
        <v>0.7142857142857143</v>
      </c>
      <c r="D784" s="153">
        <v>84507042.253521129</v>
      </c>
      <c r="E784" s="26">
        <f>VLOOKUP(3068,季財報!$A:$H,8,0)</f>
        <v>5</v>
      </c>
      <c r="F784" s="160">
        <v>1.3808333333333334E-2</v>
      </c>
      <c r="G784" s="153">
        <v>2725352112.6760564</v>
      </c>
      <c r="H784" s="153">
        <v>2681196000</v>
      </c>
      <c r="I784" s="151">
        <v>1.0164688119317111</v>
      </c>
      <c r="J784" s="153">
        <v>15.897887323943662</v>
      </c>
    </row>
    <row r="785" spans="1:11" hidden="1">
      <c r="A785" s="64">
        <v>4535</v>
      </c>
      <c r="B785" s="52">
        <v>1.06</v>
      </c>
      <c r="C785" s="161">
        <v>1</v>
      </c>
      <c r="D785" s="158">
        <v>75471698.113207549</v>
      </c>
      <c r="E785" s="26">
        <f>VLOOKUP(4535,季財報!$A:$H,8,0)</f>
        <v>4</v>
      </c>
      <c r="F785" s="161">
        <v>7.8499999999999976E-3</v>
      </c>
      <c r="G785" s="54">
        <v>3433962264.1509433</v>
      </c>
      <c r="H785" s="54">
        <v>3372335000</v>
      </c>
      <c r="I785" s="65">
        <v>1.0182743600949915</v>
      </c>
      <c r="J785" s="163">
        <v>10.731132075471697</v>
      </c>
    </row>
    <row r="786" spans="1:11" hidden="1">
      <c r="A786" s="64">
        <v>8354</v>
      </c>
      <c r="B786" s="52">
        <v>0.89</v>
      </c>
      <c r="C786" s="161">
        <v>0.46478873239436619</v>
      </c>
      <c r="D786" s="158">
        <v>64044943.820224717</v>
      </c>
      <c r="E786" s="26">
        <f>VLOOKUP(8354,季財報!$A:$H,8,0)</f>
        <v>3</v>
      </c>
      <c r="F786" s="161">
        <v>-7.3083333333333377E-3</v>
      </c>
      <c r="G786" s="54">
        <v>989494382.02247179</v>
      </c>
      <c r="H786" s="54">
        <v>966984000</v>
      </c>
      <c r="I786" s="65">
        <v>1.0232789601714938</v>
      </c>
      <c r="J786" s="163">
        <v>9.337334014300307</v>
      </c>
    </row>
    <row r="787" spans="1:11" hidden="1">
      <c r="A787" s="64">
        <v>4542</v>
      </c>
      <c r="B787" s="52">
        <v>0.36</v>
      </c>
      <c r="C787" s="161">
        <v>0</v>
      </c>
      <c r="D787" s="158">
        <v>27777777.77777778</v>
      </c>
      <c r="E787" s="26">
        <f>VLOOKUP(4542,季財報!$A:$H,8,0)</f>
        <v>4</v>
      </c>
      <c r="F787" s="161">
        <v>0.11800833333333334</v>
      </c>
      <c r="G787" s="54">
        <v>577777777.77777779</v>
      </c>
      <c r="H787" s="54">
        <v>564247000</v>
      </c>
      <c r="I787" s="65">
        <v>1.0239802387567463</v>
      </c>
      <c r="J787" s="163">
        <v>0</v>
      </c>
      <c r="K787" s="32"/>
    </row>
    <row r="788" spans="1:11" hidden="1">
      <c r="A788" s="64">
        <v>6177</v>
      </c>
      <c r="B788" s="52">
        <v>-0.04</v>
      </c>
      <c r="C788" s="161">
        <v>1</v>
      </c>
      <c r="D788" s="158">
        <v>175000000</v>
      </c>
      <c r="E788" s="26">
        <f>VLOOKUP(6177,季財報!$A:$H,8,0)</f>
        <v>0</v>
      </c>
      <c r="F788" s="161">
        <v>1.50915</v>
      </c>
      <c r="G788" s="54">
        <v>3482499999.9999995</v>
      </c>
      <c r="H788" s="54">
        <v>3400722000</v>
      </c>
      <c r="I788" s="65">
        <v>1.0240472464376682</v>
      </c>
      <c r="J788" s="163">
        <v>0</v>
      </c>
    </row>
    <row r="789" spans="1:11" hidden="1">
      <c r="A789" s="64">
        <v>3122</v>
      </c>
      <c r="B789" s="151">
        <v>0.19</v>
      </c>
      <c r="C789" s="160">
        <v>0.3888888888888889</v>
      </c>
      <c r="D789" s="153">
        <v>36842105.263157897</v>
      </c>
      <c r="E789" s="26">
        <f>VLOOKUP(3122,季財報!$A:$H,8,0)</f>
        <v>1</v>
      </c>
      <c r="F789" s="160">
        <v>4.2208333333333327E-2</v>
      </c>
      <c r="G789" s="153">
        <v>569210526.31578946</v>
      </c>
      <c r="H789" s="153">
        <v>553976000</v>
      </c>
      <c r="I789" s="151">
        <v>1.0275003363246593</v>
      </c>
      <c r="J789" s="153">
        <v>50</v>
      </c>
    </row>
    <row r="790" spans="1:11" hidden="1">
      <c r="A790" s="64">
        <v>8928</v>
      </c>
      <c r="B790" s="52">
        <v>0.17</v>
      </c>
      <c r="C790" s="161">
        <v>0.53333333333333333</v>
      </c>
      <c r="D790" s="158">
        <v>52941176.47058823</v>
      </c>
      <c r="E790" s="26">
        <f>VLOOKUP(8928,季財報!$A:$H,8,0)</f>
        <v>3</v>
      </c>
      <c r="F790" s="161">
        <v>7.2458333333333347E-2</v>
      </c>
      <c r="G790" s="54">
        <v>2175882352.9411764</v>
      </c>
      <c r="H790" s="54">
        <v>2104249000</v>
      </c>
      <c r="I790" s="65">
        <v>1.0340422416459156</v>
      </c>
      <c r="J790" s="163">
        <v>50</v>
      </c>
    </row>
    <row r="791" spans="1:11" hidden="1">
      <c r="A791" s="64">
        <v>1503</v>
      </c>
      <c r="B791" s="151">
        <v>0.59</v>
      </c>
      <c r="C791" s="160">
        <v>0.46057347670250898</v>
      </c>
      <c r="D791" s="153">
        <v>518644067.79661018</v>
      </c>
      <c r="E791" s="26">
        <f>VLOOKUP(1503,季財報!$A:$H,8,0)</f>
        <v>2</v>
      </c>
      <c r="F791" s="160">
        <v>1.4574999999999999E-2</v>
      </c>
      <c r="G791" s="153">
        <v>20745762711.864407</v>
      </c>
      <c r="H791" s="153">
        <v>20057289000</v>
      </c>
      <c r="I791" s="151">
        <v>1.034325362309154</v>
      </c>
      <c r="J791" s="153">
        <v>36.800105520015833</v>
      </c>
    </row>
    <row r="792" spans="1:11" hidden="1">
      <c r="A792" s="64">
        <v>4417</v>
      </c>
      <c r="B792" s="52">
        <v>0.98</v>
      </c>
      <c r="C792" s="161">
        <v>0.97241379310344822</v>
      </c>
      <c r="D792" s="158">
        <v>81632653.06122449</v>
      </c>
      <c r="E792" s="26">
        <f>VLOOKUP(4417,季財報!$A:$H,8,0)</f>
        <v>3</v>
      </c>
      <c r="F792" s="161">
        <v>-8.3166666666666684E-3</v>
      </c>
      <c r="G792" s="54">
        <v>3130612244.8979592</v>
      </c>
      <c r="H792" s="54">
        <v>3019551000</v>
      </c>
      <c r="I792" s="65">
        <v>1.0367807150460315</v>
      </c>
      <c r="J792" s="163">
        <v>10.06069981183963</v>
      </c>
    </row>
    <row r="793" spans="1:11" hidden="1">
      <c r="A793" s="64">
        <v>5522</v>
      </c>
      <c r="B793" s="52">
        <v>1.4</v>
      </c>
      <c r="C793" s="161">
        <v>0.89178294573643413</v>
      </c>
      <c r="D793" s="158">
        <v>838571428.57142866</v>
      </c>
      <c r="E793" s="26">
        <f>VLOOKUP(5522,季財報!$A:$H,8,0)</f>
        <v>1</v>
      </c>
      <c r="F793" s="161">
        <v>1.5275000000000001</v>
      </c>
      <c r="G793" s="54">
        <v>30062785714.285717</v>
      </c>
      <c r="H793" s="54">
        <v>28898991000</v>
      </c>
      <c r="I793" s="65">
        <v>1.0402711193025984</v>
      </c>
      <c r="J793" s="163">
        <v>7.1786366232863106</v>
      </c>
    </row>
    <row r="794" spans="1:11" hidden="1">
      <c r="A794" s="64">
        <v>8463</v>
      </c>
      <c r="B794" s="52">
        <v>0.26</v>
      </c>
      <c r="C794" s="161">
        <v>0.96969696969696972</v>
      </c>
      <c r="D794" s="158">
        <v>150000000</v>
      </c>
      <c r="E794" s="26">
        <f>VLOOKUP(8463,季財報!$A:$H,8,0)</f>
        <v>1</v>
      </c>
      <c r="F794" s="161">
        <v>-8.5083333333333313E-3</v>
      </c>
      <c r="G794" s="54">
        <v>3675000000</v>
      </c>
      <c r="H794" s="54">
        <v>3532618000</v>
      </c>
      <c r="I794" s="65">
        <v>1.0403049523044949</v>
      </c>
      <c r="J794" s="163">
        <v>24.29387019230769</v>
      </c>
    </row>
    <row r="795" spans="1:11" hidden="1">
      <c r="A795" s="64">
        <v>4721</v>
      </c>
      <c r="B795" s="52">
        <v>0.85</v>
      </c>
      <c r="C795" s="161">
        <v>0.36363636363636365</v>
      </c>
      <c r="D795" s="158">
        <v>75294117.64705883</v>
      </c>
      <c r="E795" s="26">
        <f>VLOOKUP(4721,季財報!$A:$H,8,0)</f>
        <v>3</v>
      </c>
      <c r="F795" s="161">
        <v>2.8850000000000004E-2</v>
      </c>
      <c r="G795" s="54">
        <v>2176000000</v>
      </c>
      <c r="H795" s="54">
        <v>2088995000</v>
      </c>
      <c r="I795" s="65">
        <v>1.0416492140957734</v>
      </c>
      <c r="J795" s="163">
        <v>23.375</v>
      </c>
    </row>
    <row r="796" spans="1:11" hidden="1">
      <c r="A796" s="64">
        <v>5425</v>
      </c>
      <c r="B796" s="52">
        <v>1</v>
      </c>
      <c r="C796" s="161">
        <v>0.72950819672131151</v>
      </c>
      <c r="D796" s="158">
        <v>233000000</v>
      </c>
      <c r="E796" s="26">
        <f>VLOOKUP(5425,季財報!$A:$H,8,0)</f>
        <v>3</v>
      </c>
      <c r="F796" s="161">
        <v>2.164166666666666E-2</v>
      </c>
      <c r="G796" s="54">
        <v>7945300000</v>
      </c>
      <c r="H796" s="54">
        <v>7624254000</v>
      </c>
      <c r="I796" s="65">
        <v>1.042108513173879</v>
      </c>
      <c r="J796" s="163">
        <v>11.685955056179775</v>
      </c>
    </row>
    <row r="797" spans="1:11" hidden="1">
      <c r="A797" s="64">
        <v>2448</v>
      </c>
      <c r="B797" s="151">
        <v>-0.96</v>
      </c>
      <c r="C797" s="160">
        <v>1</v>
      </c>
      <c r="D797" s="153">
        <v>1079166666.6666667</v>
      </c>
      <c r="E797" s="26">
        <f>VLOOKUP(2448,季財報!$A:$H,8,0)</f>
        <v>1</v>
      </c>
      <c r="F797" s="160">
        <v>1.2616666666666665E-2</v>
      </c>
      <c r="G797" s="153">
        <v>26439583333.333336</v>
      </c>
      <c r="H797" s="153">
        <v>25339142000</v>
      </c>
      <c r="I797" s="151">
        <v>1.043428515982638</v>
      </c>
      <c r="J797" s="153">
        <v>0</v>
      </c>
    </row>
    <row r="798" spans="1:11" hidden="1">
      <c r="A798" s="64">
        <v>3591</v>
      </c>
      <c r="B798" s="151">
        <v>0.01</v>
      </c>
      <c r="C798" s="160">
        <v>1</v>
      </c>
      <c r="D798" s="153">
        <v>200000000</v>
      </c>
      <c r="E798" s="26">
        <f>VLOOKUP(3591,季財報!$A:$H,8,0)</f>
        <v>2</v>
      </c>
      <c r="F798" s="160">
        <v>4.280833333333333E-2</v>
      </c>
      <c r="G798" s="153">
        <v>3500000000</v>
      </c>
      <c r="H798" s="153">
        <v>3351344000</v>
      </c>
      <c r="I798" s="151">
        <v>1.0443571295575744</v>
      </c>
      <c r="J798" s="153">
        <v>50</v>
      </c>
    </row>
    <row r="799" spans="1:11" hidden="1">
      <c r="A799" s="64">
        <v>2035</v>
      </c>
      <c r="B799" s="151">
        <v>-1.0900000000000001</v>
      </c>
      <c r="C799" s="160">
        <v>1</v>
      </c>
      <c r="D799" s="153">
        <v>349541284.40366971</v>
      </c>
      <c r="E799" s="26">
        <f>VLOOKUP(2035,季財報!$A:$H,8,0)</f>
        <v>2</v>
      </c>
      <c r="F799" s="160">
        <v>5.5833333333332833E-4</v>
      </c>
      <c r="G799" s="153">
        <v>16078899082.568808</v>
      </c>
      <c r="H799" s="153">
        <v>15394379000</v>
      </c>
      <c r="I799" s="151">
        <v>1.0444655859498333</v>
      </c>
      <c r="J799" s="153">
        <v>0</v>
      </c>
    </row>
    <row r="800" spans="1:11" hidden="1">
      <c r="A800" s="64">
        <v>6133</v>
      </c>
      <c r="B800" s="52">
        <v>0.31</v>
      </c>
      <c r="C800" s="161">
        <v>0.22727272727272727</v>
      </c>
      <c r="D800" s="158">
        <v>116129032.25806452</v>
      </c>
      <c r="E800" s="26">
        <f>VLOOKUP(6133,季財報!$A:$H,8,0)</f>
        <v>3</v>
      </c>
      <c r="F800" s="161">
        <v>2.6291666666666658E-2</v>
      </c>
      <c r="G800" s="54">
        <v>1289032258.0645161</v>
      </c>
      <c r="H800" s="54">
        <v>1229518000</v>
      </c>
      <c r="I800" s="65">
        <v>1.0484045439469094</v>
      </c>
      <c r="J800" s="163">
        <v>39.387096774193552</v>
      </c>
    </row>
    <row r="801" spans="1:10" hidden="1">
      <c r="A801" s="64">
        <v>3067</v>
      </c>
      <c r="B801" s="151">
        <v>-0.39</v>
      </c>
      <c r="C801" s="160">
        <v>1</v>
      </c>
      <c r="D801" s="153">
        <v>28205128.205128204</v>
      </c>
      <c r="E801" s="26">
        <f>VLOOKUP(3067,季財報!$A:$H,8,0)</f>
        <v>0</v>
      </c>
      <c r="F801" s="160">
        <v>3.8949999999999999E-2</v>
      </c>
      <c r="G801" s="153">
        <v>355384615.38461536</v>
      </c>
      <c r="H801" s="153">
        <v>338740000</v>
      </c>
      <c r="I801" s="151">
        <v>1.0491368465035584</v>
      </c>
      <c r="J801" s="153">
        <v>0</v>
      </c>
    </row>
    <row r="802" spans="1:10" hidden="1">
      <c r="A802" s="64">
        <v>3049</v>
      </c>
      <c r="B802" s="151">
        <v>0.24</v>
      </c>
      <c r="C802" s="160">
        <v>1</v>
      </c>
      <c r="D802" s="153">
        <v>762500000</v>
      </c>
      <c r="E802" s="26">
        <f>VLOOKUP(3049,季財報!$A:$H,8,0)</f>
        <v>5</v>
      </c>
      <c r="F802" s="160">
        <v>1.5433333333333334E-2</v>
      </c>
      <c r="G802" s="153">
        <v>4567375000</v>
      </c>
      <c r="H802" s="153">
        <v>4337467000</v>
      </c>
      <c r="I802" s="151">
        <v>1.0530051294914751</v>
      </c>
      <c r="J802" s="153">
        <v>6.2395833333333339</v>
      </c>
    </row>
    <row r="803" spans="1:10" hidden="1">
      <c r="A803" s="64">
        <v>3163</v>
      </c>
      <c r="B803" s="151">
        <v>-0.25</v>
      </c>
      <c r="C803" s="160">
        <v>1</v>
      </c>
      <c r="D803" s="153">
        <v>72000000</v>
      </c>
      <c r="E803" s="26">
        <f>VLOOKUP(3163,季財報!$A:$H,8,0)</f>
        <v>1</v>
      </c>
      <c r="F803" s="160">
        <v>3.1675000000000002E-2</v>
      </c>
      <c r="G803" s="153">
        <v>2433600000</v>
      </c>
      <c r="H803" s="153">
        <v>2308571000</v>
      </c>
      <c r="I803" s="151">
        <v>1.0541586115393462</v>
      </c>
      <c r="J803" s="153">
        <v>0</v>
      </c>
    </row>
    <row r="804" spans="1:10" hidden="1">
      <c r="A804" s="64">
        <v>4120</v>
      </c>
      <c r="B804" s="52">
        <v>0.47</v>
      </c>
      <c r="C804" s="161">
        <v>1</v>
      </c>
      <c r="D804" s="158">
        <v>87234042.553191498</v>
      </c>
      <c r="E804" s="26">
        <f>VLOOKUP(4120,季財報!$A:$H,8,0)</f>
        <v>4</v>
      </c>
      <c r="F804" s="161">
        <v>-2.141666666666668E-3</v>
      </c>
      <c r="G804" s="54">
        <v>5234042553.1914902</v>
      </c>
      <c r="H804" s="54">
        <v>4961467000</v>
      </c>
      <c r="I804" s="65">
        <v>1.0549384996799314</v>
      </c>
      <c r="J804" s="163">
        <v>31.914893617021278</v>
      </c>
    </row>
    <row r="805" spans="1:10" hidden="1">
      <c r="A805" s="64">
        <v>6411</v>
      </c>
      <c r="B805" s="52">
        <v>1.1100000000000001</v>
      </c>
      <c r="C805" s="161">
        <v>0.69411764705882351</v>
      </c>
      <c r="D805" s="158">
        <v>63063063.063063055</v>
      </c>
      <c r="E805" s="26">
        <f>VLOOKUP(6411,季財報!$A:$H,8,0)</f>
        <v>2</v>
      </c>
      <c r="F805" s="161">
        <v>2.4141666666666662E-2</v>
      </c>
      <c r="G805" s="54">
        <v>2002252252.2522521</v>
      </c>
      <c r="H805" s="54">
        <v>1897566000</v>
      </c>
      <c r="I805" s="65">
        <v>1.0551687015114373</v>
      </c>
      <c r="J805" s="163">
        <v>10.302145365704687</v>
      </c>
    </row>
    <row r="806" spans="1:10" hidden="1">
      <c r="A806" s="64">
        <v>1319</v>
      </c>
      <c r="B806" s="151">
        <v>0.82</v>
      </c>
      <c r="C806" s="160">
        <v>0.8876221498371335</v>
      </c>
      <c r="D806" s="153">
        <v>591463414.63414633</v>
      </c>
      <c r="E806" s="26">
        <f>VLOOKUP(1319,季財報!$A:$H,8,0)</f>
        <v>3</v>
      </c>
      <c r="F806" s="160">
        <v>1.0425000000000002E-2</v>
      </c>
      <c r="G806" s="153">
        <v>23274085365.853661</v>
      </c>
      <c r="H806" s="153">
        <v>22009041000</v>
      </c>
      <c r="I806" s="151">
        <v>1.0574783956217657</v>
      </c>
      <c r="J806" s="153">
        <v>13.515831282166035</v>
      </c>
    </row>
    <row r="807" spans="1:10" hidden="1">
      <c r="A807" s="64">
        <v>4414</v>
      </c>
      <c r="B807" s="52">
        <v>-0.16</v>
      </c>
      <c r="C807" s="161">
        <v>1</v>
      </c>
      <c r="D807" s="158">
        <v>131250000</v>
      </c>
      <c r="E807" s="26">
        <f>VLOOKUP(4414,季財報!$A:$H,8,0)</f>
        <v>1</v>
      </c>
      <c r="F807" s="161">
        <v>-1.1391666666666659E-2</v>
      </c>
      <c r="G807" s="54">
        <v>2493750000</v>
      </c>
      <c r="H807" s="54">
        <v>2355615000</v>
      </c>
      <c r="I807" s="65">
        <v>1.0586407371323412</v>
      </c>
      <c r="J807" s="163">
        <v>0</v>
      </c>
    </row>
    <row r="808" spans="1:10" hidden="1">
      <c r="A808" s="64">
        <v>3432</v>
      </c>
      <c r="B808" s="151">
        <v>0.33</v>
      </c>
      <c r="C808" s="160">
        <v>0</v>
      </c>
      <c r="D808" s="153">
        <v>66666666.666666664</v>
      </c>
      <c r="E808" s="26">
        <f>VLOOKUP(3432,季財報!$A:$H,8,0)</f>
        <v>1</v>
      </c>
      <c r="F808" s="160">
        <v>-4.4649999999999995E-2</v>
      </c>
      <c r="G808" s="153">
        <v>943333333.33333337</v>
      </c>
      <c r="H808" s="153">
        <v>889314000</v>
      </c>
      <c r="I808" s="151">
        <v>1.060742699803819</v>
      </c>
      <c r="J808" s="153">
        <v>0</v>
      </c>
    </row>
    <row r="809" spans="1:10" hidden="1">
      <c r="A809" s="64">
        <v>1701</v>
      </c>
      <c r="B809" s="151">
        <v>0.4</v>
      </c>
      <c r="C809" s="160">
        <v>0.3256880733944954</v>
      </c>
      <c r="D809" s="153">
        <v>297500000</v>
      </c>
      <c r="E809" s="26">
        <f>VLOOKUP(1701,季財報!$A:$H,8,0)</f>
        <v>3</v>
      </c>
      <c r="F809" s="160">
        <v>1.4166666666666657E-3</v>
      </c>
      <c r="G809" s="153">
        <v>5920250000</v>
      </c>
      <c r="H809" s="153">
        <v>5544154000</v>
      </c>
      <c r="I809" s="151">
        <v>1.0678364994911758</v>
      </c>
      <c r="J809" s="153">
        <v>38.188380281690137</v>
      </c>
    </row>
    <row r="810" spans="1:10" hidden="1">
      <c r="A810" s="64">
        <v>8131</v>
      </c>
      <c r="B810" s="52">
        <v>0.66</v>
      </c>
      <c r="C810" s="161">
        <v>1</v>
      </c>
      <c r="D810" s="158">
        <v>445454545.45454544</v>
      </c>
      <c r="E810" s="26">
        <f>VLOOKUP(8131,季財報!$A:$H,8,0)</f>
        <v>2</v>
      </c>
      <c r="F810" s="161">
        <v>-1.0333333333333349E-3</v>
      </c>
      <c r="G810" s="54">
        <v>9532727272.727272</v>
      </c>
      <c r="H810" s="54">
        <v>8897262000</v>
      </c>
      <c r="I810" s="65">
        <v>1.0714225649112359</v>
      </c>
      <c r="J810" s="163">
        <v>8.1060606060606055</v>
      </c>
    </row>
    <row r="811" spans="1:10" hidden="1">
      <c r="A811" s="64">
        <v>5276</v>
      </c>
      <c r="B811" s="52">
        <v>0.64</v>
      </c>
      <c r="C811" s="161">
        <v>0.82926829268292679</v>
      </c>
      <c r="D811" s="158">
        <v>39062500</v>
      </c>
      <c r="E811" s="26">
        <f>VLOOKUP(5276,季財報!$A:$H,8,0)</f>
        <v>2</v>
      </c>
      <c r="F811" s="161">
        <v>2.5874999999999999E-2</v>
      </c>
      <c r="G811" s="54">
        <v>898437500</v>
      </c>
      <c r="H811" s="54">
        <v>831306000</v>
      </c>
      <c r="I811" s="65">
        <v>1.0807542589612009</v>
      </c>
      <c r="J811" s="163">
        <v>10.834099264705882</v>
      </c>
    </row>
    <row r="812" spans="1:10" hidden="1">
      <c r="A812" s="64">
        <v>2912</v>
      </c>
      <c r="B812" s="151">
        <v>2.36</v>
      </c>
      <c r="C812" s="160">
        <v>0.69915712124486706</v>
      </c>
      <c r="D812" s="153">
        <v>1040677966.1016949</v>
      </c>
      <c r="E812" s="26">
        <f>VLOOKUP(2912,季財報!$A:$H,8,0)</f>
        <v>2</v>
      </c>
      <c r="F812" s="160">
        <v>4.2833333333333317E-3</v>
      </c>
      <c r="G812" s="153">
        <v>221664406779.66101</v>
      </c>
      <c r="H812" s="153">
        <v>205069985000</v>
      </c>
      <c r="I812" s="151">
        <v>1.0809207733626207</v>
      </c>
      <c r="J812" s="153">
        <v>32.272515914389757</v>
      </c>
    </row>
    <row r="813" spans="1:10" hidden="1">
      <c r="A813" s="64">
        <v>3023</v>
      </c>
      <c r="B813" s="151">
        <v>1.38</v>
      </c>
      <c r="C813" s="160">
        <v>0.69398907103825136</v>
      </c>
      <c r="D813" s="153">
        <v>214492753.62318844</v>
      </c>
      <c r="E813" s="26">
        <f>VLOOKUP(3023,季財報!$A:$H,8,0)</f>
        <v>3</v>
      </c>
      <c r="F813" s="160">
        <v>6.2500000000000021E-3</v>
      </c>
      <c r="G813" s="153">
        <v>13384347826.086958</v>
      </c>
      <c r="H813" s="153">
        <v>12305545000</v>
      </c>
      <c r="I813" s="151">
        <v>1.0876680249502935</v>
      </c>
      <c r="J813" s="153">
        <v>16.288942143101679</v>
      </c>
    </row>
    <row r="814" spans="1:10" hidden="1">
      <c r="A814" s="64">
        <v>2423</v>
      </c>
      <c r="B814" s="151">
        <v>0.5</v>
      </c>
      <c r="C814" s="160">
        <v>0.5321100917431193</v>
      </c>
      <c r="D814" s="153">
        <v>138000000</v>
      </c>
      <c r="E814" s="26">
        <f>VLOOKUP(2423,季財報!$A:$H,8,0)</f>
        <v>2</v>
      </c>
      <c r="F814" s="160">
        <v>4.2808333333333337E-2</v>
      </c>
      <c r="G814" s="153">
        <v>2311500000</v>
      </c>
      <c r="H814" s="153">
        <v>2116559000</v>
      </c>
      <c r="I814" s="151">
        <v>1.0921027951500526</v>
      </c>
      <c r="J814" s="153">
        <v>15.739224137931034</v>
      </c>
    </row>
    <row r="815" spans="1:10">
      <c r="A815" s="64">
        <v>1787</v>
      </c>
      <c r="B815" s="151">
        <v>0.6</v>
      </c>
      <c r="C815" s="160">
        <v>1</v>
      </c>
      <c r="D815" s="153">
        <v>66666666.666666672</v>
      </c>
      <c r="E815" s="26">
        <f>VLOOKUP(1787,季財報!$A:$H,8,0)</f>
        <v>5</v>
      </c>
      <c r="F815" s="160">
        <v>2.4975000000000008E-2</v>
      </c>
      <c r="G815" s="153">
        <v>1576666666.6666667</v>
      </c>
      <c r="H815" s="153">
        <v>1441951000</v>
      </c>
      <c r="I815" s="151">
        <v>1.0934259670867226</v>
      </c>
      <c r="J815" s="153">
        <v>9.8541666666666661</v>
      </c>
    </row>
    <row r="816" spans="1:10" hidden="1">
      <c r="A816" s="64">
        <v>1464</v>
      </c>
      <c r="B816" s="151">
        <v>0.39</v>
      </c>
      <c r="C816" s="160">
        <v>0.40625</v>
      </c>
      <c r="D816" s="153">
        <v>230769230.76923075</v>
      </c>
      <c r="E816" s="26">
        <f>VLOOKUP(1464,季財報!$A:$H,8,0)</f>
        <v>1</v>
      </c>
      <c r="F816" s="160">
        <v>2.8458333333333335E-2</v>
      </c>
      <c r="G816" s="153">
        <v>7523076923.0769224</v>
      </c>
      <c r="H816" s="153">
        <v>6877164000</v>
      </c>
      <c r="I816" s="151">
        <v>1.0939214075855865</v>
      </c>
      <c r="J816" s="153">
        <v>50</v>
      </c>
    </row>
    <row r="817" spans="1:10" hidden="1">
      <c r="A817" s="64">
        <v>1440</v>
      </c>
      <c r="B817" s="151">
        <v>0.23</v>
      </c>
      <c r="C817" s="160">
        <v>0.45149253731343286</v>
      </c>
      <c r="D817" s="153">
        <v>1643478260.8695652</v>
      </c>
      <c r="E817" s="26">
        <f>VLOOKUP(1440,季財報!$A:$H,8,0)</f>
        <v>1</v>
      </c>
      <c r="F817" s="160">
        <v>-2.3083333333333363E-3</v>
      </c>
      <c r="G817" s="153">
        <v>23994782608.695652</v>
      </c>
      <c r="H817" s="153">
        <v>21880292000</v>
      </c>
      <c r="I817" s="151">
        <v>1.0966390489073752</v>
      </c>
      <c r="J817" s="153">
        <v>35.149119655048501</v>
      </c>
    </row>
    <row r="818" spans="1:10" hidden="1">
      <c r="A818" s="64">
        <v>1504</v>
      </c>
      <c r="B818" s="151">
        <v>0.48</v>
      </c>
      <c r="C818" s="160">
        <v>0.57677902621722843</v>
      </c>
      <c r="D818" s="153">
        <v>1991666666.6666667</v>
      </c>
      <c r="E818" s="26">
        <f>VLOOKUP(1504,季財報!$A:$H,8,0)</f>
        <v>2</v>
      </c>
      <c r="F818" s="160">
        <v>-8.916666666666668E-4</v>
      </c>
      <c r="G818" s="153">
        <v>53476250000.000008</v>
      </c>
      <c r="H818" s="153">
        <v>48747513000</v>
      </c>
      <c r="I818" s="151">
        <v>1.0970046820644985</v>
      </c>
      <c r="J818" s="153">
        <v>24.245637175324678</v>
      </c>
    </row>
    <row r="819" spans="1:10" hidden="1">
      <c r="A819" s="64">
        <v>4912</v>
      </c>
      <c r="B819" s="52">
        <v>2.06</v>
      </c>
      <c r="C819" s="161">
        <v>1</v>
      </c>
      <c r="D819" s="158">
        <v>39805825.242718443</v>
      </c>
      <c r="E819" s="26">
        <f>VLOOKUP(4912,季財報!$A:$H,8,0)</f>
        <v>2</v>
      </c>
      <c r="F819" s="161">
        <v>1.9608333333333328E-2</v>
      </c>
      <c r="G819" s="54">
        <v>3244174757.2815533</v>
      </c>
      <c r="H819" s="54">
        <v>2955559000</v>
      </c>
      <c r="I819" s="65">
        <v>1.0976518341476362</v>
      </c>
      <c r="J819" s="163">
        <v>9.8907766990291268</v>
      </c>
    </row>
    <row r="820" spans="1:10" hidden="1">
      <c r="A820" s="64">
        <v>8410</v>
      </c>
      <c r="B820" s="52">
        <v>0.61</v>
      </c>
      <c r="C820" s="161">
        <v>1</v>
      </c>
      <c r="D820" s="158">
        <v>36065573.770491801</v>
      </c>
      <c r="E820" s="26">
        <f>VLOOKUP(8410,季財報!$A:$H,8,0)</f>
        <v>3</v>
      </c>
      <c r="F820" s="161">
        <v>3.1316666666666666E-2</v>
      </c>
      <c r="G820" s="54">
        <v>768196721.3114754</v>
      </c>
      <c r="H820" s="54">
        <v>698448000</v>
      </c>
      <c r="I820" s="65">
        <v>1.099862439739931</v>
      </c>
      <c r="J820" s="163">
        <v>8.7295081967213122</v>
      </c>
    </row>
    <row r="821" spans="1:10" hidden="1">
      <c r="A821" s="64">
        <v>3664</v>
      </c>
      <c r="B821" s="151">
        <v>-0.55000000000000004</v>
      </c>
      <c r="C821" s="160">
        <v>0.99319727891156462</v>
      </c>
      <c r="D821" s="153">
        <v>78181818.181818172</v>
      </c>
      <c r="E821" s="26">
        <f>VLOOKUP(3664,季財報!$A:$H,8,0)</f>
        <v>2</v>
      </c>
      <c r="F821" s="160">
        <v>0.36332499999999995</v>
      </c>
      <c r="G821" s="153">
        <v>1184454545.4545453</v>
      </c>
      <c r="H821" s="153">
        <v>1075872000</v>
      </c>
      <c r="I821" s="151">
        <v>1.1009251522992933</v>
      </c>
      <c r="J821" s="153">
        <v>0</v>
      </c>
    </row>
    <row r="822" spans="1:10" hidden="1">
      <c r="A822" s="64">
        <v>2062</v>
      </c>
      <c r="B822" s="151">
        <v>1.07</v>
      </c>
      <c r="C822" s="160">
        <v>0.84154929577464788</v>
      </c>
      <c r="D822" s="153">
        <v>162616822.42990655</v>
      </c>
      <c r="E822" s="26">
        <f>VLOOKUP(2062,季財報!$A:$H,8,0)</f>
        <v>3</v>
      </c>
      <c r="F822" s="160">
        <v>1.3433333333333334E-2</v>
      </c>
      <c r="G822" s="153">
        <v>7301495327.1028042</v>
      </c>
      <c r="H822" s="153">
        <v>6597840000</v>
      </c>
      <c r="I822" s="151">
        <v>1.1066493469230543</v>
      </c>
      <c r="J822" s="153">
        <v>12.465881984905954</v>
      </c>
    </row>
    <row r="823" spans="1:10" hidden="1">
      <c r="A823" s="64">
        <v>9905</v>
      </c>
      <c r="B823" s="52">
        <v>0.81</v>
      </c>
      <c r="C823" s="161">
        <v>0.88801571709233795</v>
      </c>
      <c r="D823" s="158">
        <v>307407407.4074074</v>
      </c>
      <c r="E823" s="26">
        <f>VLOOKUP(9905,季財報!$A:$H,8,0)</f>
        <v>0</v>
      </c>
      <c r="F823" s="161">
        <v>1.4916666666666759E-3</v>
      </c>
      <c r="G823" s="54">
        <v>8899444444.4444447</v>
      </c>
      <c r="H823" s="54">
        <v>8018521000</v>
      </c>
      <c r="I823" s="65">
        <v>1.109861088403266</v>
      </c>
      <c r="J823" s="163">
        <v>10.061967387741722</v>
      </c>
    </row>
    <row r="824" spans="1:10" hidden="1">
      <c r="A824" s="64">
        <v>2303</v>
      </c>
      <c r="B824" s="151">
        <v>0.13</v>
      </c>
      <c r="C824" s="160">
        <v>0.7281230183893469</v>
      </c>
      <c r="D824" s="153">
        <v>13138461538.461538</v>
      </c>
      <c r="E824" s="26">
        <f>VLOOKUP(2303,季財報!$A:$H,8,0)</f>
        <v>2</v>
      </c>
      <c r="F824" s="160">
        <v>-5.5583333333333344E-3</v>
      </c>
      <c r="G824" s="153">
        <v>162916923076.92307</v>
      </c>
      <c r="H824" s="153">
        <v>146779641000</v>
      </c>
      <c r="I824" s="151">
        <v>1.1099422369954091</v>
      </c>
      <c r="J824" s="153">
        <v>32.750171665913008</v>
      </c>
    </row>
    <row r="825" spans="1:10" hidden="1">
      <c r="A825" s="64">
        <v>3511</v>
      </c>
      <c r="B825" s="151">
        <v>1.01</v>
      </c>
      <c r="C825" s="160">
        <v>0.73170731707317072</v>
      </c>
      <c r="D825" s="153">
        <v>39603960.396039605</v>
      </c>
      <c r="E825" s="26">
        <f>VLOOKUP(3511,季財報!$A:$H,8,0)</f>
        <v>4</v>
      </c>
      <c r="F825" s="160">
        <v>3.8716666666666663E-2</v>
      </c>
      <c r="G825" s="153">
        <v>1334653465.3465347</v>
      </c>
      <c r="H825" s="153">
        <v>1202237000</v>
      </c>
      <c r="I825" s="151">
        <v>1.1101417319102096</v>
      </c>
      <c r="J825" s="153">
        <v>11.400165016501651</v>
      </c>
    </row>
    <row r="826" spans="1:10">
      <c r="A826" s="64">
        <v>1724</v>
      </c>
      <c r="B826" s="151">
        <v>0.44</v>
      </c>
      <c r="C826" s="160">
        <v>0.75308641975308643</v>
      </c>
      <c r="D826" s="153">
        <v>127272727.27272727</v>
      </c>
      <c r="E826" s="26">
        <f>VLOOKUP(1724,季財報!$A:$H,8,0)</f>
        <v>4</v>
      </c>
      <c r="F826" s="160">
        <v>3.3958333333333333E-2</v>
      </c>
      <c r="G826" s="153">
        <v>1915454545.4545455</v>
      </c>
      <c r="H826" s="153">
        <v>1722201000</v>
      </c>
      <c r="I826" s="151">
        <v>1.1122131188255875</v>
      </c>
      <c r="J826" s="153">
        <v>11.354787630402384</v>
      </c>
    </row>
    <row r="827" spans="1:10" hidden="1">
      <c r="A827" s="64">
        <v>3354</v>
      </c>
      <c r="B827" s="151">
        <v>0.34</v>
      </c>
      <c r="C827" s="160">
        <v>0</v>
      </c>
      <c r="D827" s="153">
        <v>82352941.176470578</v>
      </c>
      <c r="E827" s="26">
        <f>VLOOKUP(3354,季財報!$A:$H,8,0)</f>
        <v>5</v>
      </c>
      <c r="F827" s="160">
        <v>1.4166666666666031E-4</v>
      </c>
      <c r="G827" s="153">
        <v>655529411.76470578</v>
      </c>
      <c r="H827" s="153">
        <v>588061000</v>
      </c>
      <c r="I827" s="151">
        <v>1.1147302945862858</v>
      </c>
      <c r="J827" s="153">
        <v>0</v>
      </c>
    </row>
    <row r="828" spans="1:10" hidden="1">
      <c r="A828" s="64">
        <v>2471</v>
      </c>
      <c r="B828" s="151">
        <v>0.2</v>
      </c>
      <c r="C828" s="160">
        <v>0.10526315789473684</v>
      </c>
      <c r="D828" s="153">
        <v>50000000</v>
      </c>
      <c r="E828" s="26">
        <f>VLOOKUP(2471,季財報!$A:$H,8,0)</f>
        <v>3</v>
      </c>
      <c r="F828" s="160">
        <v>2.8450000000000003E-2</v>
      </c>
      <c r="G828" s="153">
        <v>690000000</v>
      </c>
      <c r="H828" s="153">
        <v>618175000</v>
      </c>
      <c r="I828" s="151">
        <v>1.1161887814939135</v>
      </c>
      <c r="J828" s="153">
        <v>50</v>
      </c>
    </row>
    <row r="829" spans="1:10" hidden="1">
      <c r="A829" s="64">
        <v>4972</v>
      </c>
      <c r="B829" s="52">
        <v>1.37</v>
      </c>
      <c r="C829" s="161">
        <v>0.71111111111111114</v>
      </c>
      <c r="D829" s="158">
        <v>37956204.379562043</v>
      </c>
      <c r="E829" s="26">
        <f>VLOOKUP(4972,季財報!$A:$H,8,0)</f>
        <v>3</v>
      </c>
      <c r="F829" s="161">
        <v>2.9983333333333334E-2</v>
      </c>
      <c r="G829" s="54">
        <v>1449927007.2992702</v>
      </c>
      <c r="H829" s="54">
        <v>1297228000</v>
      </c>
      <c r="I829" s="65">
        <v>1.1177117725637051</v>
      </c>
      <c r="J829" s="163">
        <v>9.8026916058394153</v>
      </c>
    </row>
    <row r="830" spans="1:10" hidden="1">
      <c r="A830" s="64">
        <v>3545</v>
      </c>
      <c r="B830" s="151">
        <v>0.49</v>
      </c>
      <c r="C830" s="160">
        <v>3.8022813688212928E-3</v>
      </c>
      <c r="D830" s="153">
        <v>408163265.30612248</v>
      </c>
      <c r="E830" s="26">
        <f>VLOOKUP(3545,季財報!$A:$H,8,0)</f>
        <v>3</v>
      </c>
      <c r="F830" s="160">
        <v>0.15992500000000001</v>
      </c>
      <c r="G830" s="153">
        <v>12102040816.32653</v>
      </c>
      <c r="H830" s="153">
        <v>10809142000</v>
      </c>
      <c r="I830" s="151">
        <v>1.1196116043555104</v>
      </c>
      <c r="J830" s="153">
        <v>50</v>
      </c>
    </row>
    <row r="831" spans="1:10" hidden="1">
      <c r="A831" s="64">
        <v>8016</v>
      </c>
      <c r="B831" s="52">
        <v>1.97</v>
      </c>
      <c r="C831" s="161">
        <v>0.85166240409207161</v>
      </c>
      <c r="D831" s="158">
        <v>118274111.67512691</v>
      </c>
      <c r="E831" s="26">
        <f>VLOOKUP(8016,季財報!$A:$H,8,0)</f>
        <v>3</v>
      </c>
      <c r="F831" s="161">
        <v>2.7524999999999994E-2</v>
      </c>
      <c r="G831" s="54">
        <v>10029644670.050762</v>
      </c>
      <c r="H831" s="54">
        <v>8948658000</v>
      </c>
      <c r="I831" s="65">
        <v>1.1207987465886797</v>
      </c>
      <c r="J831" s="163">
        <v>12.63578299111294</v>
      </c>
    </row>
    <row r="832" spans="1:10" hidden="1">
      <c r="A832" s="64">
        <v>1521</v>
      </c>
      <c r="B832" s="151">
        <v>1.43</v>
      </c>
      <c r="C832" s="160">
        <v>0.78217821782178221</v>
      </c>
      <c r="D832" s="153">
        <v>76223776.223776221</v>
      </c>
      <c r="E832" s="26">
        <f>VLOOKUP(1521,季財報!$A:$H,8,0)</f>
        <v>2</v>
      </c>
      <c r="F832" s="160">
        <v>1.7358333333333326E-2</v>
      </c>
      <c r="G832" s="153">
        <v>6341818181.818182</v>
      </c>
      <c r="H832" s="153">
        <v>5652705000</v>
      </c>
      <c r="I832" s="151">
        <v>1.1219085697587583</v>
      </c>
      <c r="J832" s="153">
        <v>18.596087456846952</v>
      </c>
    </row>
    <row r="833" spans="1:10" hidden="1">
      <c r="A833" s="64">
        <v>3501</v>
      </c>
      <c r="B833" s="151">
        <v>2.31</v>
      </c>
      <c r="C833" s="160">
        <v>0.53333333333333333</v>
      </c>
      <c r="D833" s="153">
        <v>115584415.58441558</v>
      </c>
      <c r="E833" s="26">
        <f>VLOOKUP(3501,季財報!$A:$H,8,0)</f>
        <v>5</v>
      </c>
      <c r="F833" s="160">
        <v>2.9999999999999705E-4</v>
      </c>
      <c r="G833" s="153">
        <v>6276233766.2337656</v>
      </c>
      <c r="H833" s="153">
        <v>5552966000</v>
      </c>
      <c r="I833" s="151">
        <v>1.1302489095437944</v>
      </c>
      <c r="J833" s="153">
        <v>11.018668831168831</v>
      </c>
    </row>
    <row r="834" spans="1:10" hidden="1">
      <c r="A834" s="64">
        <v>1702</v>
      </c>
      <c r="B834" s="151">
        <v>0.91</v>
      </c>
      <c r="C834" s="160">
        <v>1</v>
      </c>
      <c r="D834" s="153">
        <v>247252747.25274724</v>
      </c>
      <c r="E834" s="26">
        <f>VLOOKUP(1702,季財報!$A:$H,8,0)</f>
        <v>2</v>
      </c>
      <c r="F834" s="160">
        <v>1.0150000000000001E-2</v>
      </c>
      <c r="G834" s="153">
        <v>17332417582.41758</v>
      </c>
      <c r="H834" s="153">
        <v>15326471000</v>
      </c>
      <c r="I834" s="151">
        <v>1.1308811782188855</v>
      </c>
      <c r="J834" s="153">
        <v>19.258241758241756</v>
      </c>
    </row>
    <row r="835" spans="1:10" hidden="1">
      <c r="A835" s="64">
        <v>5215</v>
      </c>
      <c r="B835" s="52">
        <v>1.26</v>
      </c>
      <c r="C835" s="161">
        <v>0.61111111111111116</v>
      </c>
      <c r="D835" s="158">
        <v>53968253.96825397</v>
      </c>
      <c r="E835" s="26">
        <f>VLOOKUP(5215,季財報!$A:$H,8,0)</f>
        <v>4</v>
      </c>
      <c r="F835" s="161">
        <v>5.2566666666666657E-2</v>
      </c>
      <c r="G835" s="54">
        <v>2188412698.4126983</v>
      </c>
      <c r="H835" s="54">
        <v>1934429000</v>
      </c>
      <c r="I835" s="65">
        <v>1.1312964696107732</v>
      </c>
      <c r="J835" s="163">
        <v>13.165584415584414</v>
      </c>
    </row>
    <row r="836" spans="1:10" hidden="1">
      <c r="A836" s="64">
        <v>5403</v>
      </c>
      <c r="B836" s="52">
        <v>0.39</v>
      </c>
      <c r="C836" s="161">
        <v>0.82352941176470584</v>
      </c>
      <c r="D836" s="158">
        <v>66666666.666666664</v>
      </c>
      <c r="E836" s="26">
        <f>VLOOKUP(5403,季財報!$A:$H,8,0)</f>
        <v>1</v>
      </c>
      <c r="F836" s="161">
        <v>9.1083333333333311E-3</v>
      </c>
      <c r="G836" s="54">
        <v>1456666666.6666667</v>
      </c>
      <c r="H836" s="54">
        <v>1287376000</v>
      </c>
      <c r="I836" s="65">
        <v>1.1315005613485623</v>
      </c>
      <c r="J836" s="163">
        <v>17.007783882783883</v>
      </c>
    </row>
    <row r="837" spans="1:10" hidden="1">
      <c r="A837" s="64">
        <v>1611</v>
      </c>
      <c r="B837" s="151">
        <v>0.65</v>
      </c>
      <c r="C837" s="160">
        <v>0</v>
      </c>
      <c r="D837" s="153">
        <v>400000000</v>
      </c>
      <c r="E837" s="26">
        <f>VLOOKUP(1611,季財報!$A:$H,8,0)</f>
        <v>5</v>
      </c>
      <c r="F837" s="160">
        <v>2.9583333333333354E-3</v>
      </c>
      <c r="G837" s="153">
        <v>3088000000</v>
      </c>
      <c r="H837" s="153">
        <v>2725013000</v>
      </c>
      <c r="I837" s="151">
        <v>1.1332056030558386</v>
      </c>
      <c r="J837" s="153">
        <v>0</v>
      </c>
    </row>
    <row r="838" spans="1:10" hidden="1">
      <c r="A838" s="64">
        <v>3167</v>
      </c>
      <c r="B838" s="151">
        <v>1.1499999999999999</v>
      </c>
      <c r="C838" s="160">
        <v>0.65536723163841804</v>
      </c>
      <c r="D838" s="153">
        <v>80000000</v>
      </c>
      <c r="E838" s="26">
        <f>VLOOKUP(3167,季財報!$A:$H,8,0)</f>
        <v>3</v>
      </c>
      <c r="F838" s="160">
        <v>-3.1849999999999996E-2</v>
      </c>
      <c r="G838" s="153">
        <v>2308000000</v>
      </c>
      <c r="H838" s="153">
        <v>2036357000</v>
      </c>
      <c r="I838" s="151">
        <v>1.1333965508012593</v>
      </c>
      <c r="J838" s="153">
        <v>9.5698088455772137</v>
      </c>
    </row>
    <row r="839" spans="1:10" hidden="1">
      <c r="A839" s="64">
        <v>6505</v>
      </c>
      <c r="B839" s="52">
        <v>0.94</v>
      </c>
      <c r="C839" s="161">
        <v>0.81462443546470165</v>
      </c>
      <c r="D839" s="158">
        <v>9537234042.5531921</v>
      </c>
      <c r="E839" s="26">
        <f>VLOOKUP(6505,季財報!$A:$H,8,0)</f>
        <v>2</v>
      </c>
      <c r="F839" s="161">
        <v>-2.1666666666666664E-2</v>
      </c>
      <c r="G839" s="54">
        <v>740089361702.12769</v>
      </c>
      <c r="H839" s="54">
        <v>649848280000</v>
      </c>
      <c r="I839" s="65">
        <v>1.1388648465794626</v>
      </c>
      <c r="J839" s="163">
        <v>25.334739511671202</v>
      </c>
    </row>
    <row r="840" spans="1:10" hidden="1">
      <c r="A840" s="64">
        <v>3272</v>
      </c>
      <c r="B840" s="151">
        <v>1.77</v>
      </c>
      <c r="C840" s="160">
        <v>0.64</v>
      </c>
      <c r="D840" s="153">
        <v>51977401.129943505</v>
      </c>
      <c r="E840" s="26">
        <f>VLOOKUP(3272,季財報!$A:$H,8,0)</f>
        <v>3</v>
      </c>
      <c r="F840" s="160">
        <v>2.356666666666667E-2</v>
      </c>
      <c r="G840" s="153">
        <v>3378531073.4463277</v>
      </c>
      <c r="H840" s="153">
        <v>2957047000</v>
      </c>
      <c r="I840" s="151">
        <v>1.1425354664455207</v>
      </c>
      <c r="J840" s="153">
        <v>14.344985875706215</v>
      </c>
    </row>
    <row r="841" spans="1:10" hidden="1">
      <c r="A841" s="64">
        <v>3362</v>
      </c>
      <c r="B841" s="151">
        <v>0.03</v>
      </c>
      <c r="C841" s="160">
        <v>1</v>
      </c>
      <c r="D841" s="153">
        <v>100000000</v>
      </c>
      <c r="E841" s="26">
        <f>VLOOKUP(3362,季財報!$A:$H,8,0)</f>
        <v>3</v>
      </c>
      <c r="F841" s="160">
        <v>1.401666666666667E-2</v>
      </c>
      <c r="G841" s="153">
        <v>1460000000</v>
      </c>
      <c r="H841" s="153">
        <v>1276457000</v>
      </c>
      <c r="I841" s="151">
        <v>1.1437909776827577</v>
      </c>
      <c r="J841" s="153">
        <v>50</v>
      </c>
    </row>
    <row r="842" spans="1:10" hidden="1">
      <c r="A842" s="64">
        <v>6405</v>
      </c>
      <c r="B842" s="52">
        <v>0.49</v>
      </c>
      <c r="C842" s="161">
        <v>0.52500000000000002</v>
      </c>
      <c r="D842" s="158">
        <v>65306122.448979594</v>
      </c>
      <c r="E842" s="26">
        <f>VLOOKUP(6405,季財報!$A:$H,8,0)</f>
        <v>2</v>
      </c>
      <c r="F842" s="161">
        <v>-1.1866666666666666E-2</v>
      </c>
      <c r="G842" s="54">
        <v>1534693877.5510204</v>
      </c>
      <c r="H842" s="54">
        <v>1335776000</v>
      </c>
      <c r="I842" s="65">
        <v>1.1489155947936034</v>
      </c>
      <c r="J842" s="163">
        <v>22.837706511175902</v>
      </c>
    </row>
    <row r="843" spans="1:10" hidden="1">
      <c r="A843" s="64">
        <v>8021</v>
      </c>
      <c r="B843" s="52">
        <v>0.68</v>
      </c>
      <c r="C843" s="161">
        <v>1</v>
      </c>
      <c r="D843" s="158">
        <v>160294117.64705881</v>
      </c>
      <c r="E843" s="26">
        <f>VLOOKUP(8021,季財報!$A:$H,8,0)</f>
        <v>4</v>
      </c>
      <c r="F843" s="161">
        <v>4.7166666666666676E-3</v>
      </c>
      <c r="G843" s="54">
        <v>4015367647.0588236</v>
      </c>
      <c r="H843" s="54">
        <v>3489186000</v>
      </c>
      <c r="I843" s="65">
        <v>1.1508035533384644</v>
      </c>
      <c r="J843" s="163">
        <v>9.2095588235294112</v>
      </c>
    </row>
    <row r="844" spans="1:10" hidden="1">
      <c r="A844" s="64">
        <v>3594</v>
      </c>
      <c r="B844" s="151">
        <v>0.15</v>
      </c>
      <c r="C844" s="160">
        <v>0</v>
      </c>
      <c r="D844" s="153">
        <v>53333333.333333336</v>
      </c>
      <c r="E844" s="26">
        <f>VLOOKUP(3594,季財報!$A:$H,8,0)</f>
        <v>0</v>
      </c>
      <c r="F844" s="160">
        <v>0.12720000000000001</v>
      </c>
      <c r="G844" s="153">
        <v>1570666666.6666667</v>
      </c>
      <c r="H844" s="153">
        <v>1364721000</v>
      </c>
      <c r="I844" s="151">
        <v>1.150906790960692</v>
      </c>
      <c r="J844" s="153">
        <v>0</v>
      </c>
    </row>
    <row r="845" spans="1:10" hidden="1">
      <c r="A845" s="64">
        <v>6230</v>
      </c>
      <c r="B845" s="52">
        <v>2.56</v>
      </c>
      <c r="C845" s="161">
        <v>0.74613003095975228</v>
      </c>
      <c r="D845" s="158">
        <v>86328125</v>
      </c>
      <c r="E845" s="26">
        <f>VLOOKUP(6230,季財報!$A:$H,8,0)</f>
        <v>4</v>
      </c>
      <c r="F845" s="161">
        <v>2.6124999999999999E-2</v>
      </c>
      <c r="G845" s="54">
        <v>6811289062.500001</v>
      </c>
      <c r="H845" s="54">
        <v>5907350000</v>
      </c>
      <c r="I845" s="65">
        <v>1.1530193847495072</v>
      </c>
      <c r="J845" s="163">
        <v>10.326722964211619</v>
      </c>
    </row>
    <row r="846" spans="1:10" hidden="1">
      <c r="A846" s="64">
        <v>6509</v>
      </c>
      <c r="B846" s="52">
        <v>0.28999999999999998</v>
      </c>
      <c r="C846" s="161">
        <v>1</v>
      </c>
      <c r="D846" s="158">
        <v>168965517.24137932</v>
      </c>
      <c r="E846" s="26">
        <f>VLOOKUP(6509,季財報!$A:$H,8,0)</f>
        <v>3</v>
      </c>
      <c r="F846" s="161">
        <v>6.7750000000000024E-3</v>
      </c>
      <c r="G846" s="54">
        <v>3607413793.1034489</v>
      </c>
      <c r="H846" s="54">
        <v>3128341000</v>
      </c>
      <c r="I846" s="65">
        <v>1.1531395692168624</v>
      </c>
      <c r="J846" s="163">
        <v>18.405172413793107</v>
      </c>
    </row>
    <row r="847" spans="1:10" hidden="1">
      <c r="A847" s="64">
        <v>6207</v>
      </c>
      <c r="B847" s="52">
        <v>1.27</v>
      </c>
      <c r="C847" s="161">
        <v>0.69753086419753085</v>
      </c>
      <c r="D847" s="158">
        <v>84251968.503937006</v>
      </c>
      <c r="E847" s="26">
        <f>VLOOKUP(6207,季財報!$A:$H,8,0)</f>
        <v>4</v>
      </c>
      <c r="F847" s="161">
        <v>1.0708333333333325E-2</v>
      </c>
      <c r="G847" s="54">
        <v>2510708661.4173226</v>
      </c>
      <c r="H847" s="54">
        <v>2174428000</v>
      </c>
      <c r="I847" s="65">
        <v>1.1546524701748333</v>
      </c>
      <c r="J847" s="163">
        <v>8.4098669082293913</v>
      </c>
    </row>
    <row r="848" spans="1:10" hidden="1">
      <c r="A848" s="64">
        <v>2642</v>
      </c>
      <c r="B848" s="151">
        <v>7.0000000000000007E-2</v>
      </c>
      <c r="C848" s="160">
        <v>0.22580645161290322</v>
      </c>
      <c r="D848" s="153">
        <v>99999999.999999985</v>
      </c>
      <c r="E848" s="26">
        <f>VLOOKUP(2642,季財報!$A:$H,8,0)</f>
        <v>3</v>
      </c>
      <c r="F848" s="160">
        <v>3.7416666666666653E-3</v>
      </c>
      <c r="G848" s="153">
        <v>3004999999.9999995</v>
      </c>
      <c r="H848" s="153">
        <v>2596689000</v>
      </c>
      <c r="I848" s="151">
        <v>1.1572429351377849</v>
      </c>
      <c r="J848" s="153">
        <v>50</v>
      </c>
    </row>
    <row r="849" spans="1:10" hidden="1">
      <c r="A849" s="64">
        <v>5212</v>
      </c>
      <c r="B849" s="52">
        <v>0.45</v>
      </c>
      <c r="C849" s="161">
        <v>1</v>
      </c>
      <c r="D849" s="158">
        <v>35555555.555555552</v>
      </c>
      <c r="E849" s="26">
        <f>VLOOKUP(5212,季財報!$A:$H,8,0)</f>
        <v>2</v>
      </c>
      <c r="F849" s="161">
        <v>8.5666666666666669E-2</v>
      </c>
      <c r="G849" s="54">
        <v>746666666.66666663</v>
      </c>
      <c r="H849" s="54">
        <v>644994000</v>
      </c>
      <c r="I849" s="65">
        <v>1.1576335077018804</v>
      </c>
      <c r="J849" s="163">
        <v>11.666666666666666</v>
      </c>
    </row>
    <row r="850" spans="1:10" hidden="1">
      <c r="A850" s="64">
        <v>3465</v>
      </c>
      <c r="B850" s="151">
        <v>-0.86</v>
      </c>
      <c r="C850" s="160">
        <v>1</v>
      </c>
      <c r="D850" s="153">
        <v>26744186.046511628</v>
      </c>
      <c r="E850" s="26">
        <f>VLOOKUP(3465,季財報!$A:$H,8,0)</f>
        <v>0</v>
      </c>
      <c r="F850" s="160">
        <v>7.8016666666666679E-2</v>
      </c>
      <c r="G850" s="153">
        <v>267441860.46511626</v>
      </c>
      <c r="H850" s="153">
        <v>231022000</v>
      </c>
      <c r="I850" s="151">
        <v>1.1576467196419227</v>
      </c>
      <c r="J850" s="153">
        <v>0</v>
      </c>
    </row>
    <row r="851" spans="1:10" hidden="1">
      <c r="A851" s="64">
        <v>6114</v>
      </c>
      <c r="B851" s="52">
        <v>2.29</v>
      </c>
      <c r="C851" s="161">
        <v>0.83687943262411346</v>
      </c>
      <c r="D851" s="158">
        <v>36244541.484716155</v>
      </c>
      <c r="E851" s="26">
        <f>VLOOKUP(6114,季財報!$A:$H,8,0)</f>
        <v>2</v>
      </c>
      <c r="F851" s="161">
        <v>2.0166666666666663E-2</v>
      </c>
      <c r="G851" s="54">
        <v>1993449781.6593885</v>
      </c>
      <c r="H851" s="54">
        <v>1721581000</v>
      </c>
      <c r="I851" s="65">
        <v>1.1579180890468637</v>
      </c>
      <c r="J851" s="163">
        <v>7.1747094959662494</v>
      </c>
    </row>
    <row r="852" spans="1:10" hidden="1">
      <c r="A852" s="64">
        <v>3479</v>
      </c>
      <c r="B852" s="151">
        <v>1.57</v>
      </c>
      <c r="C852" s="160">
        <v>0.8783783783783784</v>
      </c>
      <c r="D852" s="153">
        <v>68152866.24203822</v>
      </c>
      <c r="E852" s="26">
        <f>VLOOKUP(3479,季財報!$A:$H,8,0)</f>
        <v>6</v>
      </c>
      <c r="F852" s="160">
        <v>3.8308333333333333E-2</v>
      </c>
      <c r="G852" s="153">
        <v>4934267515.9235678</v>
      </c>
      <c r="H852" s="153">
        <v>4255523000</v>
      </c>
      <c r="I852" s="151">
        <v>1.1594973205228987</v>
      </c>
      <c r="J852" s="153">
        <v>13.124938755512005</v>
      </c>
    </row>
    <row r="853" spans="1:10" hidden="1">
      <c r="A853" s="64">
        <v>6219</v>
      </c>
      <c r="B853" s="52">
        <v>-0.01</v>
      </c>
      <c r="C853" s="161">
        <v>0.78350515463917525</v>
      </c>
      <c r="D853" s="158">
        <v>200000000</v>
      </c>
      <c r="E853" s="26">
        <f>VLOOKUP(6219,季財報!$A:$H,8,0)</f>
        <v>3</v>
      </c>
      <c r="F853" s="161">
        <v>5.6410083333333345</v>
      </c>
      <c r="G853" s="54">
        <v>2360000000</v>
      </c>
      <c r="H853" s="54">
        <v>2030645000</v>
      </c>
      <c r="I853" s="65">
        <v>1.162192308355227</v>
      </c>
      <c r="J853" s="163">
        <v>0</v>
      </c>
    </row>
    <row r="854" spans="1:10" hidden="1">
      <c r="A854" s="64">
        <v>4944</v>
      </c>
      <c r="B854" s="52">
        <v>-0.96</v>
      </c>
      <c r="C854" s="161">
        <v>0.99692307692307691</v>
      </c>
      <c r="D854" s="158">
        <v>210416666.66666669</v>
      </c>
      <c r="E854" s="26">
        <f>VLOOKUP(4944,季財報!$A:$H,8,0)</f>
        <v>2</v>
      </c>
      <c r="F854" s="161">
        <v>-6.1416666666666677E-3</v>
      </c>
      <c r="G854" s="54">
        <v>2577604166.666667</v>
      </c>
      <c r="H854" s="54">
        <v>2215737000</v>
      </c>
      <c r="I854" s="65">
        <v>1.1633168407020631</v>
      </c>
      <c r="J854" s="163">
        <v>0</v>
      </c>
    </row>
    <row r="855" spans="1:10" hidden="1">
      <c r="A855" s="64">
        <v>8121</v>
      </c>
      <c r="B855" s="52">
        <v>-0.55000000000000004</v>
      </c>
      <c r="C855" s="161">
        <v>1</v>
      </c>
      <c r="D855" s="158">
        <v>183636363.63636363</v>
      </c>
      <c r="E855" s="26">
        <f>VLOOKUP(8121,季財報!$A:$H,8,0)</f>
        <v>1</v>
      </c>
      <c r="F855" s="161">
        <v>-9.3666666666666672E-3</v>
      </c>
      <c r="G855" s="54">
        <v>2837181818.181818</v>
      </c>
      <c r="H855" s="54">
        <v>2438756000</v>
      </c>
      <c r="I855" s="65">
        <v>1.1633725629713747</v>
      </c>
      <c r="J855" s="163">
        <v>0</v>
      </c>
    </row>
    <row r="856" spans="1:10" hidden="1">
      <c r="A856" s="64">
        <v>5102</v>
      </c>
      <c r="B856" s="52">
        <v>0.24</v>
      </c>
      <c r="C856" s="161">
        <v>0.8</v>
      </c>
      <c r="D856" s="158">
        <v>66666666.666666672</v>
      </c>
      <c r="E856" s="26">
        <f>VLOOKUP(5102,季財報!$A:$H,8,0)</f>
        <v>1</v>
      </c>
      <c r="F856" s="161">
        <v>-1.545E-2</v>
      </c>
      <c r="G856" s="54">
        <v>970000000.00000012</v>
      </c>
      <c r="H856" s="54">
        <v>832434000</v>
      </c>
      <c r="I856" s="65">
        <v>1.1652575459435826</v>
      </c>
      <c r="J856" s="163">
        <v>18.9453125</v>
      </c>
    </row>
    <row r="857" spans="1:10">
      <c r="A857" s="64">
        <v>3093</v>
      </c>
      <c r="B857" s="151">
        <v>0.67</v>
      </c>
      <c r="C857" s="160">
        <v>0.61764705882352944</v>
      </c>
      <c r="D857" s="153">
        <v>35820895.522388056</v>
      </c>
      <c r="E857" s="26">
        <f>VLOOKUP(3093,季財報!$A:$H,8,0)</f>
        <v>4</v>
      </c>
      <c r="F857" s="160">
        <v>9.7808333333333317E-2</v>
      </c>
      <c r="G857" s="153">
        <v>1072835820.8955222</v>
      </c>
      <c r="H857" s="153">
        <v>920205000</v>
      </c>
      <c r="I857" s="151">
        <v>1.165866106895227</v>
      </c>
      <c r="J857" s="153">
        <v>18.093461265103052</v>
      </c>
    </row>
    <row r="858" spans="1:10" hidden="1">
      <c r="A858" s="64">
        <v>6234</v>
      </c>
      <c r="B858" s="52">
        <v>0.27</v>
      </c>
      <c r="C858" s="161">
        <v>0</v>
      </c>
      <c r="D858" s="158">
        <v>70370370.370370373</v>
      </c>
      <c r="E858" s="26">
        <f>VLOOKUP(6234,季財報!$A:$H,8,0)</f>
        <v>1</v>
      </c>
      <c r="F858" s="161">
        <v>-5.5666666666666677E-3</v>
      </c>
      <c r="G858" s="54">
        <v>1389814814.8148148</v>
      </c>
      <c r="H858" s="54">
        <v>1190972000</v>
      </c>
      <c r="I858" s="65">
        <v>1.1669584295976856</v>
      </c>
      <c r="J858" s="163">
        <v>0</v>
      </c>
    </row>
    <row r="859" spans="1:10" hidden="1">
      <c r="A859" s="64">
        <v>3492</v>
      </c>
      <c r="B859" s="151">
        <v>1.07</v>
      </c>
      <c r="C859" s="160">
        <v>0.70175438596491224</v>
      </c>
      <c r="D859" s="153">
        <v>35514018.691588782</v>
      </c>
      <c r="E859" s="26">
        <f>VLOOKUP(3492,季財報!$A:$H,8,0)</f>
        <v>4</v>
      </c>
      <c r="F859" s="160">
        <v>7.8608333333333336E-2</v>
      </c>
      <c r="G859" s="153">
        <v>1310467289.7196259</v>
      </c>
      <c r="H859" s="153">
        <v>1120492000</v>
      </c>
      <c r="I859" s="151">
        <v>1.1695463151183818</v>
      </c>
      <c r="J859" s="153">
        <v>12.285630841121495</v>
      </c>
    </row>
    <row r="860" spans="1:10" hidden="1">
      <c r="A860" s="64">
        <v>3297</v>
      </c>
      <c r="B860" s="151">
        <v>0.46</v>
      </c>
      <c r="C860" s="160">
        <v>0</v>
      </c>
      <c r="D860" s="153">
        <v>36956521.73913043</v>
      </c>
      <c r="E860" s="26">
        <f>VLOOKUP(3297,季財報!$A:$H,8,0)</f>
        <v>1</v>
      </c>
      <c r="F860" s="160">
        <v>-1.8374999999999999E-2</v>
      </c>
      <c r="G860" s="153">
        <v>676304347.82608688</v>
      </c>
      <c r="H860" s="153">
        <v>577658000</v>
      </c>
      <c r="I860" s="151">
        <v>1.1707694653689327</v>
      </c>
      <c r="J860" s="153">
        <v>0</v>
      </c>
    </row>
    <row r="861" spans="1:10" hidden="1">
      <c r="A861" s="64">
        <v>9924</v>
      </c>
      <c r="B861" s="52">
        <v>1.44</v>
      </c>
      <c r="C861" s="161">
        <v>0.63982102908277405</v>
      </c>
      <c r="D861" s="158">
        <v>188194444.44444445</v>
      </c>
      <c r="E861" s="26">
        <f>VLOOKUP(9924,季財報!$A:$H,8,0)</f>
        <v>4</v>
      </c>
      <c r="F861" s="161">
        <v>1.3908333333333333E-2</v>
      </c>
      <c r="G861" s="54">
        <v>9259166666.6666679</v>
      </c>
      <c r="H861" s="54">
        <v>7906523000</v>
      </c>
      <c r="I861" s="65">
        <v>1.1710794576410728</v>
      </c>
      <c r="J861" s="163">
        <v>13.350087412587413</v>
      </c>
    </row>
    <row r="862" spans="1:10" hidden="1">
      <c r="A862" s="64">
        <v>4305</v>
      </c>
      <c r="B862" s="52">
        <v>0.85</v>
      </c>
      <c r="C862" s="161">
        <v>0.81111111111111112</v>
      </c>
      <c r="D862" s="158">
        <v>55294117.647058822</v>
      </c>
      <c r="E862" s="26">
        <f>VLOOKUP(4305,季財報!$A:$H,8,0)</f>
        <v>4</v>
      </c>
      <c r="F862" s="161">
        <v>2.4666666666666704E-3</v>
      </c>
      <c r="G862" s="54">
        <v>1476352941.1764705</v>
      </c>
      <c r="H862" s="54">
        <v>1256782000</v>
      </c>
      <c r="I862" s="65">
        <v>1.1747088525905611</v>
      </c>
      <c r="J862" s="163">
        <v>9.6817082997582595</v>
      </c>
    </row>
    <row r="863" spans="1:10">
      <c r="A863" s="64">
        <v>3088</v>
      </c>
      <c r="B863" s="151">
        <v>1.9</v>
      </c>
      <c r="C863" s="160">
        <v>0.77973568281938321</v>
      </c>
      <c r="D863" s="153">
        <v>78947368.421052635</v>
      </c>
      <c r="E863" s="26">
        <f>VLOOKUP(3088,季財報!$A:$H,8,0)</f>
        <v>4</v>
      </c>
      <c r="F863" s="160">
        <v>4.4266666666666656E-2</v>
      </c>
      <c r="G863" s="153">
        <v>5423684210.5263166</v>
      </c>
      <c r="H863" s="153">
        <v>4616719000</v>
      </c>
      <c r="I863" s="151">
        <v>1.1747919270214013</v>
      </c>
      <c r="J863" s="153">
        <v>11.592997323818022</v>
      </c>
    </row>
    <row r="864" spans="1:10" hidden="1">
      <c r="A864" s="64">
        <v>4976</v>
      </c>
      <c r="B864" s="52">
        <v>-0.06</v>
      </c>
      <c r="C864" s="161">
        <v>1</v>
      </c>
      <c r="D864" s="158">
        <v>100000000</v>
      </c>
      <c r="E864" s="26">
        <f>VLOOKUP(4976,季財報!$A:$H,8,0)</f>
        <v>2</v>
      </c>
      <c r="F864" s="161">
        <v>4.4999999999999991E-2</v>
      </c>
      <c r="G864" s="54">
        <v>1614999999.9999998</v>
      </c>
      <c r="H864" s="54">
        <v>1374574000</v>
      </c>
      <c r="I864" s="65">
        <v>1.1749094628590384</v>
      </c>
      <c r="J864" s="163">
        <v>0</v>
      </c>
    </row>
    <row r="865" spans="1:10" hidden="1">
      <c r="A865" s="64">
        <v>2207</v>
      </c>
      <c r="B865" s="151">
        <v>4.05</v>
      </c>
      <c r="C865" s="160">
        <v>0.56524493243243246</v>
      </c>
      <c r="D865" s="153">
        <v>545925925.92592597</v>
      </c>
      <c r="E865" s="26">
        <f>VLOOKUP(2207,季財報!$A:$H,8,0)</f>
        <v>2</v>
      </c>
      <c r="F865" s="160">
        <v>3.9825000000000006E-2</v>
      </c>
      <c r="G865" s="153">
        <v>189709259259.25928</v>
      </c>
      <c r="H865" s="153">
        <v>161384898000</v>
      </c>
      <c r="I865" s="151">
        <v>1.1755081275278885</v>
      </c>
      <c r="J865" s="153">
        <v>37.949242979749762</v>
      </c>
    </row>
    <row r="866" spans="1:10" hidden="1">
      <c r="A866" s="64">
        <v>5206</v>
      </c>
      <c r="B866" s="52">
        <v>1.05</v>
      </c>
      <c r="C866" s="161">
        <v>0.94117647058823528</v>
      </c>
      <c r="D866" s="158">
        <v>150476190.47619048</v>
      </c>
      <c r="E866" s="26">
        <f>VLOOKUP(5206,季財報!$A:$H,8,0)</f>
        <v>5</v>
      </c>
      <c r="F866" s="161">
        <v>4.0257999999999994</v>
      </c>
      <c r="G866" s="54">
        <v>1790666666.6666667</v>
      </c>
      <c r="H866" s="54">
        <v>1520707000</v>
      </c>
      <c r="I866" s="65">
        <v>1.1775224725516926</v>
      </c>
      <c r="J866" s="163">
        <v>3.0104166666666665</v>
      </c>
    </row>
    <row r="867" spans="1:10" hidden="1">
      <c r="A867" s="64">
        <v>2362</v>
      </c>
      <c r="B867" s="151">
        <v>0.06</v>
      </c>
      <c r="C867" s="160">
        <v>1</v>
      </c>
      <c r="D867" s="153">
        <v>700000000</v>
      </c>
      <c r="E867" s="26">
        <f>VLOOKUP(2362,季財報!$A:$H,8,0)</f>
        <v>1</v>
      </c>
      <c r="F867" s="160">
        <v>3.4191666666666669E-2</v>
      </c>
      <c r="G867" s="153">
        <v>22609999999.999996</v>
      </c>
      <c r="H867" s="153">
        <v>19200600000</v>
      </c>
      <c r="I867" s="151">
        <v>1.1775673676864262</v>
      </c>
      <c r="J867" s="153">
        <v>50</v>
      </c>
    </row>
    <row r="868" spans="1:10" hidden="1">
      <c r="A868" s="64">
        <v>1531</v>
      </c>
      <c r="B868" s="151">
        <v>0.35</v>
      </c>
      <c r="C868" s="160">
        <v>0.17592592592592593</v>
      </c>
      <c r="D868" s="153">
        <v>182857142.85714287</v>
      </c>
      <c r="E868" s="26">
        <f>VLOOKUP(1531,季財報!$A:$H,8,0)</f>
        <v>3</v>
      </c>
      <c r="F868" s="160">
        <v>7.2500000000000374E-4</v>
      </c>
      <c r="G868" s="153">
        <v>3072000000.0000005</v>
      </c>
      <c r="H868" s="153">
        <v>2605522000</v>
      </c>
      <c r="I868" s="151">
        <v>1.1790343739181632</v>
      </c>
      <c r="J868" s="153">
        <v>50</v>
      </c>
    </row>
    <row r="869" spans="1:10" hidden="1">
      <c r="A869" s="64">
        <v>2442</v>
      </c>
      <c r="B869" s="151">
        <v>-0.12</v>
      </c>
      <c r="C869" s="160">
        <v>1</v>
      </c>
      <c r="D869" s="153">
        <v>200000000</v>
      </c>
      <c r="E869" s="26">
        <f>VLOOKUP(2442,季財報!$A:$H,8,0)</f>
        <v>1</v>
      </c>
      <c r="F869" s="160">
        <v>0.17944166666666664</v>
      </c>
      <c r="G869" s="153">
        <v>1374000000</v>
      </c>
      <c r="H869" s="153">
        <v>1163134000</v>
      </c>
      <c r="I869" s="151">
        <v>1.1812912355756087</v>
      </c>
      <c r="J869" s="153">
        <v>0</v>
      </c>
    </row>
    <row r="870" spans="1:10" hidden="1">
      <c r="A870" s="64">
        <v>8277</v>
      </c>
      <c r="B870" s="52">
        <v>-0.01</v>
      </c>
      <c r="C870" s="161">
        <v>1</v>
      </c>
      <c r="D870" s="158">
        <v>100000000</v>
      </c>
      <c r="E870" s="26">
        <f>VLOOKUP(8277,季財報!$A:$H,8,0)</f>
        <v>2</v>
      </c>
      <c r="F870" s="161">
        <v>8.7633333333333341E-2</v>
      </c>
      <c r="G870" s="54">
        <v>755000000</v>
      </c>
      <c r="H870" s="54">
        <v>639123000</v>
      </c>
      <c r="I870" s="65">
        <v>1.1813062587326697</v>
      </c>
      <c r="J870" s="163">
        <v>0</v>
      </c>
    </row>
    <row r="871" spans="1:10" hidden="1">
      <c r="A871" s="64">
        <v>2484</v>
      </c>
      <c r="B871" s="151">
        <v>0.66</v>
      </c>
      <c r="C871" s="160">
        <v>0.50617283950617287</v>
      </c>
      <c r="D871" s="153">
        <v>157575757.57575756</v>
      </c>
      <c r="E871" s="26">
        <f>VLOOKUP(2484,季財報!$A:$H,8,0)</f>
        <v>4</v>
      </c>
      <c r="F871" s="160">
        <v>1.308333333333335E-3</v>
      </c>
      <c r="G871" s="153">
        <v>3340606060.60606</v>
      </c>
      <c r="H871" s="153">
        <v>2825662000</v>
      </c>
      <c r="I871" s="151">
        <v>1.1822383783361421</v>
      </c>
      <c r="J871" s="153">
        <v>15.864745011086471</v>
      </c>
    </row>
    <row r="872" spans="1:10" hidden="1">
      <c r="A872" s="64">
        <v>2705</v>
      </c>
      <c r="B872" s="151">
        <v>7.0000000000000007E-2</v>
      </c>
      <c r="C872" s="160">
        <v>1</v>
      </c>
      <c r="D872" s="153">
        <v>328571428.57142854</v>
      </c>
      <c r="E872" s="26">
        <f>VLOOKUP(2705,季財報!$A:$H,8,0)</f>
        <v>2</v>
      </c>
      <c r="F872" s="160">
        <v>5.1833333333333323E-3</v>
      </c>
      <c r="G872" s="153">
        <v>3433571428.5714278</v>
      </c>
      <c r="H872" s="153">
        <v>2902127000</v>
      </c>
      <c r="I872" s="151">
        <v>1.1831223887071198</v>
      </c>
      <c r="J872" s="153">
        <v>37.321428571428562</v>
      </c>
    </row>
    <row r="873" spans="1:10" hidden="1">
      <c r="A873" s="64">
        <v>1434</v>
      </c>
      <c r="B873" s="151">
        <v>0.61</v>
      </c>
      <c r="C873" s="160">
        <v>0.71277842907385702</v>
      </c>
      <c r="D873" s="153">
        <v>1670491803.2786887</v>
      </c>
      <c r="E873" s="26">
        <f>VLOOKUP(1434,季財報!$A:$H,8,0)</f>
        <v>2</v>
      </c>
      <c r="F873" s="160">
        <v>-8.6583333333333321E-3</v>
      </c>
      <c r="G873" s="153">
        <v>51868770491.803284</v>
      </c>
      <c r="H873" s="153">
        <v>43637652000</v>
      </c>
      <c r="I873" s="151">
        <v>1.1886242296401117</v>
      </c>
      <c r="J873" s="153">
        <v>17.85324768119068</v>
      </c>
    </row>
    <row r="874" spans="1:10" hidden="1">
      <c r="A874" s="64">
        <v>9941</v>
      </c>
      <c r="B874" s="52">
        <v>0.95</v>
      </c>
      <c r="C874" s="161">
        <v>1</v>
      </c>
      <c r="D874" s="158">
        <v>266315789.47368422</v>
      </c>
      <c r="E874" s="26">
        <f>VLOOKUP(9941,季財報!$A:$H,8,0)</f>
        <v>0</v>
      </c>
      <c r="F874" s="161">
        <v>3.933333333333333E-3</v>
      </c>
      <c r="G874" s="54">
        <v>19947052631.578949</v>
      </c>
      <c r="H874" s="54">
        <v>16766824000</v>
      </c>
      <c r="I874" s="65">
        <v>1.1896738840688581</v>
      </c>
      <c r="J874" s="163">
        <v>19.710526315789476</v>
      </c>
    </row>
    <row r="875" spans="1:10" hidden="1">
      <c r="A875" s="64">
        <v>5905</v>
      </c>
      <c r="B875" s="52">
        <v>0.22</v>
      </c>
      <c r="C875" s="161">
        <v>1</v>
      </c>
      <c r="D875" s="158">
        <v>204545454.54545453</v>
      </c>
      <c r="E875" s="26">
        <f>VLOOKUP(5905,季財報!$A:$H,8,0)</f>
        <v>2</v>
      </c>
      <c r="F875" s="161">
        <v>2.5308333333333335E-2</v>
      </c>
      <c r="G875" s="54">
        <v>1871590909.090909</v>
      </c>
      <c r="H875" s="54">
        <v>1571771000</v>
      </c>
      <c r="I875" s="65">
        <v>1.1907529208077443</v>
      </c>
      <c r="J875" s="163">
        <v>10.397727272727273</v>
      </c>
    </row>
    <row r="876" spans="1:10" hidden="1">
      <c r="A876" s="64">
        <v>5317</v>
      </c>
      <c r="B876" s="52">
        <v>0.18</v>
      </c>
      <c r="C876" s="161">
        <v>0.59459459459459463</v>
      </c>
      <c r="D876" s="158">
        <v>133333333.33333334</v>
      </c>
      <c r="E876" s="26">
        <f>VLOOKUP(5317,季財報!$A:$H,8,0)</f>
        <v>2</v>
      </c>
      <c r="F876" s="161">
        <v>6.333333333333334E-3</v>
      </c>
      <c r="G876" s="54">
        <v>1953333333.3333335</v>
      </c>
      <c r="H876" s="54">
        <v>1640260000</v>
      </c>
      <c r="I876" s="65">
        <v>1.1908681144046269</v>
      </c>
      <c r="J876" s="163">
        <v>34.220328282828284</v>
      </c>
    </row>
    <row r="877" spans="1:10" hidden="1">
      <c r="A877" s="64">
        <v>1101</v>
      </c>
      <c r="B877" s="151">
        <v>0.26</v>
      </c>
      <c r="C877" s="160">
        <v>1</v>
      </c>
      <c r="D877" s="153">
        <v>3650000000</v>
      </c>
      <c r="E877" s="26">
        <f>VLOOKUP(1101,季財報!$A:$H,8,0)</f>
        <v>1</v>
      </c>
      <c r="F877" s="160">
        <v>5.7666666666666743E-3</v>
      </c>
      <c r="G877" s="153">
        <v>115340000000</v>
      </c>
      <c r="H877" s="153">
        <v>96411177000</v>
      </c>
      <c r="I877" s="151">
        <v>1.196334321278953</v>
      </c>
      <c r="J877" s="153">
        <v>30.384615384615383</v>
      </c>
    </row>
    <row r="878" spans="1:10" hidden="1">
      <c r="A878" s="64">
        <v>2379</v>
      </c>
      <c r="B878" s="151">
        <v>1.19</v>
      </c>
      <c r="C878" s="160">
        <v>0.44559585492227977</v>
      </c>
      <c r="D878" s="153">
        <v>504201680.67226893</v>
      </c>
      <c r="E878" s="26">
        <f>VLOOKUP(2379,季財報!$A:$H,8,0)</f>
        <v>2</v>
      </c>
      <c r="F878" s="160">
        <v>2.3341666666666674E-2</v>
      </c>
      <c r="G878" s="153">
        <v>36554621848.739494</v>
      </c>
      <c r="H878" s="153">
        <v>30548091000</v>
      </c>
      <c r="I878" s="151">
        <v>1.1966254077460845</v>
      </c>
      <c r="J878" s="153">
        <v>34.181405120187613</v>
      </c>
    </row>
    <row r="879" spans="1:10" hidden="1">
      <c r="A879" s="64">
        <v>8042</v>
      </c>
      <c r="B879" s="52">
        <v>0.77</v>
      </c>
      <c r="C879" s="161">
        <v>0.98726114649681529</v>
      </c>
      <c r="D879" s="158">
        <v>103896103.89610389</v>
      </c>
      <c r="E879" s="26">
        <f>VLOOKUP(8042,季財報!$A:$H,8,0)</f>
        <v>2</v>
      </c>
      <c r="F879" s="161">
        <v>2.4291666666666666E-2</v>
      </c>
      <c r="G879" s="54">
        <v>3693506493.5064931</v>
      </c>
      <c r="H879" s="54">
        <v>3085751000</v>
      </c>
      <c r="I879" s="65">
        <v>1.1969554554163615</v>
      </c>
      <c r="J879" s="163">
        <v>11.691139505655634</v>
      </c>
    </row>
    <row r="880" spans="1:10" hidden="1">
      <c r="A880" s="64">
        <v>1337</v>
      </c>
      <c r="B880" s="151">
        <v>0.43</v>
      </c>
      <c r="C880" s="160">
        <v>0.89726027397260277</v>
      </c>
      <c r="D880" s="153">
        <v>260465116.27906978</v>
      </c>
      <c r="E880" s="26">
        <f>VLOOKUP(1337,季財報!$A:$H,8,0)</f>
        <v>3</v>
      </c>
      <c r="F880" s="160">
        <v>7.2691666666666668E-2</v>
      </c>
      <c r="G880" s="153">
        <v>5626046511.6279078</v>
      </c>
      <c r="H880" s="153">
        <v>4670065000</v>
      </c>
      <c r="I880" s="151">
        <v>1.2047041126039804</v>
      </c>
      <c r="J880" s="153">
        <v>13.996094443458194</v>
      </c>
    </row>
    <row r="881" spans="1:10" hidden="1">
      <c r="A881" s="64">
        <v>3042</v>
      </c>
      <c r="B881" s="151">
        <v>0.92</v>
      </c>
      <c r="C881" s="160">
        <v>0.70626349892008644</v>
      </c>
      <c r="D881" s="153">
        <v>310869565.21739131</v>
      </c>
      <c r="E881" s="26">
        <f>VLOOKUP(3042,季財報!$A:$H,8,0)</f>
        <v>4</v>
      </c>
      <c r="F881" s="160">
        <v>5.033333333333335E-3</v>
      </c>
      <c r="G881" s="153">
        <v>11144673913.04348</v>
      </c>
      <c r="H881" s="153">
        <v>9246663000</v>
      </c>
      <c r="I881" s="151">
        <v>1.2052644195039313</v>
      </c>
      <c r="J881" s="153">
        <v>13.793503191065016</v>
      </c>
    </row>
    <row r="882" spans="1:10" hidden="1">
      <c r="A882" s="64">
        <v>2493</v>
      </c>
      <c r="B882" s="151">
        <v>1.1100000000000001</v>
      </c>
      <c r="C882" s="160">
        <v>0.76646706586826352</v>
      </c>
      <c r="D882" s="153">
        <v>114414414.41441441</v>
      </c>
      <c r="E882" s="26">
        <f>VLOOKUP(2493,季財報!$A:$H,8,0)</f>
        <v>3</v>
      </c>
      <c r="F882" s="160">
        <v>-9.8083333333333338E-3</v>
      </c>
      <c r="G882" s="153">
        <v>2723063063.0630631</v>
      </c>
      <c r="H882" s="153">
        <v>2252510000</v>
      </c>
      <c r="I882" s="151">
        <v>1.2089016532947969</v>
      </c>
      <c r="J882" s="153">
        <v>6.9935951576576567</v>
      </c>
    </row>
    <row r="883" spans="1:10" hidden="1">
      <c r="A883" s="64">
        <v>1711</v>
      </c>
      <c r="B883" s="151">
        <v>0.36</v>
      </c>
      <c r="C883" s="160">
        <v>0.7516556291390728</v>
      </c>
      <c r="D883" s="153">
        <v>522222222.22222227</v>
      </c>
      <c r="E883" s="26">
        <f>VLOOKUP(1711,季財報!$A:$H,8,0)</f>
        <v>3</v>
      </c>
      <c r="F883" s="160">
        <v>2.2125000000000002E-2</v>
      </c>
      <c r="G883" s="153">
        <v>11567222222.222223</v>
      </c>
      <c r="H883" s="153">
        <v>9559125000</v>
      </c>
      <c r="I883" s="151">
        <v>1.2100712379242058</v>
      </c>
      <c r="J883" s="153">
        <v>20.46408467939305</v>
      </c>
    </row>
    <row r="884" spans="1:10" hidden="1">
      <c r="A884" s="64">
        <v>2426</v>
      </c>
      <c r="B884" s="151">
        <v>0.41</v>
      </c>
      <c r="C884" s="160">
        <v>0.84651162790697676</v>
      </c>
      <c r="D884" s="153">
        <v>275609756.097561</v>
      </c>
      <c r="E884" s="26">
        <f>VLOOKUP(2426,季財報!$A:$H,8,0)</f>
        <v>2</v>
      </c>
      <c r="F884" s="160">
        <v>7.8416666666666652E-3</v>
      </c>
      <c r="G884" s="153">
        <v>4409756097.560976</v>
      </c>
      <c r="H884" s="153">
        <v>3643775000</v>
      </c>
      <c r="I884" s="151">
        <v>1.2102163546215055</v>
      </c>
      <c r="J884" s="153">
        <v>11.525060305548111</v>
      </c>
    </row>
    <row r="885" spans="1:10" hidden="1">
      <c r="A885" s="64">
        <v>3443</v>
      </c>
      <c r="B885" s="151">
        <v>0.92</v>
      </c>
      <c r="C885" s="160">
        <v>0.94339622641509435</v>
      </c>
      <c r="D885" s="153">
        <v>133695652.17391303</v>
      </c>
      <c r="E885" s="26">
        <f>VLOOKUP(3443,季財報!$A:$H,8,0)</f>
        <v>3</v>
      </c>
      <c r="F885" s="160">
        <v>3.2633333333333327E-2</v>
      </c>
      <c r="G885" s="153">
        <v>9158152173.9130421</v>
      </c>
      <c r="H885" s="153">
        <v>7520194000</v>
      </c>
      <c r="I885" s="151">
        <v>1.217807967974369</v>
      </c>
      <c r="J885" s="153">
        <v>19.730978260869566</v>
      </c>
    </row>
    <row r="886" spans="1:10" hidden="1">
      <c r="A886" s="64">
        <v>1414</v>
      </c>
      <c r="B886" s="151">
        <v>0.06</v>
      </c>
      <c r="C886" s="160">
        <v>0</v>
      </c>
      <c r="D886" s="153">
        <v>200000000</v>
      </c>
      <c r="E886" s="26">
        <f>VLOOKUP(1414,季財報!$A:$H,8,0)</f>
        <v>2</v>
      </c>
      <c r="F886" s="160">
        <v>-2.5475000000000001E-2</v>
      </c>
      <c r="G886" s="153">
        <v>1352000000</v>
      </c>
      <c r="H886" s="153">
        <v>1109972000</v>
      </c>
      <c r="I886" s="151">
        <v>1.2180487435719098</v>
      </c>
      <c r="J886" s="153">
        <v>0</v>
      </c>
    </row>
    <row r="887" spans="1:10" hidden="1">
      <c r="A887" s="64">
        <v>3189</v>
      </c>
      <c r="B887" s="151">
        <v>1.73</v>
      </c>
      <c r="C887" s="160">
        <v>0.95116618075801751</v>
      </c>
      <c r="D887" s="153">
        <v>445664739.8843931</v>
      </c>
      <c r="E887" s="26">
        <f>VLOOKUP(3189,季財報!$A:$H,8,0)</f>
        <v>2</v>
      </c>
      <c r="F887" s="160">
        <v>1.4825000000000003E-2</v>
      </c>
      <c r="G887" s="153">
        <v>27408381502.890175</v>
      </c>
      <c r="H887" s="153">
        <v>22494766000</v>
      </c>
      <c r="I887" s="151">
        <v>1.2184337237777967</v>
      </c>
      <c r="J887" s="153">
        <v>9.3435652116138463</v>
      </c>
    </row>
    <row r="888" spans="1:10" hidden="1">
      <c r="A888" s="64">
        <v>4506</v>
      </c>
      <c r="B888" s="52">
        <v>0.8</v>
      </c>
      <c r="C888" s="161">
        <v>0.96</v>
      </c>
      <c r="D888" s="158">
        <v>197500000</v>
      </c>
      <c r="E888" s="26">
        <f>VLOOKUP(4506,季財報!$A:$H,8,0)</f>
        <v>6</v>
      </c>
      <c r="F888" s="161">
        <v>0.11770000000000003</v>
      </c>
      <c r="G888" s="54">
        <v>5609000000</v>
      </c>
      <c r="H888" s="54">
        <v>4596819000</v>
      </c>
      <c r="I888" s="65">
        <v>1.220191615114713</v>
      </c>
      <c r="J888" s="163">
        <v>9.2447916666666661</v>
      </c>
    </row>
    <row r="889" spans="1:10" hidden="1">
      <c r="A889" s="64">
        <v>2338</v>
      </c>
      <c r="B889" s="151">
        <v>0.15</v>
      </c>
      <c r="C889" s="160">
        <v>0.38095238095238093</v>
      </c>
      <c r="D889" s="153">
        <v>240000000</v>
      </c>
      <c r="E889" s="26">
        <f>VLOOKUP(2338,季財報!$A:$H,8,0)</f>
        <v>3</v>
      </c>
      <c r="F889" s="160">
        <v>1.4950000000000003E-2</v>
      </c>
      <c r="G889" s="153">
        <v>1848000000</v>
      </c>
      <c r="H889" s="153">
        <v>1512752000</v>
      </c>
      <c r="I889" s="151">
        <v>1.2216146466836599</v>
      </c>
      <c r="J889" s="153">
        <v>33.687500000000007</v>
      </c>
    </row>
    <row r="890" spans="1:10" hidden="1">
      <c r="A890" s="64">
        <v>2108</v>
      </c>
      <c r="B890" s="151">
        <v>0.82</v>
      </c>
      <c r="C890" s="160">
        <v>0.86102719033232633</v>
      </c>
      <c r="D890" s="153">
        <v>424390243.90243906</v>
      </c>
      <c r="E890" s="26">
        <f>VLOOKUP(2108,季財報!$A:$H,8,0)</f>
        <v>3</v>
      </c>
      <c r="F890" s="160">
        <v>1.880833333333333E-2</v>
      </c>
      <c r="G890" s="153">
        <v>11882926829.268293</v>
      </c>
      <c r="H890" s="153">
        <v>9654156000</v>
      </c>
      <c r="I890" s="151">
        <v>1.2308612818425861</v>
      </c>
      <c r="J890" s="153">
        <v>9.9144201968335466</v>
      </c>
    </row>
    <row r="891" spans="1:10" hidden="1">
      <c r="A891" s="64">
        <v>3390</v>
      </c>
      <c r="B891" s="151">
        <v>0.41</v>
      </c>
      <c r="C891" s="160">
        <v>0</v>
      </c>
      <c r="D891" s="153">
        <v>65853658.536585368</v>
      </c>
      <c r="E891" s="26">
        <f>VLOOKUP(3390,季財報!$A:$H,8,0)</f>
        <v>2</v>
      </c>
      <c r="F891" s="160">
        <v>7.5500000000000012E-3</v>
      </c>
      <c r="G891" s="153">
        <v>1017439024.3902439</v>
      </c>
      <c r="H891" s="153">
        <v>826195000</v>
      </c>
      <c r="I891" s="151">
        <v>1.2314756496834813</v>
      </c>
      <c r="J891" s="153">
        <v>0</v>
      </c>
    </row>
    <row r="892" spans="1:10" hidden="1">
      <c r="A892" s="64">
        <v>3213</v>
      </c>
      <c r="B892" s="151">
        <v>0.93</v>
      </c>
      <c r="C892" s="160">
        <v>0.95238095238095233</v>
      </c>
      <c r="D892" s="153">
        <v>59139784.946236558</v>
      </c>
      <c r="E892" s="26">
        <f>VLOOKUP(3213,季財報!$A:$H,8,0)</f>
        <v>2</v>
      </c>
      <c r="F892" s="160">
        <v>2.360000000000001E-2</v>
      </c>
      <c r="G892" s="153">
        <v>2619892473.1182795</v>
      </c>
      <c r="H892" s="153">
        <v>2126712000</v>
      </c>
      <c r="I892" s="151">
        <v>1.2318981005036316</v>
      </c>
      <c r="J892" s="153">
        <v>12.504032258064516</v>
      </c>
    </row>
    <row r="893" spans="1:10" hidden="1">
      <c r="A893" s="64">
        <v>1788</v>
      </c>
      <c r="B893" s="151">
        <v>1.39</v>
      </c>
      <c r="C893" s="160">
        <v>0.97979797979797978</v>
      </c>
      <c r="D893" s="153">
        <v>35251798.56115108</v>
      </c>
      <c r="E893" s="26">
        <f>VLOOKUP(1788,季財報!$A:$H,8,0)</f>
        <v>1</v>
      </c>
      <c r="F893" s="160">
        <v>1.5900000000000001E-2</v>
      </c>
      <c r="G893" s="153">
        <v>3348920863.3093524</v>
      </c>
      <c r="H893" s="153">
        <v>2709238000</v>
      </c>
      <c r="I893" s="151">
        <v>1.2361117271016251</v>
      </c>
      <c r="J893" s="153">
        <v>17.43862641845287</v>
      </c>
    </row>
    <row r="894" spans="1:10" hidden="1">
      <c r="A894" s="64">
        <v>2373</v>
      </c>
      <c r="B894" s="151">
        <v>0.99</v>
      </c>
      <c r="C894" s="160">
        <v>0.30642504118616143</v>
      </c>
      <c r="D894" s="153">
        <v>311111111.1111111</v>
      </c>
      <c r="E894" s="26">
        <f>VLOOKUP(2373,季財報!$A:$H,8,0)</f>
        <v>1</v>
      </c>
      <c r="F894" s="160">
        <v>3.3999999999999996E-2</v>
      </c>
      <c r="G894" s="153">
        <v>16146666666.666666</v>
      </c>
      <c r="H894" s="153">
        <v>13011474000</v>
      </c>
      <c r="I894" s="151">
        <v>1.2409559951982894</v>
      </c>
      <c r="J894" s="153">
        <v>42.770853698273051</v>
      </c>
    </row>
    <row r="895" spans="1:10" hidden="1">
      <c r="A895" s="64">
        <v>3066</v>
      </c>
      <c r="B895" s="151">
        <v>-0.37</v>
      </c>
      <c r="C895" s="160">
        <v>1</v>
      </c>
      <c r="D895" s="153">
        <v>83783783.783783779</v>
      </c>
      <c r="E895" s="26">
        <f>VLOOKUP(3066,季財報!$A:$H,8,0)</f>
        <v>1</v>
      </c>
      <c r="F895" s="160">
        <v>3.996666666666665E-2</v>
      </c>
      <c r="G895" s="153">
        <v>653513513.51351345</v>
      </c>
      <c r="H895" s="153">
        <v>526089000</v>
      </c>
      <c r="I895" s="151">
        <v>1.2422109443716052</v>
      </c>
      <c r="J895" s="153">
        <v>0</v>
      </c>
    </row>
    <row r="896" spans="1:10" hidden="1">
      <c r="A896" s="64">
        <v>8454</v>
      </c>
      <c r="B896" s="52">
        <v>1.82</v>
      </c>
      <c r="C896" s="161">
        <v>0.80492424242424243</v>
      </c>
      <c r="D896" s="158">
        <v>142307692.30769229</v>
      </c>
      <c r="E896" s="26">
        <f>VLOOKUP(8454,季財報!$A:$H,8,0)</f>
        <v>2</v>
      </c>
      <c r="F896" s="161">
        <v>6.0416666666666665E-3</v>
      </c>
      <c r="G896" s="54">
        <v>31378846153.846149</v>
      </c>
      <c r="H896" s="54">
        <v>25237505000</v>
      </c>
      <c r="I896" s="65">
        <v>1.2433418499113185</v>
      </c>
      <c r="J896" s="163">
        <v>37.628959276018094</v>
      </c>
    </row>
    <row r="897" spans="1:10" hidden="1">
      <c r="A897" s="64">
        <v>2327</v>
      </c>
      <c r="B897" s="151">
        <v>1.86</v>
      </c>
      <c r="C897" s="160">
        <v>0.61372950819672134</v>
      </c>
      <c r="D897" s="153">
        <v>660215053.76344085</v>
      </c>
      <c r="E897" s="26">
        <f>VLOOKUP(2327,季財報!$A:$H,8,0)</f>
        <v>3</v>
      </c>
      <c r="F897" s="160">
        <v>1.8808333333333337E-2</v>
      </c>
      <c r="G897" s="153">
        <v>34001075268.817204</v>
      </c>
      <c r="H897" s="153">
        <v>27336311000</v>
      </c>
      <c r="I897" s="151">
        <v>1.2438062790848847</v>
      </c>
      <c r="J897" s="153">
        <v>11.278654388137934</v>
      </c>
    </row>
    <row r="898" spans="1:10" hidden="1">
      <c r="A898" s="64">
        <v>1591</v>
      </c>
      <c r="B898" s="151">
        <v>0.26</v>
      </c>
      <c r="C898" s="160">
        <v>0.93333333333333335</v>
      </c>
      <c r="D898" s="153">
        <v>30769230.769230768</v>
      </c>
      <c r="E898" s="26">
        <f>VLOOKUP(1591,季財報!$A:$H,8,0)</f>
        <v>1</v>
      </c>
      <c r="F898" s="160">
        <v>-6.0583333333333357E-3</v>
      </c>
      <c r="G898" s="153">
        <v>781538461.53846145</v>
      </c>
      <c r="H898" s="153">
        <v>625074000</v>
      </c>
      <c r="I898" s="151">
        <v>1.2503135013429794</v>
      </c>
      <c r="J898" s="153">
        <v>26.167582417582416</v>
      </c>
    </row>
    <row r="899" spans="1:10" hidden="1">
      <c r="A899" s="64">
        <v>1326</v>
      </c>
      <c r="B899" s="151">
        <v>1.33</v>
      </c>
      <c r="C899" s="160">
        <v>0.3373319338231619</v>
      </c>
      <c r="D899" s="153">
        <v>5868421052.6315784</v>
      </c>
      <c r="E899" s="26">
        <f>VLOOKUP(1326,季財報!$A:$H,8,0)</f>
        <v>2</v>
      </c>
      <c r="F899" s="160">
        <v>-6.9250000000000015E-3</v>
      </c>
      <c r="G899" s="153">
        <v>421939473684.21051</v>
      </c>
      <c r="H899" s="153">
        <v>336677419000</v>
      </c>
      <c r="I899" s="151">
        <v>1.2532455397141158</v>
      </c>
      <c r="J899" s="153">
        <v>40.064506911076769</v>
      </c>
    </row>
    <row r="900" spans="1:10" hidden="1">
      <c r="A900" s="64">
        <v>1506</v>
      </c>
      <c r="B900" s="151">
        <v>0.18</v>
      </c>
      <c r="C900" s="160">
        <v>0.46153846153846156</v>
      </c>
      <c r="D900" s="153">
        <v>122222222.22222222</v>
      </c>
      <c r="E900" s="26">
        <f>VLOOKUP(1506,季財報!$A:$H,8,0)</f>
        <v>3</v>
      </c>
      <c r="F900" s="160">
        <v>-8.5666666666666651E-3</v>
      </c>
      <c r="G900" s="153">
        <v>1943333333.3333335</v>
      </c>
      <c r="H900" s="153">
        <v>1550230000</v>
      </c>
      <c r="I900" s="151">
        <v>1.2535774261453678</v>
      </c>
      <c r="J900" s="153">
        <v>47.847222222222221</v>
      </c>
    </row>
    <row r="901" spans="1:10" hidden="1">
      <c r="A901" s="64">
        <v>2428</v>
      </c>
      <c r="B901" s="151">
        <v>2.11</v>
      </c>
      <c r="C901" s="160">
        <v>0.74689826302729534</v>
      </c>
      <c r="D901" s="153">
        <v>127488151.65876777</v>
      </c>
      <c r="E901" s="26">
        <f>VLOOKUP(2428,季財報!$A:$H,8,0)</f>
        <v>3</v>
      </c>
      <c r="F901" s="160">
        <v>2.4733333333333329E-2</v>
      </c>
      <c r="G901" s="153">
        <v>6374407582.9383888</v>
      </c>
      <c r="H901" s="153">
        <v>5039965000</v>
      </c>
      <c r="I901" s="151">
        <v>1.2647721924533977</v>
      </c>
      <c r="J901" s="153">
        <v>7.9316968714081026</v>
      </c>
    </row>
    <row r="902" spans="1:10" hidden="1">
      <c r="A902" s="64">
        <v>5498</v>
      </c>
      <c r="B902" s="52">
        <v>-0.03</v>
      </c>
      <c r="C902" s="161">
        <v>0</v>
      </c>
      <c r="D902" s="158">
        <v>133333333.33333334</v>
      </c>
      <c r="E902" s="26">
        <f>VLOOKUP(5498,季財報!$A:$H,8,0)</f>
        <v>1</v>
      </c>
      <c r="F902" s="161">
        <v>-3.1075000000000002E-2</v>
      </c>
      <c r="G902" s="54">
        <v>1194666666.666667</v>
      </c>
      <c r="H902" s="54">
        <v>940075000</v>
      </c>
      <c r="I902" s="65">
        <v>1.2708205905557184</v>
      </c>
      <c r="J902" s="163">
        <v>0</v>
      </c>
    </row>
    <row r="903" spans="1:10" hidden="1">
      <c r="A903" s="64">
        <v>4745</v>
      </c>
      <c r="B903" s="52">
        <v>0.48</v>
      </c>
      <c r="C903" s="161">
        <v>1</v>
      </c>
      <c r="D903" s="158">
        <v>58333333.333333336</v>
      </c>
      <c r="E903" s="26">
        <f>VLOOKUP(4745,季財報!$A:$H,8,0)</f>
        <v>0</v>
      </c>
      <c r="F903" s="161">
        <v>3.0799999999999994E-2</v>
      </c>
      <c r="G903" s="54">
        <v>4141666666.666667</v>
      </c>
      <c r="H903" s="54">
        <v>3242131000</v>
      </c>
      <c r="I903" s="65">
        <v>1.2774519804001341</v>
      </c>
      <c r="J903" s="163">
        <v>36.979166666666671</v>
      </c>
    </row>
    <row r="904" spans="1:10" hidden="1">
      <c r="A904" s="64">
        <v>3060</v>
      </c>
      <c r="B904" s="151">
        <v>1.7</v>
      </c>
      <c r="C904" s="160">
        <v>6.6496163682864456E-2</v>
      </c>
      <c r="D904" s="153">
        <v>174117647.05882353</v>
      </c>
      <c r="E904" s="26">
        <f>VLOOKUP(3060,季財報!$A:$H,8,0)</f>
        <v>3</v>
      </c>
      <c r="F904" s="160">
        <v>3.4683333333333337E-2</v>
      </c>
      <c r="G904" s="153">
        <v>10098823529.411764</v>
      </c>
      <c r="H904" s="153">
        <v>7904206000</v>
      </c>
      <c r="I904" s="151">
        <v>1.2776518640090813</v>
      </c>
      <c r="J904" s="153">
        <v>50</v>
      </c>
    </row>
    <row r="905" spans="1:10" hidden="1">
      <c r="A905" s="64">
        <v>3494</v>
      </c>
      <c r="B905" s="151">
        <v>-0.12</v>
      </c>
      <c r="C905" s="160">
        <v>0.75</v>
      </c>
      <c r="D905" s="153">
        <v>183333333.33333334</v>
      </c>
      <c r="E905" s="26">
        <f>VLOOKUP(3494,季財報!$A:$H,8,0)</f>
        <v>0</v>
      </c>
      <c r="F905" s="160">
        <v>1.0125E-2</v>
      </c>
      <c r="G905" s="153">
        <v>2291666666.666667</v>
      </c>
      <c r="H905" s="153">
        <v>1791323000</v>
      </c>
      <c r="I905" s="151">
        <v>1.2793151579400628</v>
      </c>
      <c r="J905" s="153">
        <v>0</v>
      </c>
    </row>
    <row r="906" spans="1:10" hidden="1">
      <c r="A906" s="64">
        <v>3288</v>
      </c>
      <c r="B906" s="151">
        <v>-0.35</v>
      </c>
      <c r="C906" s="160">
        <v>0.95348837209302328</v>
      </c>
      <c r="D906" s="153">
        <v>48571428.571428575</v>
      </c>
      <c r="E906" s="26">
        <f>VLOOKUP(3288,季財報!$A:$H,8,0)</f>
        <v>3</v>
      </c>
      <c r="F906" s="160">
        <v>3.7566666666666665E-2</v>
      </c>
      <c r="G906" s="153">
        <v>364771428.5714286</v>
      </c>
      <c r="H906" s="153">
        <v>283188000</v>
      </c>
      <c r="I906" s="151">
        <v>1.2880892854620556</v>
      </c>
      <c r="J906" s="153">
        <v>0</v>
      </c>
    </row>
    <row r="907" spans="1:10" hidden="1">
      <c r="A907" s="64">
        <v>6223</v>
      </c>
      <c r="B907" s="52">
        <v>1.25</v>
      </c>
      <c r="C907" s="161">
        <v>1</v>
      </c>
      <c r="D907" s="158">
        <v>79200000</v>
      </c>
      <c r="E907" s="26">
        <f>VLOOKUP(6223,季財報!$A:$H,8,0)</f>
        <v>1</v>
      </c>
      <c r="F907" s="161">
        <v>-7.4583333333333333E-3</v>
      </c>
      <c r="G907" s="54">
        <v>5322240000</v>
      </c>
      <c r="H907" s="54">
        <v>4128393000</v>
      </c>
      <c r="I907" s="65">
        <v>1.2891795911871762</v>
      </c>
      <c r="J907" s="163">
        <v>13.440000000000001</v>
      </c>
    </row>
    <row r="908" spans="1:10" hidden="1">
      <c r="A908" s="64">
        <v>3570</v>
      </c>
      <c r="B908" s="151">
        <v>1.1100000000000001</v>
      </c>
      <c r="C908" s="160">
        <v>1</v>
      </c>
      <c r="D908" s="153">
        <v>17117117.117117114</v>
      </c>
      <c r="E908" s="26">
        <f>VLOOKUP(3570,季財報!$A:$H,8,0)</f>
        <v>2</v>
      </c>
      <c r="F908" s="160">
        <v>5.5841666666666699E-2</v>
      </c>
      <c r="G908" s="153">
        <v>1283783783.7837837</v>
      </c>
      <c r="H908" s="153">
        <v>991777000</v>
      </c>
      <c r="I908" s="151">
        <v>1.2944278641103633</v>
      </c>
      <c r="J908" s="153">
        <v>16.891891891891891</v>
      </c>
    </row>
    <row r="909" spans="1:10" hidden="1">
      <c r="A909" s="64">
        <v>8044</v>
      </c>
      <c r="B909" s="52">
        <v>2</v>
      </c>
      <c r="C909" s="161">
        <v>0.94476744186046513</v>
      </c>
      <c r="D909" s="158">
        <v>93000000</v>
      </c>
      <c r="E909" s="26">
        <f>VLOOKUP(8044,季財報!$A:$H,8,0)</f>
        <v>1</v>
      </c>
      <c r="F909" s="161">
        <v>1.1250000000000001E-2</v>
      </c>
      <c r="G909" s="54">
        <v>29016000000</v>
      </c>
      <c r="H909" s="54">
        <v>22385020000</v>
      </c>
      <c r="I909" s="65">
        <v>1.296223992652229</v>
      </c>
      <c r="J909" s="163">
        <v>41.28</v>
      </c>
    </row>
    <row r="910" spans="1:10" hidden="1">
      <c r="A910" s="64">
        <v>8069</v>
      </c>
      <c r="B910" s="52">
        <v>0.7</v>
      </c>
      <c r="C910" s="161">
        <v>0</v>
      </c>
      <c r="D910" s="158">
        <v>1140000000</v>
      </c>
      <c r="E910" s="26">
        <f>VLOOKUP(8069,季財報!$A:$H,8,0)</f>
        <v>3</v>
      </c>
      <c r="F910" s="161">
        <v>-1.2499999999999548E-4</v>
      </c>
      <c r="G910" s="54">
        <v>18525000000</v>
      </c>
      <c r="H910" s="54">
        <v>14283690000</v>
      </c>
      <c r="I910" s="65">
        <v>1.2969337755159907</v>
      </c>
      <c r="J910" s="163">
        <v>0</v>
      </c>
    </row>
    <row r="911" spans="1:10" hidden="1">
      <c r="A911" s="64">
        <v>1321</v>
      </c>
      <c r="B911" s="151">
        <v>0.2</v>
      </c>
      <c r="C911" s="160">
        <v>0.41791044776119401</v>
      </c>
      <c r="D911" s="153">
        <v>220000000</v>
      </c>
      <c r="E911" s="26">
        <f>VLOOKUP(1321,季財報!$A:$H,8,0)</f>
        <v>4</v>
      </c>
      <c r="F911" s="160">
        <v>7.4999999999999947E-4</v>
      </c>
      <c r="G911" s="153">
        <v>6160000000</v>
      </c>
      <c r="H911" s="153">
        <v>4744533000</v>
      </c>
      <c r="I911" s="151">
        <v>1.2983364221515585</v>
      </c>
      <c r="J911" s="153">
        <v>50</v>
      </c>
    </row>
    <row r="912" spans="1:10" hidden="1">
      <c r="A912" s="64">
        <v>6195</v>
      </c>
      <c r="B912" s="52">
        <v>0.78</v>
      </c>
      <c r="C912" s="161">
        <v>0.98750000000000004</v>
      </c>
      <c r="D912" s="158">
        <v>42307692.307692304</v>
      </c>
      <c r="E912" s="26">
        <f>VLOOKUP(6195,季財報!$A:$H,8,0)</f>
        <v>0</v>
      </c>
      <c r="F912" s="161">
        <v>1.4058333333333331E-2</v>
      </c>
      <c r="G912" s="54">
        <v>2094230769.2307692</v>
      </c>
      <c r="H912" s="54">
        <v>1610226000</v>
      </c>
      <c r="I912" s="65">
        <v>1.3005818867853141</v>
      </c>
      <c r="J912" s="163">
        <v>16.066212268743911</v>
      </c>
    </row>
    <row r="913" spans="1:10" hidden="1">
      <c r="A913" s="64">
        <v>6204</v>
      </c>
      <c r="B913" s="52">
        <v>0.5</v>
      </c>
      <c r="C913" s="161">
        <v>0.41176470588235292</v>
      </c>
      <c r="D913" s="158">
        <v>36000000</v>
      </c>
      <c r="E913" s="26">
        <f>VLOOKUP(6204,季財報!$A:$H,8,0)</f>
        <v>2</v>
      </c>
      <c r="F913" s="161">
        <v>3.241666666666667E-2</v>
      </c>
      <c r="G913" s="54">
        <v>790200000</v>
      </c>
      <c r="H913" s="54">
        <v>607035000</v>
      </c>
      <c r="I913" s="65">
        <v>1.3017371321258246</v>
      </c>
      <c r="J913" s="163">
        <v>26.653571428571428</v>
      </c>
    </row>
    <row r="914" spans="1:10" hidden="1">
      <c r="A914" s="64">
        <v>2115</v>
      </c>
      <c r="B914" s="151">
        <v>0.89</v>
      </c>
      <c r="C914" s="160">
        <v>0.81679389312977102</v>
      </c>
      <c r="D914" s="153">
        <v>74157303.370786518</v>
      </c>
      <c r="E914" s="26">
        <f>VLOOKUP(2115,季財報!$A:$H,8,0)</f>
        <v>3</v>
      </c>
      <c r="F914" s="160">
        <v>-5.4833333333333357E-3</v>
      </c>
      <c r="G914" s="153">
        <v>3322247191.0112357</v>
      </c>
      <c r="H914" s="153">
        <v>2533121000</v>
      </c>
      <c r="I914" s="151">
        <v>1.311523291232924</v>
      </c>
      <c r="J914" s="153">
        <v>15.406909587314919</v>
      </c>
    </row>
    <row r="915" spans="1:10" hidden="1">
      <c r="A915" s="64">
        <v>6174</v>
      </c>
      <c r="B915" s="52">
        <v>0.32</v>
      </c>
      <c r="C915" s="161">
        <v>0.87878787878787878</v>
      </c>
      <c r="D915" s="158">
        <v>50000000</v>
      </c>
      <c r="E915" s="26">
        <f>VLOOKUP(6174,季財報!$A:$H,8,0)</f>
        <v>4</v>
      </c>
      <c r="F915" s="161">
        <v>1.3591666666666663E-2</v>
      </c>
      <c r="G915" s="54">
        <v>710000000</v>
      </c>
      <c r="H915" s="54">
        <v>541196000</v>
      </c>
      <c r="I915" s="65">
        <v>1.31190917892963</v>
      </c>
      <c r="J915" s="163">
        <v>12.623922413793103</v>
      </c>
    </row>
    <row r="916" spans="1:10" hidden="1">
      <c r="A916" s="64">
        <v>3455</v>
      </c>
      <c r="B916" s="151">
        <v>1.32</v>
      </c>
      <c r="C916" s="160">
        <v>0.56000000000000005</v>
      </c>
      <c r="D916" s="153">
        <v>61363636.36363636</v>
      </c>
      <c r="E916" s="26">
        <f>VLOOKUP(3455,季財報!$A:$H,8,0)</f>
        <v>2</v>
      </c>
      <c r="F916" s="160">
        <v>-8.7416666666666597E-3</v>
      </c>
      <c r="G916" s="153">
        <v>1748863636.3636363</v>
      </c>
      <c r="H916" s="153">
        <v>1325583000</v>
      </c>
      <c r="I916" s="151">
        <v>1.3193165847507371</v>
      </c>
      <c r="J916" s="153">
        <v>9.6387987012987004</v>
      </c>
    </row>
    <row r="917" spans="1:10" hidden="1">
      <c r="A917" s="64">
        <v>6431</v>
      </c>
      <c r="B917" s="52">
        <v>-0.24</v>
      </c>
      <c r="C917" s="161">
        <v>1</v>
      </c>
      <c r="D917" s="158">
        <v>45833333.333333336</v>
      </c>
      <c r="E917" s="26">
        <f>VLOOKUP(6431,季財報!$A:$H,8,0)</f>
        <v>1</v>
      </c>
      <c r="F917" s="161">
        <v>0.53384166666666666</v>
      </c>
      <c r="G917" s="54">
        <v>536250000</v>
      </c>
      <c r="H917" s="54">
        <v>406339000</v>
      </c>
      <c r="I917" s="65">
        <v>1.319710881800664</v>
      </c>
      <c r="J917" s="163">
        <v>0</v>
      </c>
    </row>
    <row r="918" spans="1:10" hidden="1">
      <c r="A918" s="64">
        <v>5703</v>
      </c>
      <c r="B918" s="52">
        <v>0.08</v>
      </c>
      <c r="C918" s="161">
        <v>1</v>
      </c>
      <c r="D918" s="158">
        <v>62500000</v>
      </c>
      <c r="E918" s="26">
        <f>VLOOKUP(5703,季財報!$A:$H,8,0)</f>
        <v>1</v>
      </c>
      <c r="F918" s="161">
        <v>7.6666666666666645E-3</v>
      </c>
      <c r="G918" s="54">
        <v>1362500000</v>
      </c>
      <c r="H918" s="54">
        <v>1032262000</v>
      </c>
      <c r="I918" s="65">
        <v>1.3199168428170367</v>
      </c>
      <c r="J918" s="163">
        <v>50</v>
      </c>
    </row>
    <row r="919" spans="1:10" hidden="1">
      <c r="A919" s="64">
        <v>1614</v>
      </c>
      <c r="B919" s="151">
        <v>0.32</v>
      </c>
      <c r="C919" s="160">
        <v>0.94791666666666663</v>
      </c>
      <c r="D919" s="153">
        <v>256250000</v>
      </c>
      <c r="E919" s="26">
        <f>VLOOKUP(1614,季財報!$A:$H,8,0)</f>
        <v>2</v>
      </c>
      <c r="F919" s="160">
        <v>2.5308333333333335E-2</v>
      </c>
      <c r="G919" s="153">
        <v>6752187500</v>
      </c>
      <c r="H919" s="153">
        <v>5084154000</v>
      </c>
      <c r="I919" s="151">
        <v>1.3280847708389636</v>
      </c>
      <c r="J919" s="153">
        <v>21.717032967032967</v>
      </c>
    </row>
    <row r="920" spans="1:10" hidden="1">
      <c r="A920" s="64">
        <v>8074</v>
      </c>
      <c r="B920" s="52">
        <v>0.76</v>
      </c>
      <c r="C920" s="161">
        <v>0.83132530120481929</v>
      </c>
      <c r="D920" s="158">
        <v>63157894.736842103</v>
      </c>
      <c r="E920" s="26">
        <f>VLOOKUP(8074,季財報!$A:$H,8,0)</f>
        <v>4</v>
      </c>
      <c r="F920" s="161">
        <v>-5.1416666666666685E-3</v>
      </c>
      <c r="G920" s="54">
        <v>1585263157.8947368</v>
      </c>
      <c r="H920" s="54">
        <v>1185196000</v>
      </c>
      <c r="I920" s="65">
        <v>1.3375535842972275</v>
      </c>
      <c r="J920" s="163">
        <v>9.931826849733028</v>
      </c>
    </row>
    <row r="921" spans="1:10" hidden="1">
      <c r="A921" s="64">
        <v>3373</v>
      </c>
      <c r="B921" s="151">
        <v>0.66</v>
      </c>
      <c r="C921" s="160">
        <v>0.48780487804878048</v>
      </c>
      <c r="D921" s="153">
        <v>42424242.424242422</v>
      </c>
      <c r="E921" s="26">
        <f>VLOOKUP(3373,季財報!$A:$H,8,0)</f>
        <v>4</v>
      </c>
      <c r="F921" s="160">
        <v>2.5991666666666666E-2</v>
      </c>
      <c r="G921" s="153">
        <v>1179393939.3939393</v>
      </c>
      <c r="H921" s="153">
        <v>881623000</v>
      </c>
      <c r="I921" s="151">
        <v>1.3377531432300873</v>
      </c>
      <c r="J921" s="153">
        <v>21.587121212121211</v>
      </c>
    </row>
    <row r="922" spans="1:10" hidden="1">
      <c r="A922" s="64">
        <v>6605</v>
      </c>
      <c r="B922" s="52">
        <v>3.82</v>
      </c>
      <c r="C922" s="161">
        <v>0.7334070796460177</v>
      </c>
      <c r="D922" s="158">
        <v>165706806.28272253</v>
      </c>
      <c r="E922" s="26">
        <f>VLOOKUP(6605,季財報!$A:$H,8,0)</f>
        <v>4</v>
      </c>
      <c r="F922" s="161">
        <v>1.4900000000000002E-2</v>
      </c>
      <c r="G922" s="54">
        <v>19636256544.502621</v>
      </c>
      <c r="H922" s="54">
        <v>14670613000</v>
      </c>
      <c r="I922" s="65">
        <v>1.3384755323109281</v>
      </c>
      <c r="J922" s="163">
        <v>10.574257894861528</v>
      </c>
    </row>
    <row r="923" spans="1:10" hidden="1">
      <c r="A923" s="64">
        <v>6419</v>
      </c>
      <c r="B923" s="52">
        <v>0.35</v>
      </c>
      <c r="C923" s="161">
        <v>0.44444444444444442</v>
      </c>
      <c r="D923" s="158">
        <v>22857142.857142858</v>
      </c>
      <c r="E923" s="26">
        <f>VLOOKUP(6419,季財報!$A:$H,8,0)</f>
        <v>0</v>
      </c>
      <c r="F923" s="161">
        <v>5.5083333333333338E-3</v>
      </c>
      <c r="G923" s="54">
        <v>587428571.42857146</v>
      </c>
      <c r="H923" s="54">
        <v>438527000</v>
      </c>
      <c r="I923" s="65">
        <v>1.3395493810610783</v>
      </c>
      <c r="J923" s="163">
        <v>41.303571428571431</v>
      </c>
    </row>
    <row r="924" spans="1:10" hidden="1">
      <c r="A924" s="64">
        <v>3567</v>
      </c>
      <c r="B924" s="151">
        <v>0.38</v>
      </c>
      <c r="C924" s="160">
        <v>0.90909090909090906</v>
      </c>
      <c r="D924" s="153">
        <v>36842105.263157897</v>
      </c>
      <c r="E924" s="26">
        <f>VLOOKUP(3567,季財報!$A:$H,8,0)</f>
        <v>3</v>
      </c>
      <c r="F924" s="160">
        <v>-3.891666666666667E-3</v>
      </c>
      <c r="G924" s="153">
        <v>443947368.42105269</v>
      </c>
      <c r="H924" s="153">
        <v>331412000</v>
      </c>
      <c r="I924" s="151">
        <v>1.3395633484033551</v>
      </c>
      <c r="J924" s="153">
        <v>8.7203947368421062</v>
      </c>
    </row>
    <row r="925" spans="1:10" hidden="1">
      <c r="A925" s="64">
        <v>1584</v>
      </c>
      <c r="B925" s="151">
        <v>-0.24</v>
      </c>
      <c r="C925" s="160">
        <v>1</v>
      </c>
      <c r="D925" s="153">
        <v>104166666.66666667</v>
      </c>
      <c r="E925" s="26">
        <f>VLOOKUP(1584,季財報!$A:$H,8,0)</f>
        <v>1</v>
      </c>
      <c r="F925" s="160">
        <v>-3.1991666666666675E-2</v>
      </c>
      <c r="G925" s="153">
        <v>1406250000</v>
      </c>
      <c r="H925" s="153">
        <v>1049306000</v>
      </c>
      <c r="I925" s="151">
        <v>1.3401715038320565</v>
      </c>
      <c r="J925" s="153">
        <v>0</v>
      </c>
    </row>
    <row r="926" spans="1:10" hidden="1">
      <c r="A926" s="64">
        <v>1102</v>
      </c>
      <c r="B926" s="151">
        <v>0.02</v>
      </c>
      <c r="C926" s="160">
        <v>0.38469353200135453</v>
      </c>
      <c r="D926" s="153">
        <v>3200000000</v>
      </c>
      <c r="E926" s="26">
        <f>VLOOKUP(1102,季財報!$A:$H,8,0)</f>
        <v>1</v>
      </c>
      <c r="F926" s="160">
        <v>1.8991666666666678E-2</v>
      </c>
      <c r="G926" s="153">
        <v>92160000000</v>
      </c>
      <c r="H926" s="153">
        <v>68738329000</v>
      </c>
      <c r="I926" s="151">
        <v>1.3407366943703272</v>
      </c>
      <c r="J926" s="153">
        <v>50</v>
      </c>
    </row>
    <row r="927" spans="1:10" hidden="1">
      <c r="A927" s="64">
        <v>6269</v>
      </c>
      <c r="B927" s="52">
        <v>3.34</v>
      </c>
      <c r="C927" s="161">
        <v>0.89507154213036566</v>
      </c>
      <c r="D927" s="158">
        <v>269161676.64670658</v>
      </c>
      <c r="E927" s="26">
        <f>VLOOKUP(6269,季財報!$A:$H,8,0)</f>
        <v>2</v>
      </c>
      <c r="F927" s="161">
        <v>7.4616666666666637E-2</v>
      </c>
      <c r="G927" s="54">
        <v>25516526946.107784</v>
      </c>
      <c r="H927" s="54">
        <v>18979050000</v>
      </c>
      <c r="I927" s="65">
        <v>1.3444575437710415</v>
      </c>
      <c r="J927" s="163">
        <v>7.9276438242520291</v>
      </c>
    </row>
    <row r="928" spans="1:10" hidden="1">
      <c r="A928" s="64">
        <v>2316</v>
      </c>
      <c r="B928" s="151">
        <v>1.06</v>
      </c>
      <c r="C928" s="160">
        <v>0</v>
      </c>
      <c r="D928" s="153">
        <v>316981132.0754717</v>
      </c>
      <c r="E928" s="26">
        <f>VLOOKUP(2316,季財報!$A:$H,8,0)</f>
        <v>2</v>
      </c>
      <c r="F928" s="160">
        <v>-3.6516666666666663E-2</v>
      </c>
      <c r="G928" s="153">
        <v>8796226415.0943394</v>
      </c>
      <c r="H928" s="153">
        <v>6532834000</v>
      </c>
      <c r="I928" s="151">
        <v>1.3464640943110355</v>
      </c>
      <c r="J928" s="153">
        <v>0</v>
      </c>
    </row>
    <row r="929" spans="1:10" hidden="1">
      <c r="A929" s="64">
        <v>3588</v>
      </c>
      <c r="B929" s="151">
        <v>0.77</v>
      </c>
      <c r="C929" s="160">
        <v>0.63157894736842102</v>
      </c>
      <c r="D929" s="153">
        <v>45454545.454545453</v>
      </c>
      <c r="E929" s="26">
        <f>VLOOKUP(3588,季財報!$A:$H,8,0)</f>
        <v>3</v>
      </c>
      <c r="F929" s="160">
        <v>4.9666666666666652E-3</v>
      </c>
      <c r="G929" s="153">
        <v>1390909090.909091</v>
      </c>
      <c r="H929" s="153">
        <v>1030523000</v>
      </c>
      <c r="I929" s="151">
        <v>1.3497118365229024</v>
      </c>
      <c r="J929" s="153">
        <v>15.730519480519481</v>
      </c>
    </row>
    <row r="930" spans="1:10" hidden="1">
      <c r="A930" s="64">
        <v>4127</v>
      </c>
      <c r="B930" s="52">
        <v>0.13</v>
      </c>
      <c r="C930" s="161">
        <v>1</v>
      </c>
      <c r="D930" s="158">
        <v>46153846.153846152</v>
      </c>
      <c r="E930" s="26">
        <f>VLOOKUP(4127,季財報!$A:$H,8,0)</f>
        <v>0</v>
      </c>
      <c r="F930" s="161">
        <v>5.174999999999999E-3</v>
      </c>
      <c r="G930" s="54">
        <v>1153846153.8461537</v>
      </c>
      <c r="H930" s="54">
        <v>854859000</v>
      </c>
      <c r="I930" s="65">
        <v>1.3497502557101859</v>
      </c>
      <c r="J930" s="163">
        <v>48.076923076923073</v>
      </c>
    </row>
    <row r="931" spans="1:10" hidden="1">
      <c r="A931" s="64">
        <v>1580</v>
      </c>
      <c r="B931" s="151">
        <v>2.78</v>
      </c>
      <c r="C931" s="160">
        <v>1</v>
      </c>
      <c r="D931" s="153">
        <v>48561151.079136692</v>
      </c>
      <c r="E931" s="26">
        <f>VLOOKUP(1580,季財報!$A:$H,8,0)</f>
        <v>1</v>
      </c>
      <c r="F931" s="160">
        <v>6.5008333333333307E-2</v>
      </c>
      <c r="G931" s="153">
        <v>5584532374.1007195</v>
      </c>
      <c r="H931" s="153">
        <v>4137076000</v>
      </c>
      <c r="I931" s="151">
        <v>1.3498742527574352</v>
      </c>
      <c r="J931" s="153">
        <v>10.341726618705037</v>
      </c>
    </row>
    <row r="932" spans="1:10" hidden="1">
      <c r="A932" s="64">
        <v>6179</v>
      </c>
      <c r="B932" s="52">
        <v>0.72</v>
      </c>
      <c r="C932" s="161">
        <v>0.98780487804878048</v>
      </c>
      <c r="D932" s="158">
        <v>50000000</v>
      </c>
      <c r="E932" s="26">
        <f>VLOOKUP(6179,季財報!$A:$H,8,0)</f>
        <v>1</v>
      </c>
      <c r="F932" s="161">
        <v>6.3466666666666685E-2</v>
      </c>
      <c r="G932" s="54">
        <v>1900000000</v>
      </c>
      <c r="H932" s="54">
        <v>1402615000</v>
      </c>
      <c r="I932" s="65">
        <v>1.3546126342581535</v>
      </c>
      <c r="J932" s="163">
        <v>13.357338820301784</v>
      </c>
    </row>
    <row r="933" spans="1:10" hidden="1">
      <c r="A933" s="64">
        <v>2634</v>
      </c>
      <c r="B933" s="151">
        <v>0.87</v>
      </c>
      <c r="C933" s="160">
        <v>0.7167070217917676</v>
      </c>
      <c r="D933" s="153">
        <v>912643678.16091955</v>
      </c>
      <c r="E933" s="26">
        <f>VLOOKUP(2634,季財報!$A:$H,8,0)</f>
        <v>3</v>
      </c>
      <c r="F933" s="160">
        <v>4.5041666666666667E-2</v>
      </c>
      <c r="G933" s="153">
        <v>37965977011.494255</v>
      </c>
      <c r="H933" s="153">
        <v>28020347000</v>
      </c>
      <c r="I933" s="151">
        <v>1.3549431422635221</v>
      </c>
      <c r="J933" s="153">
        <v>16.679092885989437</v>
      </c>
    </row>
    <row r="934" spans="1:10" hidden="1">
      <c r="A934" s="64">
        <v>1456</v>
      </c>
      <c r="B934" s="151">
        <v>-7.0000000000000007E-2</v>
      </c>
      <c r="C934" s="160">
        <v>0.19444444444444445</v>
      </c>
      <c r="D934" s="153">
        <v>214285714.28571427</v>
      </c>
      <c r="E934" s="26">
        <f>VLOOKUP(1456,季財報!$A:$H,8,0)</f>
        <v>3</v>
      </c>
      <c r="F934" s="160">
        <v>4.8383333333333341E-2</v>
      </c>
      <c r="G934" s="153">
        <v>880714285.71428573</v>
      </c>
      <c r="H934" s="153">
        <v>648371000</v>
      </c>
      <c r="I934" s="151">
        <v>1.358349287235681</v>
      </c>
      <c r="J934" s="153">
        <v>0</v>
      </c>
    </row>
    <row r="935" spans="1:10" hidden="1">
      <c r="A935" s="64">
        <v>3521</v>
      </c>
      <c r="B935" s="151">
        <v>0.36</v>
      </c>
      <c r="C935" s="160">
        <v>1</v>
      </c>
      <c r="D935" s="153">
        <v>47222222.222222224</v>
      </c>
      <c r="E935" s="26">
        <f>VLOOKUP(3521,季財報!$A:$H,8,0)</f>
        <v>3</v>
      </c>
      <c r="F935" s="160">
        <v>0.18156666666666665</v>
      </c>
      <c r="G935" s="153">
        <v>731944444.44444442</v>
      </c>
      <c r="H935" s="153">
        <v>538249000</v>
      </c>
      <c r="I935" s="151">
        <v>1.3598621538441213</v>
      </c>
      <c r="J935" s="153">
        <v>10.763888888888889</v>
      </c>
    </row>
    <row r="936" spans="1:10" hidden="1">
      <c r="A936" s="64">
        <v>6239</v>
      </c>
      <c r="B936" s="52">
        <v>1.42</v>
      </c>
      <c r="C936" s="161">
        <v>0.9273356401384083</v>
      </c>
      <c r="D936" s="158">
        <v>771830985.91549301</v>
      </c>
      <c r="E936" s="26">
        <f>VLOOKUP(6239,季財報!$A:$H,8,0)</f>
        <v>4</v>
      </c>
      <c r="F936" s="161">
        <v>1.5324999999999997E-2</v>
      </c>
      <c r="G936" s="54">
        <v>55571830985.915497</v>
      </c>
      <c r="H936" s="54">
        <v>40821571000</v>
      </c>
      <c r="I936" s="65">
        <v>1.3613349419089114</v>
      </c>
      <c r="J936" s="163">
        <v>13.669329409291572</v>
      </c>
    </row>
    <row r="937" spans="1:10" hidden="1">
      <c r="A937" s="64">
        <v>3533</v>
      </c>
      <c r="B937" s="151">
        <v>3.3</v>
      </c>
      <c r="C937" s="160">
        <v>0.49742268041237114</v>
      </c>
      <c r="D937" s="153">
        <v>93636363.63636364</v>
      </c>
      <c r="E937" s="26">
        <f>VLOOKUP(3533,季財報!$A:$H,8,0)</f>
        <v>5</v>
      </c>
      <c r="F937" s="160">
        <v>1.6525000000000001E-2</v>
      </c>
      <c r="G937" s="153">
        <v>11049090909.09091</v>
      </c>
      <c r="H937" s="153">
        <v>8081674000</v>
      </c>
      <c r="I937" s="151">
        <v>1.3671784965702538</v>
      </c>
      <c r="J937" s="153">
        <v>17.971424085413723</v>
      </c>
    </row>
    <row r="938" spans="1:10" hidden="1">
      <c r="A938" s="64">
        <v>1708</v>
      </c>
      <c r="B938" s="151">
        <v>1.21</v>
      </c>
      <c r="C938" s="160">
        <v>0.90864197530864199</v>
      </c>
      <c r="D938" s="153">
        <v>182644628.09917355</v>
      </c>
      <c r="E938" s="26">
        <f>VLOOKUP(1708,季財報!$A:$H,8,0)</f>
        <v>4</v>
      </c>
      <c r="F938" s="160">
        <v>6.1916666666666717E-3</v>
      </c>
      <c r="G938" s="153">
        <v>6392561983.4710741</v>
      </c>
      <c r="H938" s="153">
        <v>4654193000</v>
      </c>
      <c r="I938" s="151">
        <v>1.3735059941586165</v>
      </c>
      <c r="J938" s="153">
        <v>7.9584755659360393</v>
      </c>
    </row>
    <row r="939" spans="1:10" hidden="1">
      <c r="A939" s="64">
        <v>8299</v>
      </c>
      <c r="B939" s="52">
        <v>6</v>
      </c>
      <c r="C939" s="161">
        <v>0.88846520495710202</v>
      </c>
      <c r="D939" s="158">
        <v>197333333.33333334</v>
      </c>
      <c r="E939" s="26">
        <f>VLOOKUP(8299,季財報!$A:$H,8,0)</f>
        <v>4</v>
      </c>
      <c r="F939" s="161">
        <v>2.850833333333333E-2</v>
      </c>
      <c r="G939" s="54">
        <v>50320000000</v>
      </c>
      <c r="H939" s="54">
        <v>36634847000</v>
      </c>
      <c r="I939" s="65">
        <v>1.3735556204179042</v>
      </c>
      <c r="J939" s="163">
        <v>11.958825107296137</v>
      </c>
    </row>
    <row r="940" spans="1:10" hidden="1">
      <c r="A940" s="64">
        <v>6449</v>
      </c>
      <c r="B940" s="52">
        <v>0.93</v>
      </c>
      <c r="C940" s="161">
        <v>0.66355140186915884</v>
      </c>
      <c r="D940" s="158">
        <v>73118279.569892466</v>
      </c>
      <c r="E940" s="26">
        <f>VLOOKUP(6449,季財報!$A:$H,8,0)</f>
        <v>4</v>
      </c>
      <c r="F940" s="161">
        <v>1.5216666666666668E-2</v>
      </c>
      <c r="G940" s="54">
        <v>1963225806.4516127</v>
      </c>
      <c r="H940" s="54">
        <v>1427501000</v>
      </c>
      <c r="I940" s="65">
        <v>1.3752885682403113</v>
      </c>
      <c r="J940" s="163">
        <v>10.877442071785554</v>
      </c>
    </row>
    <row r="941" spans="1:10" hidden="1">
      <c r="A941" s="64">
        <v>1540</v>
      </c>
      <c r="B941" s="156">
        <v>0.44</v>
      </c>
      <c r="C941" s="160">
        <v>0.27906976744186046</v>
      </c>
      <c r="D941" s="157">
        <v>79545454.545454547</v>
      </c>
      <c r="E941" s="26">
        <f>VLOOKUP(1540,季財報!$A:$H,8,0)</f>
        <v>1</v>
      </c>
      <c r="F941" s="160">
        <v>-7.0083333333333331E-2</v>
      </c>
      <c r="G941" s="157">
        <v>1336363636.3636365</v>
      </c>
      <c r="H941" s="157">
        <v>970638000</v>
      </c>
      <c r="I941" s="156">
        <v>1.3767889124098134</v>
      </c>
      <c r="J941" s="157">
        <v>34.204545454545453</v>
      </c>
    </row>
    <row r="942" spans="1:10" hidden="1">
      <c r="A942" s="64">
        <v>5487</v>
      </c>
      <c r="B942" s="52">
        <v>0.47</v>
      </c>
      <c r="C942" s="161">
        <v>0.57894736842105265</v>
      </c>
      <c r="D942" s="158">
        <v>21276595.744680852</v>
      </c>
      <c r="E942" s="26">
        <f>VLOOKUP(5487,季財報!$A:$H,8,0)</f>
        <v>2</v>
      </c>
      <c r="F942" s="161">
        <v>6.4133333333333334E-2</v>
      </c>
      <c r="G942" s="54">
        <v>434042553.19148934</v>
      </c>
      <c r="H942" s="54">
        <v>314853000</v>
      </c>
      <c r="I942" s="65">
        <v>1.3785561934982018</v>
      </c>
      <c r="J942" s="163">
        <v>18.742746615087039</v>
      </c>
    </row>
    <row r="943" spans="1:10" hidden="1">
      <c r="A943" s="64">
        <v>3653</v>
      </c>
      <c r="B943" s="151">
        <v>1.1100000000000001</v>
      </c>
      <c r="C943" s="160">
        <v>0.44318181818181818</v>
      </c>
      <c r="D943" s="153">
        <v>106306306.3063063</v>
      </c>
      <c r="E943" s="26">
        <f>VLOOKUP(3653,季財報!$A:$H,8,0)</f>
        <v>3</v>
      </c>
      <c r="F943" s="160">
        <v>-6.7333333333333342E-3</v>
      </c>
      <c r="G943" s="153">
        <v>4629639639.6396389</v>
      </c>
      <c r="H943" s="153">
        <v>3357754000</v>
      </c>
      <c r="I943" s="151">
        <v>1.378790596225822</v>
      </c>
      <c r="J943" s="153">
        <v>22.132132132132131</v>
      </c>
    </row>
    <row r="944" spans="1:10" hidden="1">
      <c r="A944" s="64">
        <v>1726</v>
      </c>
      <c r="B944" s="151">
        <v>1.65</v>
      </c>
      <c r="C944" s="160">
        <v>0.91832669322709159</v>
      </c>
      <c r="D944" s="153">
        <v>161818181.81818181</v>
      </c>
      <c r="E944" s="26">
        <f>VLOOKUP(1726,季財報!$A:$H,8,0)</f>
        <v>3</v>
      </c>
      <c r="F944" s="160">
        <v>2.1666666666666592E-4</v>
      </c>
      <c r="G944" s="153">
        <v>11149272727.272728</v>
      </c>
      <c r="H944" s="153">
        <v>8059043000</v>
      </c>
      <c r="I944" s="151">
        <v>1.3834487205581021</v>
      </c>
      <c r="J944" s="153">
        <v>11.367843291921385</v>
      </c>
    </row>
    <row r="945" spans="1:11" hidden="1">
      <c r="A945" s="64">
        <v>3034</v>
      </c>
      <c r="B945" s="151">
        <v>2.79</v>
      </c>
      <c r="C945" s="160">
        <v>0.90040841972981467</v>
      </c>
      <c r="D945" s="153">
        <v>608602150.53763437</v>
      </c>
      <c r="E945" s="26">
        <f>VLOOKUP(3034,季財報!$A:$H,8,0)</f>
        <v>3</v>
      </c>
      <c r="F945" s="160">
        <v>-1.4166666666666666E-2</v>
      </c>
      <c r="G945" s="153">
        <v>72423655913.978485</v>
      </c>
      <c r="H945" s="153">
        <v>52348337000</v>
      </c>
      <c r="I945" s="151">
        <v>1.3834948742302642</v>
      </c>
      <c r="J945" s="153">
        <v>11.842495253960035</v>
      </c>
    </row>
    <row r="946" spans="1:11" hidden="1">
      <c r="A946" s="64">
        <v>1710</v>
      </c>
      <c r="B946" s="151">
        <v>-0.27</v>
      </c>
      <c r="C946" s="160">
        <v>1</v>
      </c>
      <c r="D946" s="153">
        <v>870370370.37037027</v>
      </c>
      <c r="E946" s="26">
        <f>VLOOKUP(1710,季財報!$A:$H,8,0)</f>
        <v>0</v>
      </c>
      <c r="F946" s="160">
        <v>5.0225000000000013E-2</v>
      </c>
      <c r="G946" s="153">
        <v>19583333333.333332</v>
      </c>
      <c r="H946" s="153">
        <v>14119072000</v>
      </c>
      <c r="I946" s="151">
        <v>1.3870127819543192</v>
      </c>
      <c r="J946" s="153">
        <v>0</v>
      </c>
    </row>
    <row r="947" spans="1:11" hidden="1">
      <c r="A947" s="64">
        <v>9921</v>
      </c>
      <c r="B947" s="52">
        <v>3.24</v>
      </c>
      <c r="C947" s="161">
        <v>0.89853658536585368</v>
      </c>
      <c r="D947" s="158">
        <v>374691358.02469134</v>
      </c>
      <c r="E947" s="26">
        <f>VLOOKUP(9921,季財報!$A:$H,8,0)</f>
        <v>3</v>
      </c>
      <c r="F947" s="161">
        <v>9.8249999999999987E-3</v>
      </c>
      <c r="G947" s="54">
        <v>85054938271.604935</v>
      </c>
      <c r="H947" s="54">
        <v>61254710000</v>
      </c>
      <c r="I947" s="65">
        <v>1.3885452771159137</v>
      </c>
      <c r="J947" s="163">
        <v>19.4932876234903</v>
      </c>
    </row>
    <row r="948" spans="1:11" hidden="1">
      <c r="A948" s="64">
        <v>8147</v>
      </c>
      <c r="B948" s="52">
        <v>0.86</v>
      </c>
      <c r="C948" s="161">
        <v>0.62857142857142856</v>
      </c>
      <c r="D948" s="158">
        <v>22093023.255813953</v>
      </c>
      <c r="E948" s="26">
        <f>VLOOKUP(8147,季財報!$A:$H,8,0)</f>
        <v>2</v>
      </c>
      <c r="F948" s="161">
        <v>6.843333333333336E-2</v>
      </c>
      <c r="G948" s="54">
        <v>1093604651.1627905</v>
      </c>
      <c r="H948" s="54">
        <v>784745000</v>
      </c>
      <c r="I948" s="65">
        <v>1.3935796356304158</v>
      </c>
      <c r="J948" s="163">
        <v>22.892441860465116</v>
      </c>
    </row>
    <row r="949" spans="1:11">
      <c r="A949" s="64">
        <v>1570</v>
      </c>
      <c r="B949" s="151">
        <v>0.8</v>
      </c>
      <c r="C949" s="160">
        <v>0.78688524590163933</v>
      </c>
      <c r="D949" s="153">
        <v>51250000</v>
      </c>
      <c r="E949" s="26">
        <f>VLOOKUP(1570,季財報!$A:$H,8,0)</f>
        <v>5</v>
      </c>
      <c r="F949" s="160">
        <v>0.11745833333333333</v>
      </c>
      <c r="G949" s="153">
        <v>984000000</v>
      </c>
      <c r="H949" s="153">
        <v>705802000</v>
      </c>
      <c r="I949" s="151">
        <v>1.3941587017322139</v>
      </c>
      <c r="J949" s="153">
        <v>7.6249999999999991</v>
      </c>
    </row>
    <row r="950" spans="1:11" hidden="1">
      <c r="A950" s="64">
        <v>8081</v>
      </c>
      <c r="B950" s="52">
        <v>1.77</v>
      </c>
      <c r="C950" s="161">
        <v>0.72222222222222221</v>
      </c>
      <c r="D950" s="158">
        <v>85310734.463276833</v>
      </c>
      <c r="E950" s="26">
        <f>VLOOKUP(8081,季財報!$A:$H,8,0)</f>
        <v>2</v>
      </c>
      <c r="F950" s="161">
        <v>-1.2091666666666667E-2</v>
      </c>
      <c r="G950" s="54">
        <v>4862711864.4067793</v>
      </c>
      <c r="H950" s="54">
        <v>3481507000</v>
      </c>
      <c r="I950" s="65">
        <v>1.3967261488794305</v>
      </c>
      <c r="J950" s="163">
        <v>11.147327249022164</v>
      </c>
      <c r="K950" s="32"/>
    </row>
    <row r="951" spans="1:11" hidden="1">
      <c r="A951" s="64">
        <v>4935</v>
      </c>
      <c r="B951" s="52">
        <v>2.48</v>
      </c>
      <c r="C951" s="161">
        <v>0.87631027253668758</v>
      </c>
      <c r="D951" s="158">
        <v>129435483.87096775</v>
      </c>
      <c r="E951" s="26">
        <f>VLOOKUP(4935,季財報!$A:$H,8,0)</f>
        <v>6</v>
      </c>
      <c r="F951" s="161">
        <v>2.6183333333333333E-2</v>
      </c>
      <c r="G951" s="54">
        <v>9966532258.0645161</v>
      </c>
      <c r="H951" s="54">
        <v>7132965000</v>
      </c>
      <c r="I951" s="65">
        <v>1.397249567054446</v>
      </c>
      <c r="J951" s="163">
        <v>8.8577037351443142</v>
      </c>
    </row>
    <row r="952" spans="1:11" hidden="1">
      <c r="A952" s="64">
        <v>2106</v>
      </c>
      <c r="B952" s="151">
        <v>1.48</v>
      </c>
      <c r="C952" s="160">
        <v>0.76690307328605201</v>
      </c>
      <c r="D952" s="153">
        <v>858783783.78378379</v>
      </c>
      <c r="E952" s="26">
        <f>VLOOKUP(2106,季財報!$A:$H,8,0)</f>
        <v>3</v>
      </c>
      <c r="F952" s="160">
        <v>1.2100000000000005E-2</v>
      </c>
      <c r="G952" s="153">
        <v>44570878378.37838</v>
      </c>
      <c r="H952" s="153">
        <v>31769686000</v>
      </c>
      <c r="I952" s="151">
        <v>1.4029373276896215</v>
      </c>
      <c r="J952" s="153">
        <v>11.431551388009463</v>
      </c>
    </row>
    <row r="953" spans="1:11" hidden="1">
      <c r="A953" s="64">
        <v>3551</v>
      </c>
      <c r="B953" s="151">
        <v>1.1000000000000001</v>
      </c>
      <c r="C953" s="160">
        <v>0.86178861788617889</v>
      </c>
      <c r="D953" s="153">
        <v>57272727.272727266</v>
      </c>
      <c r="E953" s="26">
        <f>VLOOKUP(3551,季財報!$A:$H,8,0)</f>
        <v>1</v>
      </c>
      <c r="F953" s="160">
        <v>-1.6408333333333334E-2</v>
      </c>
      <c r="G953" s="153">
        <v>1970181818.1818178</v>
      </c>
      <c r="H953" s="153">
        <v>1400574000</v>
      </c>
      <c r="I953" s="151">
        <v>1.4066959819201397</v>
      </c>
      <c r="J953" s="153">
        <v>9.0720411663807869</v>
      </c>
    </row>
    <row r="954" spans="1:11" hidden="1">
      <c r="A954" s="64">
        <v>5289</v>
      </c>
      <c r="B954" s="52">
        <v>2.84</v>
      </c>
      <c r="C954" s="161">
        <v>0.86851211072664358</v>
      </c>
      <c r="D954" s="158">
        <v>61971830.985915497</v>
      </c>
      <c r="E954" s="26">
        <f>VLOOKUP(5289,季財報!$A:$H,8,0)</f>
        <v>4</v>
      </c>
      <c r="F954" s="161">
        <v>1.6316666666666656E-2</v>
      </c>
      <c r="G954" s="54">
        <v>5961690140.8450708</v>
      </c>
      <c r="H954" s="54">
        <v>4235573000</v>
      </c>
      <c r="I954" s="65">
        <v>1.4075286014064852</v>
      </c>
      <c r="J954" s="163">
        <v>9.7503647382301786</v>
      </c>
    </row>
    <row r="955" spans="1:11">
      <c r="A955" s="64">
        <v>2456</v>
      </c>
      <c r="B955" s="151">
        <v>1.2</v>
      </c>
      <c r="C955" s="160">
        <v>0.87804878048780488</v>
      </c>
      <c r="D955" s="153">
        <v>127500000</v>
      </c>
      <c r="E955" s="26">
        <f>VLOOKUP(2456,季財報!$A:$H,8,0)</f>
        <v>4</v>
      </c>
      <c r="F955" s="160">
        <v>2.4233333333333339E-2</v>
      </c>
      <c r="G955" s="153">
        <v>6591750000</v>
      </c>
      <c r="H955" s="153">
        <v>4672493000</v>
      </c>
      <c r="I955" s="151">
        <v>1.410756527618126</v>
      </c>
      <c r="J955" s="153">
        <v>12.266782407407408</v>
      </c>
    </row>
    <row r="956" spans="1:11" hidden="1">
      <c r="A956" s="64">
        <v>5264</v>
      </c>
      <c r="B956" s="52">
        <v>4.75</v>
      </c>
      <c r="C956" s="161">
        <v>0.64749319860085508</v>
      </c>
      <c r="D956" s="158">
        <v>339789473.68421054</v>
      </c>
      <c r="E956" s="26">
        <f>VLOOKUP(5264,季財報!$A:$H,8,0)</f>
        <v>3</v>
      </c>
      <c r="F956" s="161">
        <v>3.4358333333333331E-2</v>
      </c>
      <c r="G956" s="54">
        <v>53856631578.947372</v>
      </c>
      <c r="H956" s="54">
        <v>38168498000</v>
      </c>
      <c r="I956" s="65">
        <v>1.4110230792667653</v>
      </c>
      <c r="J956" s="163">
        <v>12.883695583496555</v>
      </c>
    </row>
    <row r="957" spans="1:11" hidden="1">
      <c r="A957" s="64">
        <v>2449</v>
      </c>
      <c r="B957" s="151">
        <v>0.46</v>
      </c>
      <c r="C957" s="160">
        <v>0.92459016393442628</v>
      </c>
      <c r="D957" s="153">
        <v>1173913043.4782608</v>
      </c>
      <c r="E957" s="26">
        <f>VLOOKUP(2449,季財報!$A:$H,8,0)</f>
        <v>1</v>
      </c>
      <c r="F957" s="160">
        <v>1.033333333333334E-3</v>
      </c>
      <c r="G957" s="153">
        <v>24123913043.47826</v>
      </c>
      <c r="H957" s="153">
        <v>17053858000</v>
      </c>
      <c r="I957" s="151">
        <v>1.4145721773617594</v>
      </c>
      <c r="J957" s="153">
        <v>12.079382516188714</v>
      </c>
    </row>
    <row r="958" spans="1:11">
      <c r="A958" s="64">
        <v>1558</v>
      </c>
      <c r="B958" s="151">
        <v>6.15</v>
      </c>
      <c r="C958" s="160">
        <v>0.70265486725663717</v>
      </c>
      <c r="D958" s="153">
        <v>60487804.878048778</v>
      </c>
      <c r="E958" s="26">
        <f>VLOOKUP(1558,季財報!$A:$H,8,0)</f>
        <v>4</v>
      </c>
      <c r="F958" s="160">
        <v>1.3033333333333329E-2</v>
      </c>
      <c r="G958" s="153">
        <v>8770731707.3170719</v>
      </c>
      <c r="H958" s="153">
        <v>6181173000</v>
      </c>
      <c r="I958" s="151">
        <v>1.4189429267417482</v>
      </c>
      <c r="J958" s="153">
        <v>8.3886260776965447</v>
      </c>
    </row>
    <row r="959" spans="1:11" hidden="1">
      <c r="A959" s="64">
        <v>5213</v>
      </c>
      <c r="B959" s="52">
        <v>-0.22</v>
      </c>
      <c r="C959" s="161">
        <v>0</v>
      </c>
      <c r="D959" s="158">
        <v>377272727.27272725</v>
      </c>
      <c r="E959" s="26">
        <f>VLOOKUP(5213,季財報!$A:$H,8,0)</f>
        <v>1</v>
      </c>
      <c r="F959" s="161">
        <v>6.7031083333333337</v>
      </c>
      <c r="G959" s="54">
        <v>5696818181.818181</v>
      </c>
      <c r="H959" s="54">
        <v>4011761000</v>
      </c>
      <c r="I959" s="65">
        <v>1.4200293042925989</v>
      </c>
      <c r="J959" s="163">
        <v>0</v>
      </c>
    </row>
    <row r="960" spans="1:11" hidden="1">
      <c r="A960" s="64">
        <v>8403</v>
      </c>
      <c r="B960" s="52">
        <v>0.64</v>
      </c>
      <c r="C960" s="161">
        <v>1</v>
      </c>
      <c r="D960" s="158">
        <v>60937500</v>
      </c>
      <c r="E960" s="26">
        <f>VLOOKUP(8403,季財報!$A:$H,8,0)</f>
        <v>1</v>
      </c>
      <c r="F960" s="161">
        <v>3.0358333333333331E-2</v>
      </c>
      <c r="G960" s="54">
        <v>2973750000</v>
      </c>
      <c r="H960" s="54">
        <v>2092431000</v>
      </c>
      <c r="I960" s="65">
        <v>1.4211938171437912</v>
      </c>
      <c r="J960" s="163">
        <v>19.0625</v>
      </c>
    </row>
    <row r="961" spans="1:11" hidden="1">
      <c r="A961" s="64">
        <v>2924</v>
      </c>
      <c r="B961" s="151">
        <v>0.15</v>
      </c>
      <c r="C961" s="160">
        <v>0</v>
      </c>
      <c r="D961" s="153">
        <v>33333333.333333336</v>
      </c>
      <c r="E961" s="26">
        <f>VLOOKUP(2924,季財報!$A:$H,8,0)</f>
        <v>1</v>
      </c>
      <c r="F961" s="160">
        <v>-8.2416666666666645E-3</v>
      </c>
      <c r="G961" s="153">
        <v>1973333333.3333335</v>
      </c>
      <c r="H961" s="153">
        <v>1387630000</v>
      </c>
      <c r="I961" s="151">
        <v>1.4220889814527888</v>
      </c>
      <c r="J961" s="153">
        <v>0</v>
      </c>
    </row>
    <row r="962" spans="1:11">
      <c r="A962" s="64">
        <v>1541</v>
      </c>
      <c r="B962" s="151">
        <v>1.91</v>
      </c>
      <c r="C962" s="160">
        <v>0.64210526315789473</v>
      </c>
      <c r="D962" s="153">
        <v>78534031.413612574</v>
      </c>
      <c r="E962" s="26">
        <f>VLOOKUP(1541,季財報!$A:$H,8,0)</f>
        <v>4</v>
      </c>
      <c r="F962" s="160">
        <v>3.5066666666666663E-2</v>
      </c>
      <c r="G962" s="153">
        <v>4162303664.9214664</v>
      </c>
      <c r="H962" s="153">
        <v>2920161000</v>
      </c>
      <c r="I962" s="151">
        <v>1.425367870100815</v>
      </c>
      <c r="J962" s="153">
        <v>10.803793665779763</v>
      </c>
    </row>
    <row r="963" spans="1:11" hidden="1">
      <c r="A963" s="64">
        <v>4909</v>
      </c>
      <c r="B963" s="52">
        <v>1.1299999999999999</v>
      </c>
      <c r="C963" s="161">
        <v>0.48091603053435117</v>
      </c>
      <c r="D963" s="158">
        <v>92920353.982300892</v>
      </c>
      <c r="E963" s="26">
        <f>VLOOKUP(4909,季財報!$A:$H,8,0)</f>
        <v>3</v>
      </c>
      <c r="F963" s="161">
        <v>3.5133333333333336E-2</v>
      </c>
      <c r="G963" s="54">
        <v>2211504424.7787614</v>
      </c>
      <c r="H963" s="54">
        <v>1549650000</v>
      </c>
      <c r="I963" s="65">
        <v>1.4270992964725979</v>
      </c>
      <c r="J963" s="163">
        <v>10.948869223205508</v>
      </c>
    </row>
    <row r="964" spans="1:11" hidden="1">
      <c r="A964" s="64">
        <v>8050</v>
      </c>
      <c r="B964" s="52">
        <v>1.4</v>
      </c>
      <c r="C964" s="161">
        <v>0.8046511627906977</v>
      </c>
      <c r="D964" s="158">
        <v>110000000</v>
      </c>
      <c r="E964" s="26">
        <f>VLOOKUP(8050,季財報!$A:$H,8,0)</f>
        <v>2</v>
      </c>
      <c r="F964" s="161">
        <v>1.085E-2</v>
      </c>
      <c r="G964" s="54">
        <v>6028000000</v>
      </c>
      <c r="H964" s="54">
        <v>4215388000</v>
      </c>
      <c r="I964" s="65">
        <v>1.4299988518257394</v>
      </c>
      <c r="J964" s="163">
        <v>12.161436829066886</v>
      </c>
    </row>
    <row r="965" spans="1:11" hidden="1">
      <c r="A965" s="64">
        <v>3041</v>
      </c>
      <c r="B965" s="151">
        <v>0.11</v>
      </c>
      <c r="C965" s="160">
        <v>1</v>
      </c>
      <c r="D965" s="153">
        <v>281818181.81818181</v>
      </c>
      <c r="E965" s="26">
        <f>VLOOKUP(3041,季財報!$A:$H,8,0)</f>
        <v>2</v>
      </c>
      <c r="F965" s="160">
        <v>9.7666666666666666E-3</v>
      </c>
      <c r="G965" s="153">
        <v>5114999999.999999</v>
      </c>
      <c r="H965" s="153">
        <v>3574525000</v>
      </c>
      <c r="I965" s="151">
        <v>1.4309593582364089</v>
      </c>
      <c r="J965" s="153">
        <v>41.25</v>
      </c>
    </row>
    <row r="966" spans="1:11" hidden="1">
      <c r="A966" s="64">
        <v>2497</v>
      </c>
      <c r="B966" s="151">
        <v>0.64</v>
      </c>
      <c r="C966" s="160">
        <v>0.55932203389830504</v>
      </c>
      <c r="D966" s="153">
        <v>118750000</v>
      </c>
      <c r="E966" s="26">
        <f>VLOOKUP(2497,季財報!$A:$H,8,0)</f>
        <v>1</v>
      </c>
      <c r="F966" s="160">
        <v>-3.6475E-2</v>
      </c>
      <c r="G966" s="153">
        <v>4940000000</v>
      </c>
      <c r="H966" s="153">
        <v>3451179000</v>
      </c>
      <c r="I966" s="151">
        <v>1.4313948943245192</v>
      </c>
      <c r="J966" s="153">
        <v>29.053030303030308</v>
      </c>
      <c r="K966" s="32"/>
    </row>
    <row r="967" spans="1:11" hidden="1">
      <c r="A967" s="64">
        <v>1593</v>
      </c>
      <c r="B967" s="151">
        <v>1.23</v>
      </c>
      <c r="C967" s="160">
        <v>0.69767441860465118</v>
      </c>
      <c r="D967" s="153">
        <v>30081300.81300813</v>
      </c>
      <c r="E967" s="26">
        <f>VLOOKUP(1593,季財報!$A:$H,8,0)</f>
        <v>3</v>
      </c>
      <c r="F967" s="160">
        <v>4.0141666666666666E-2</v>
      </c>
      <c r="G967" s="153">
        <v>1228821138.2113822</v>
      </c>
      <c r="H967" s="153">
        <v>858343000</v>
      </c>
      <c r="I967" s="151">
        <v>1.4316201544270555</v>
      </c>
      <c r="J967" s="153">
        <v>11.900745257452574</v>
      </c>
    </row>
    <row r="968" spans="1:11" hidden="1">
      <c r="A968" s="64">
        <v>4303</v>
      </c>
      <c r="B968" s="52">
        <v>0.36</v>
      </c>
      <c r="C968" s="161">
        <v>0.6</v>
      </c>
      <c r="D968" s="158">
        <v>72222222.222222224</v>
      </c>
      <c r="E968" s="26">
        <f>VLOOKUP(4303,季財報!$A:$H,8,0)</f>
        <v>2</v>
      </c>
      <c r="F968" s="161">
        <v>5.1224999999999993E-2</v>
      </c>
      <c r="G968" s="54">
        <v>931666666.66666675</v>
      </c>
      <c r="H968" s="54">
        <v>648220000</v>
      </c>
      <c r="I968" s="65">
        <v>1.4372692398671234</v>
      </c>
      <c r="J968" s="163">
        <v>14.930555555555555</v>
      </c>
    </row>
    <row r="969" spans="1:11" hidden="1">
      <c r="A969" s="64">
        <v>8011</v>
      </c>
      <c r="B969" s="52">
        <v>-0.59</v>
      </c>
      <c r="C969" s="161">
        <v>1</v>
      </c>
      <c r="D969" s="158">
        <v>101694915.25423729</v>
      </c>
      <c r="E969" s="26">
        <f>VLOOKUP(8011,季財報!$A:$H,8,0)</f>
        <v>1</v>
      </c>
      <c r="F969" s="161">
        <v>2.1883333333333328E-2</v>
      </c>
      <c r="G969" s="54">
        <v>2206779661.0169492</v>
      </c>
      <c r="H969" s="54">
        <v>1532970000</v>
      </c>
      <c r="I969" s="65">
        <v>1.4395452363822836</v>
      </c>
      <c r="J969" s="163">
        <v>0</v>
      </c>
    </row>
    <row r="970" spans="1:11" hidden="1">
      <c r="A970" s="64">
        <v>6101</v>
      </c>
      <c r="B970" s="52">
        <v>-0.79</v>
      </c>
      <c r="C970" s="161">
        <v>1</v>
      </c>
      <c r="D970" s="158">
        <v>59493670.886075944</v>
      </c>
      <c r="E970" s="26">
        <f>VLOOKUP(6101,季財報!$A:$H,8,0)</f>
        <v>0</v>
      </c>
      <c r="F970" s="161">
        <v>6.9999999999998536E-4</v>
      </c>
      <c r="G970" s="54">
        <v>856708860.75949359</v>
      </c>
      <c r="H970" s="54">
        <v>594652000</v>
      </c>
      <c r="I970" s="65">
        <v>1.440689446532583</v>
      </c>
      <c r="J970" s="163">
        <v>0</v>
      </c>
    </row>
    <row r="971" spans="1:11" hidden="1">
      <c r="A971" s="64">
        <v>1817</v>
      </c>
      <c r="B971" s="151">
        <v>0.97</v>
      </c>
      <c r="C971" s="160">
        <v>0.98290598290598286</v>
      </c>
      <c r="D971" s="153">
        <v>72164948.453608245</v>
      </c>
      <c r="E971" s="26">
        <f>VLOOKUP(1817,季財報!$A:$H,8,0)</f>
        <v>3</v>
      </c>
      <c r="F971" s="160">
        <v>4.2233333333333324E-2</v>
      </c>
      <c r="G971" s="153">
        <v>3070618556.7010307</v>
      </c>
      <c r="H971" s="153">
        <v>2130682000</v>
      </c>
      <c r="I971" s="151">
        <v>1.4411435196341034</v>
      </c>
      <c r="J971" s="153">
        <v>11.157216494845361</v>
      </c>
    </row>
    <row r="972" spans="1:11" hidden="1">
      <c r="A972" s="64">
        <v>6203</v>
      </c>
      <c r="B972" s="52">
        <v>1.18</v>
      </c>
      <c r="C972" s="161">
        <v>0.4247787610619469</v>
      </c>
      <c r="D972" s="158">
        <v>80508474.576271191</v>
      </c>
      <c r="E972" s="26">
        <f>VLOOKUP(6203,季財報!$A:$H,8,0)</f>
        <v>5</v>
      </c>
      <c r="F972" s="161">
        <v>-4.5916666666666701E-3</v>
      </c>
      <c r="G972" s="54">
        <v>2487711864.4067798</v>
      </c>
      <c r="H972" s="54">
        <v>1723942000</v>
      </c>
      <c r="I972" s="65">
        <v>1.4430368680656191</v>
      </c>
      <c r="J972" s="163">
        <v>15.411811440677967</v>
      </c>
    </row>
    <row r="973" spans="1:11" hidden="1">
      <c r="A973" s="64">
        <v>1338</v>
      </c>
      <c r="B973" s="151">
        <v>2.14</v>
      </c>
      <c r="C973" s="160">
        <v>0.89729729729729735</v>
      </c>
      <c r="D973" s="153">
        <v>83644859.813084111</v>
      </c>
      <c r="E973" s="26">
        <f>VLOOKUP(1338,季財報!$A:$H,8,0)</f>
        <v>2</v>
      </c>
      <c r="F973" s="160">
        <v>2.3208333333333331E-2</v>
      </c>
      <c r="G973" s="153">
        <v>11877570093.457943</v>
      </c>
      <c r="H973" s="153">
        <v>8230898000</v>
      </c>
      <c r="I973" s="151">
        <v>1.4430466874280234</v>
      </c>
      <c r="J973" s="153">
        <v>18.487501407499153</v>
      </c>
    </row>
    <row r="974" spans="1:11" hidden="1">
      <c r="A974" s="64">
        <v>2451</v>
      </c>
      <c r="B974" s="151">
        <v>2.52</v>
      </c>
      <c r="C974" s="160">
        <v>0.67152821813570074</v>
      </c>
      <c r="D974" s="153">
        <v>430952380.95238096</v>
      </c>
      <c r="E974" s="26">
        <f>VLOOKUP(2451,季財報!$A:$H,8,0)</f>
        <v>3</v>
      </c>
      <c r="F974" s="160">
        <v>-4.5916666666666684E-3</v>
      </c>
      <c r="G974" s="153">
        <v>35984523809.523811</v>
      </c>
      <c r="H974" s="153">
        <v>24921026000</v>
      </c>
      <c r="I974" s="151">
        <v>1.4439423083754181</v>
      </c>
      <c r="J974" s="153">
        <v>12.335639717013654</v>
      </c>
    </row>
    <row r="975" spans="1:11" hidden="1">
      <c r="A975" s="64">
        <v>6103</v>
      </c>
      <c r="B975" s="52">
        <v>0.05</v>
      </c>
      <c r="C975" s="161">
        <v>1</v>
      </c>
      <c r="D975" s="158">
        <v>60000000</v>
      </c>
      <c r="E975" s="26">
        <f>VLOOKUP(6103,季財報!$A:$H,8,0)</f>
        <v>4</v>
      </c>
      <c r="F975" s="161">
        <v>0.46415000000000001</v>
      </c>
      <c r="G975" s="54">
        <v>521999999.99999994</v>
      </c>
      <c r="H975" s="54">
        <v>361153000</v>
      </c>
      <c r="I975" s="65">
        <v>1.4453707985258324</v>
      </c>
      <c r="J975" s="163">
        <v>43.499999999999993</v>
      </c>
    </row>
    <row r="976" spans="1:11" hidden="1">
      <c r="A976" s="64">
        <v>1307</v>
      </c>
      <c r="B976" s="151">
        <v>0.87</v>
      </c>
      <c r="C976" s="160">
        <v>0.9027027027027027</v>
      </c>
      <c r="D976" s="153">
        <v>385057471.26436782</v>
      </c>
      <c r="E976" s="26">
        <f>VLOOKUP(1307,季財報!$A:$H,8,0)</f>
        <v>5</v>
      </c>
      <c r="F976" s="160">
        <v>1.8025000000000003E-2</v>
      </c>
      <c r="G976" s="153">
        <v>16384195402.298849</v>
      </c>
      <c r="H976" s="153">
        <v>11314870000</v>
      </c>
      <c r="I976" s="151">
        <v>1.4480233005150611</v>
      </c>
      <c r="J976" s="153">
        <v>13.544892972675338</v>
      </c>
    </row>
    <row r="977" spans="1:11" hidden="1">
      <c r="A977" s="64">
        <v>3014</v>
      </c>
      <c r="B977" s="151">
        <v>0.74</v>
      </c>
      <c r="C977" s="160">
        <v>1</v>
      </c>
      <c r="D977" s="153">
        <v>154054054.05405405</v>
      </c>
      <c r="E977" s="26">
        <f>VLOOKUP(3014,季財報!$A:$H,8,0)</f>
        <v>3</v>
      </c>
      <c r="F977" s="160">
        <v>2.4658333333333327E-2</v>
      </c>
      <c r="G977" s="153">
        <v>4413648648.6486483</v>
      </c>
      <c r="H977" s="153">
        <v>3047579000</v>
      </c>
      <c r="I977" s="151">
        <v>1.4482474937150598</v>
      </c>
      <c r="J977" s="153">
        <v>9.6790540540540544</v>
      </c>
    </row>
    <row r="978" spans="1:11" hidden="1">
      <c r="A978" s="64">
        <v>5201</v>
      </c>
      <c r="B978" s="52">
        <v>0.62</v>
      </c>
      <c r="C978" s="161">
        <v>0</v>
      </c>
      <c r="D978" s="158">
        <v>29032258.064516131</v>
      </c>
      <c r="E978" s="26">
        <f>VLOOKUP(5201,季財報!$A:$H,8,0)</f>
        <v>4</v>
      </c>
      <c r="F978" s="161">
        <v>5.2475000000000001E-2</v>
      </c>
      <c r="G978" s="54">
        <v>381774193.54838711</v>
      </c>
      <c r="H978" s="54">
        <v>262858000</v>
      </c>
      <c r="I978" s="65">
        <v>1.4523970872044492</v>
      </c>
      <c r="J978" s="163">
        <v>0</v>
      </c>
    </row>
    <row r="979" spans="1:11" hidden="1">
      <c r="A979" s="64">
        <v>1731</v>
      </c>
      <c r="B979" s="151">
        <v>0.11</v>
      </c>
      <c r="C979" s="160">
        <v>1</v>
      </c>
      <c r="D979" s="153">
        <v>127272727.27272727</v>
      </c>
      <c r="E979" s="26">
        <f>VLOOKUP(1731,季財報!$A:$H,8,0)</f>
        <v>2</v>
      </c>
      <c r="F979" s="160">
        <v>1.5174999999999999E-2</v>
      </c>
      <c r="G979" s="153">
        <v>1953636363.6363635</v>
      </c>
      <c r="H979" s="153">
        <v>1343714000</v>
      </c>
      <c r="I979" s="151">
        <v>1.4539078729821699</v>
      </c>
      <c r="J979" s="153">
        <v>34.886363636363633</v>
      </c>
    </row>
    <row r="980" spans="1:11" hidden="1">
      <c r="A980" s="64">
        <v>2236</v>
      </c>
      <c r="B980" s="151">
        <v>0.9</v>
      </c>
      <c r="C980" s="160">
        <v>0.65625</v>
      </c>
      <c r="D980" s="153">
        <v>33333333.333333332</v>
      </c>
      <c r="E980" s="26">
        <f>VLOOKUP(2236,季財報!$A:$H,8,0)</f>
        <v>1</v>
      </c>
      <c r="F980" s="160">
        <v>-8.7258333333333327E-2</v>
      </c>
      <c r="G980" s="153">
        <v>1286666666.6666667</v>
      </c>
      <c r="H980" s="153">
        <v>881470000</v>
      </c>
      <c r="I980" s="151">
        <v>1.4596828782223634</v>
      </c>
      <c r="J980" s="153">
        <v>16.338624338624339</v>
      </c>
    </row>
    <row r="981" spans="1:11" hidden="1">
      <c r="A981" s="64">
        <v>3025</v>
      </c>
      <c r="B981" s="151">
        <v>-0.06</v>
      </c>
      <c r="C981" s="160">
        <v>1</v>
      </c>
      <c r="D981" s="153">
        <v>83333333.333333343</v>
      </c>
      <c r="E981" s="26">
        <f>VLOOKUP(3025,季財報!$A:$H,8,0)</f>
        <v>0</v>
      </c>
      <c r="F981" s="160">
        <v>9.4358333333333322E-2</v>
      </c>
      <c r="G981" s="153">
        <v>675000000</v>
      </c>
      <c r="H981" s="153">
        <v>460776000</v>
      </c>
      <c r="I981" s="151">
        <v>1.4649200479191624</v>
      </c>
      <c r="J981" s="153">
        <v>0</v>
      </c>
    </row>
    <row r="982" spans="1:11" hidden="1">
      <c r="A982" s="64">
        <v>4908</v>
      </c>
      <c r="B982" s="52">
        <v>0.3</v>
      </c>
      <c r="C982" s="161">
        <v>0.56666666666666665</v>
      </c>
      <c r="D982" s="158">
        <v>76666666.666666672</v>
      </c>
      <c r="E982" s="26">
        <f>VLOOKUP(4908,季財報!$A:$H,8,0)</f>
        <v>3</v>
      </c>
      <c r="F982" s="161">
        <v>4.5500000000000028E-3</v>
      </c>
      <c r="G982" s="54">
        <v>1514166666.6666667</v>
      </c>
      <c r="H982" s="54">
        <v>1030015000</v>
      </c>
      <c r="I982" s="65">
        <v>1.4700433165212805</v>
      </c>
      <c r="J982" s="163">
        <v>29.044117647058826</v>
      </c>
    </row>
    <row r="983" spans="1:11" hidden="1">
      <c r="A983" s="64">
        <v>1537</v>
      </c>
      <c r="B983" s="151">
        <v>3.08</v>
      </c>
      <c r="C983" s="160">
        <v>0.82926829268292679</v>
      </c>
      <c r="D983" s="153">
        <v>81493506.493506491</v>
      </c>
      <c r="E983" s="26">
        <f>VLOOKUP(1537,季財報!$A:$H,8,0)</f>
        <v>4</v>
      </c>
      <c r="F983" s="160">
        <v>2.5666666666666654E-3</v>
      </c>
      <c r="G983" s="153">
        <v>10268181818.181818</v>
      </c>
      <c r="H983" s="153">
        <v>6982167000</v>
      </c>
      <c r="I983" s="151">
        <v>1.4706296509639225</v>
      </c>
      <c r="J983" s="153">
        <v>12.332887700534759</v>
      </c>
      <c r="K983" s="32"/>
    </row>
    <row r="984" spans="1:11" hidden="1">
      <c r="A984" s="64">
        <v>4979</v>
      </c>
      <c r="B984" s="52">
        <v>2.46</v>
      </c>
      <c r="C984" s="161">
        <v>0.85172413793103452</v>
      </c>
      <c r="D984" s="158">
        <v>73577235.772357732</v>
      </c>
      <c r="E984" s="26">
        <f>VLOOKUP(4979,季財報!$A:$H,8,0)</f>
        <v>3</v>
      </c>
      <c r="F984" s="161">
        <v>3.8324999999999991E-2</v>
      </c>
      <c r="G984" s="54">
        <v>5886178861.7886181</v>
      </c>
      <c r="H984" s="54">
        <v>4001004000</v>
      </c>
      <c r="I984" s="65">
        <v>1.4711754504091019</v>
      </c>
      <c r="J984" s="163">
        <v>9.5454395839504951</v>
      </c>
    </row>
    <row r="985" spans="1:11" hidden="1">
      <c r="A985" s="64">
        <v>3593</v>
      </c>
      <c r="B985" s="151">
        <v>-0.18</v>
      </c>
      <c r="C985" s="160">
        <v>1</v>
      </c>
      <c r="D985" s="153">
        <v>111111111.11111112</v>
      </c>
      <c r="E985" s="26">
        <f>VLOOKUP(3593,季財報!$A:$H,8,0)</f>
        <v>3</v>
      </c>
      <c r="F985" s="160">
        <v>0.43441666666666667</v>
      </c>
      <c r="G985" s="153">
        <v>863333333.33333337</v>
      </c>
      <c r="H985" s="153">
        <v>586237000</v>
      </c>
      <c r="I985" s="151">
        <v>1.472669472130441</v>
      </c>
      <c r="J985" s="153">
        <v>0</v>
      </c>
    </row>
    <row r="986" spans="1:11" hidden="1">
      <c r="A986" s="64">
        <v>2485</v>
      </c>
      <c r="B986" s="151">
        <v>1.1599999999999999</v>
      </c>
      <c r="C986" s="160">
        <v>0.39462809917355374</v>
      </c>
      <c r="D986" s="153">
        <v>317241379.31034487</v>
      </c>
      <c r="E986" s="26">
        <f>VLOOKUP(2485,季財報!$A:$H,8,0)</f>
        <v>5</v>
      </c>
      <c r="F986" s="160">
        <v>2.7108333333333335E-2</v>
      </c>
      <c r="G986" s="153">
        <v>15005517241.379313</v>
      </c>
      <c r="H986" s="153">
        <v>10168585000</v>
      </c>
      <c r="I986" s="151">
        <v>1.4756740727819371</v>
      </c>
      <c r="J986" s="153">
        <v>25.831828849972919</v>
      </c>
    </row>
    <row r="987" spans="1:11" hidden="1">
      <c r="A987" s="64">
        <v>4952</v>
      </c>
      <c r="B987" s="52">
        <v>1.24</v>
      </c>
      <c r="C987" s="161">
        <v>0.92105263157894735</v>
      </c>
      <c r="D987" s="158">
        <v>108870967.74193549</v>
      </c>
      <c r="E987" s="26">
        <f>VLOOKUP(4952,季財報!$A:$H,8,0)</f>
        <v>3</v>
      </c>
      <c r="F987" s="161">
        <v>4.8916666666666671E-2</v>
      </c>
      <c r="G987" s="54">
        <v>4490927419.3548393</v>
      </c>
      <c r="H987" s="54">
        <v>3038349000</v>
      </c>
      <c r="I987" s="65">
        <v>1.4780814907552882</v>
      </c>
      <c r="J987" s="163">
        <v>9.029377880184331</v>
      </c>
    </row>
    <row r="988" spans="1:11" hidden="1">
      <c r="A988" s="64">
        <v>3454</v>
      </c>
      <c r="B988" s="151">
        <v>2.0499999999999998</v>
      </c>
      <c r="C988" s="160">
        <v>0.83860759493670889</v>
      </c>
      <c r="D988" s="153">
        <v>76585365.853658542</v>
      </c>
      <c r="E988" s="26">
        <f>VLOOKUP(3454,季財報!$A:$H,8,0)</f>
        <v>2</v>
      </c>
      <c r="F988" s="160">
        <v>2.1958333333333333E-2</v>
      </c>
      <c r="G988" s="153">
        <v>5797512195.1219521</v>
      </c>
      <c r="H988" s="153">
        <v>3921429000</v>
      </c>
      <c r="I988" s="151">
        <v>1.4784182488378477</v>
      </c>
      <c r="J988" s="153">
        <v>11.008375517717441</v>
      </c>
    </row>
    <row r="989" spans="1:11" hidden="1">
      <c r="A989" s="64">
        <v>2397</v>
      </c>
      <c r="B989" s="151">
        <v>1.05</v>
      </c>
      <c r="C989" s="160">
        <v>0.77142857142857146</v>
      </c>
      <c r="D989" s="153">
        <v>114285714.28571428</v>
      </c>
      <c r="E989" s="26">
        <f>VLOOKUP(2397,季財報!$A:$H,8,0)</f>
        <v>3</v>
      </c>
      <c r="F989" s="160">
        <v>1.8108333333333327E-2</v>
      </c>
      <c r="G989" s="153">
        <v>4502857142.8571424</v>
      </c>
      <c r="H989" s="153">
        <v>3039948000</v>
      </c>
      <c r="I989" s="151">
        <v>1.4812283443194234</v>
      </c>
      <c r="J989" s="153">
        <v>12.160493827160492</v>
      </c>
    </row>
    <row r="990" spans="1:11" hidden="1">
      <c r="A990" s="64">
        <v>8033</v>
      </c>
      <c r="B990" s="52">
        <v>-0.27</v>
      </c>
      <c r="C990" s="161">
        <v>1</v>
      </c>
      <c r="D990" s="158">
        <v>129629629.62962963</v>
      </c>
      <c r="E990" s="26">
        <f>VLOOKUP(8033,季財報!$A:$H,8,0)</f>
        <v>1</v>
      </c>
      <c r="F990" s="161">
        <v>-9.9499999999999988E-3</v>
      </c>
      <c r="G990" s="54">
        <v>1361111111.1111112</v>
      </c>
      <c r="H990" s="54">
        <v>918367000</v>
      </c>
      <c r="I990" s="65">
        <v>1.4820993253362884</v>
      </c>
      <c r="J990" s="163">
        <v>0</v>
      </c>
    </row>
    <row r="991" spans="1:11" hidden="1">
      <c r="A991" s="64">
        <v>8150</v>
      </c>
      <c r="B991" s="52">
        <v>0.65</v>
      </c>
      <c r="C991" s="161">
        <v>0.83149171270718236</v>
      </c>
      <c r="D991" s="158">
        <v>896923076.92307687</v>
      </c>
      <c r="E991" s="26">
        <f>VLOOKUP(8150,季財報!$A:$H,8,0)</f>
        <v>2</v>
      </c>
      <c r="F991" s="161">
        <v>-1.5133333333333332E-2</v>
      </c>
      <c r="G991" s="54">
        <v>30495384615.384613</v>
      </c>
      <c r="H991" s="54">
        <v>20572002000</v>
      </c>
      <c r="I991" s="65">
        <v>1.4823732087613355</v>
      </c>
      <c r="J991" s="163">
        <v>15.727063634040377</v>
      </c>
    </row>
    <row r="992" spans="1:11" hidden="1">
      <c r="A992" s="64">
        <v>2483</v>
      </c>
      <c r="B992" s="151">
        <v>0.61</v>
      </c>
      <c r="C992" s="160">
        <v>0.21768707482993196</v>
      </c>
      <c r="D992" s="153">
        <v>111475409.83606558</v>
      </c>
      <c r="E992" s="26">
        <f>VLOOKUP(2483,季財報!$A:$H,8,0)</f>
        <v>2</v>
      </c>
      <c r="F992" s="160">
        <v>9.883333333333336E-3</v>
      </c>
      <c r="G992" s="153">
        <v>2296393442.622951</v>
      </c>
      <c r="H992" s="153">
        <v>1542611000</v>
      </c>
      <c r="I992" s="151">
        <v>1.488640650574222</v>
      </c>
      <c r="J992" s="153">
        <v>38.783299180327873</v>
      </c>
    </row>
    <row r="993" spans="1:11" hidden="1">
      <c r="A993" s="64">
        <v>6231</v>
      </c>
      <c r="B993" s="52">
        <v>0.12</v>
      </c>
      <c r="C993" s="161">
        <v>0.43333333333333335</v>
      </c>
      <c r="D993" s="158">
        <v>41666666.666666672</v>
      </c>
      <c r="E993" s="26">
        <f>VLOOKUP(6231,季財報!$A:$H,8,0)</f>
        <v>2</v>
      </c>
      <c r="F993" s="161">
        <v>7.3516666666666688E-2</v>
      </c>
      <c r="G993" s="54">
        <v>1245833333.3333335</v>
      </c>
      <c r="H993" s="54">
        <v>836408000</v>
      </c>
      <c r="I993" s="65">
        <v>1.4895043248430593</v>
      </c>
      <c r="J993" s="163">
        <v>50</v>
      </c>
    </row>
    <row r="994" spans="1:11" hidden="1">
      <c r="A994" s="64">
        <v>3232</v>
      </c>
      <c r="B994" s="151">
        <v>-0.08</v>
      </c>
      <c r="C994" s="160">
        <v>0.5</v>
      </c>
      <c r="D994" s="153">
        <v>37500000</v>
      </c>
      <c r="E994" s="26">
        <f>VLOOKUP(3232,季財報!$A:$H,8,0)</f>
        <v>1</v>
      </c>
      <c r="F994" s="160">
        <v>-1.6091666666666664E-2</v>
      </c>
      <c r="G994" s="153">
        <v>1125000000</v>
      </c>
      <c r="H994" s="153">
        <v>755078000</v>
      </c>
      <c r="I994" s="151">
        <v>1.4899123004510793</v>
      </c>
      <c r="J994" s="153">
        <v>0</v>
      </c>
      <c r="K994" s="32"/>
    </row>
    <row r="995" spans="1:11" hidden="1">
      <c r="A995" s="64">
        <v>5210</v>
      </c>
      <c r="B995" s="52">
        <v>-0.3</v>
      </c>
      <c r="C995" s="161">
        <v>0</v>
      </c>
      <c r="D995" s="158">
        <v>66666666.666666672</v>
      </c>
      <c r="E995" s="26">
        <f>VLOOKUP(5210,季財報!$A:$H,8,0)</f>
        <v>2</v>
      </c>
      <c r="F995" s="161">
        <v>9.1591666666666641E-2</v>
      </c>
      <c r="G995" s="54">
        <v>470000000</v>
      </c>
      <c r="H995" s="54">
        <v>314575000</v>
      </c>
      <c r="I995" s="65">
        <v>1.4940793133592942</v>
      </c>
      <c r="J995" s="163">
        <v>0</v>
      </c>
    </row>
    <row r="996" spans="1:11" hidden="1">
      <c r="A996" s="64">
        <v>2732</v>
      </c>
      <c r="B996" s="151">
        <v>1.7</v>
      </c>
      <c r="C996" s="160">
        <v>0.69863013698630139</v>
      </c>
      <c r="D996" s="153">
        <v>27647058.823529411</v>
      </c>
      <c r="E996" s="26">
        <f>VLOOKUP(2732,季財報!$A:$H,8,0)</f>
        <v>4</v>
      </c>
      <c r="F996" s="160">
        <v>9.3916666666666662E-3</v>
      </c>
      <c r="G996" s="153">
        <v>2449529411.7647057</v>
      </c>
      <c r="H996" s="153">
        <v>1631571000</v>
      </c>
      <c r="I996" s="151">
        <v>1.5013317911170925</v>
      </c>
      <c r="J996" s="153">
        <v>18.649942329873124</v>
      </c>
    </row>
    <row r="997" spans="1:11" hidden="1">
      <c r="A997" s="64">
        <v>3672</v>
      </c>
      <c r="B997" s="151">
        <v>0.98</v>
      </c>
      <c r="C997" s="160">
        <v>0.76470588235294112</v>
      </c>
      <c r="D997" s="153">
        <v>29591836.734693877</v>
      </c>
      <c r="E997" s="26">
        <f>VLOOKUP(3672,季財報!$A:$H,8,0)</f>
        <v>3</v>
      </c>
      <c r="F997" s="160">
        <v>4.9866666666666649E-2</v>
      </c>
      <c r="G997" s="153">
        <v>1272448979.5918367</v>
      </c>
      <c r="H997" s="153">
        <v>842506000</v>
      </c>
      <c r="I997" s="151">
        <v>1.5103144423800385</v>
      </c>
      <c r="J997" s="153">
        <v>14.34458398744113</v>
      </c>
    </row>
    <row r="998" spans="1:11" hidden="1">
      <c r="A998" s="64">
        <v>4304</v>
      </c>
      <c r="B998" s="52">
        <v>-0.38</v>
      </c>
      <c r="C998" s="161">
        <v>1</v>
      </c>
      <c r="D998" s="158">
        <v>52631578.947368421</v>
      </c>
      <c r="E998" s="26">
        <f>VLOOKUP(4304,季財報!$A:$H,8,0)</f>
        <v>0</v>
      </c>
      <c r="F998" s="161">
        <v>1.8724999999999999E-2</v>
      </c>
      <c r="G998" s="54">
        <v>621052631.57894742</v>
      </c>
      <c r="H998" s="54">
        <v>411165000</v>
      </c>
      <c r="I998" s="65">
        <v>1.5104705691849925</v>
      </c>
      <c r="J998" s="163">
        <v>0</v>
      </c>
    </row>
    <row r="999" spans="1:11" hidden="1">
      <c r="A999" s="64">
        <v>9929</v>
      </c>
      <c r="B999" s="52">
        <v>-0.32</v>
      </c>
      <c r="C999" s="161">
        <v>0.83333333333333337</v>
      </c>
      <c r="D999" s="158">
        <v>131250000</v>
      </c>
      <c r="E999" s="26">
        <f>VLOOKUP(9929,季財報!$A:$H,8,0)</f>
        <v>3</v>
      </c>
      <c r="F999" s="161">
        <v>6.6833333333333302E-3</v>
      </c>
      <c r="G999" s="54">
        <v>1719375000</v>
      </c>
      <c r="H999" s="54">
        <v>1131915000</v>
      </c>
      <c r="I999" s="65">
        <v>1.5189965677634805</v>
      </c>
      <c r="J999" s="163">
        <v>0</v>
      </c>
    </row>
    <row r="1000" spans="1:11" hidden="1">
      <c r="A1000" s="64">
        <v>1264</v>
      </c>
      <c r="B1000" s="151">
        <v>3.14</v>
      </c>
      <c r="C1000" s="160">
        <v>1</v>
      </c>
      <c r="D1000" s="153">
        <v>30573248.407643311</v>
      </c>
      <c r="E1000" s="26">
        <f>VLOOKUP(1264,季財報!$A:$H,8,0)</f>
        <v>2</v>
      </c>
      <c r="F1000" s="160">
        <v>2.2249999999999995E-2</v>
      </c>
      <c r="G1000" s="153">
        <v>5839490445.8598728</v>
      </c>
      <c r="H1000" s="153">
        <v>3833927000</v>
      </c>
      <c r="I1000" s="151">
        <v>1.5231094504042129</v>
      </c>
      <c r="J1000" s="153">
        <v>15.20700636942675</v>
      </c>
    </row>
    <row r="1001" spans="1:11" hidden="1">
      <c r="A1001" s="64">
        <v>6261</v>
      </c>
      <c r="B1001" s="52">
        <v>0.8</v>
      </c>
      <c r="C1001" s="161">
        <v>0.94979079497907948</v>
      </c>
      <c r="D1001" s="158">
        <v>127500000</v>
      </c>
      <c r="E1001" s="26">
        <f>VLOOKUP(6261,季財報!$A:$H,8,0)</f>
        <v>1</v>
      </c>
      <c r="F1001" s="161">
        <v>3.400000000000005E-3</v>
      </c>
      <c r="G1001" s="54">
        <v>5686500000</v>
      </c>
      <c r="H1001" s="54">
        <v>3729801000</v>
      </c>
      <c r="I1001" s="65">
        <v>1.5246121709978628</v>
      </c>
      <c r="J1001" s="163">
        <v>14.674284140969162</v>
      </c>
    </row>
    <row r="1002" spans="1:11" hidden="1">
      <c r="A1002" s="64">
        <v>2305</v>
      </c>
      <c r="B1002" s="151">
        <v>-0.14000000000000001</v>
      </c>
      <c r="C1002" s="160">
        <v>1</v>
      </c>
      <c r="D1002" s="153">
        <v>207142857.14285713</v>
      </c>
      <c r="E1002" s="26">
        <f>VLOOKUP(2305,季財報!$A:$H,8,0)</f>
        <v>1</v>
      </c>
      <c r="F1002" s="160">
        <v>7.0666666666666669E-2</v>
      </c>
      <c r="G1002" s="153">
        <v>1251142857.1428571</v>
      </c>
      <c r="H1002" s="153">
        <v>818403000</v>
      </c>
      <c r="I1002" s="151">
        <v>1.5287613280289258</v>
      </c>
      <c r="J1002" s="153">
        <v>0</v>
      </c>
    </row>
    <row r="1003" spans="1:11" hidden="1">
      <c r="A1003" s="64">
        <v>5278</v>
      </c>
      <c r="B1003" s="52">
        <v>-1.64</v>
      </c>
      <c r="C1003" s="161">
        <v>1</v>
      </c>
      <c r="D1003" s="158">
        <v>12195121.951219512</v>
      </c>
      <c r="E1003" s="26">
        <f>VLOOKUP(5278,季財報!$A:$H,8,0)</f>
        <v>2</v>
      </c>
      <c r="F1003" s="161">
        <v>2.355833333333333E-2</v>
      </c>
      <c r="G1003" s="54">
        <v>357317073.17073172</v>
      </c>
      <c r="H1003" s="54">
        <v>233380000</v>
      </c>
      <c r="I1003" s="65">
        <v>1.5310526744825252</v>
      </c>
      <c r="J1003" s="163">
        <v>0</v>
      </c>
    </row>
    <row r="1004" spans="1:11" hidden="1">
      <c r="A1004" s="64">
        <v>6210</v>
      </c>
      <c r="B1004" s="52">
        <v>1.43</v>
      </c>
      <c r="C1004" s="161">
        <v>0.83950617283950613</v>
      </c>
      <c r="D1004" s="158">
        <v>34965034.965034969</v>
      </c>
      <c r="E1004" s="26">
        <f>VLOOKUP(6210,季財報!$A:$H,8,0)</f>
        <v>2</v>
      </c>
      <c r="F1004" s="161">
        <v>-1.810833333333333E-2</v>
      </c>
      <c r="G1004" s="54">
        <v>1550699300.699301</v>
      </c>
      <c r="H1004" s="54">
        <v>1011187000</v>
      </c>
      <c r="I1004" s="65">
        <v>1.533543549016454</v>
      </c>
      <c r="J1004" s="163">
        <v>9.2357825997531897</v>
      </c>
    </row>
    <row r="1005" spans="1:11" hidden="1">
      <c r="A1005" s="64">
        <v>3546</v>
      </c>
      <c r="B1005" s="151">
        <v>0.28000000000000003</v>
      </c>
      <c r="C1005" s="160">
        <v>1</v>
      </c>
      <c r="D1005" s="153">
        <v>32142857.142857138</v>
      </c>
      <c r="E1005" s="26">
        <f>VLOOKUP(3546,季財報!$A:$H,8,0)</f>
        <v>3</v>
      </c>
      <c r="F1005" s="160">
        <v>2.2958333333333331E-2</v>
      </c>
      <c r="G1005" s="153">
        <v>1002857142.8571427</v>
      </c>
      <c r="H1005" s="153">
        <v>653250000</v>
      </c>
      <c r="I1005" s="151">
        <v>1.5351812366737738</v>
      </c>
      <c r="J1005" s="153">
        <v>27.857142857142854</v>
      </c>
    </row>
    <row r="1006" spans="1:11" hidden="1">
      <c r="A1006" s="64">
        <v>2105</v>
      </c>
      <c r="B1006" s="151">
        <v>0.94</v>
      </c>
      <c r="C1006" s="160">
        <v>1</v>
      </c>
      <c r="D1006" s="153">
        <v>3244680851.0638299</v>
      </c>
      <c r="E1006" s="26">
        <f>VLOOKUP(2105,季財報!$A:$H,8,0)</f>
        <v>1</v>
      </c>
      <c r="F1006" s="160">
        <v>4.2999999999999983E-3</v>
      </c>
      <c r="G1006" s="153">
        <v>183000000000</v>
      </c>
      <c r="H1006" s="153">
        <v>118680817000</v>
      </c>
      <c r="I1006" s="151">
        <v>1.5419509624710452</v>
      </c>
      <c r="J1006" s="153">
        <v>15</v>
      </c>
    </row>
    <row r="1007" spans="1:11" hidden="1">
      <c r="A1007" s="64">
        <v>1472</v>
      </c>
      <c r="B1007" s="151">
        <v>-0.16</v>
      </c>
      <c r="C1007" s="160">
        <v>1</v>
      </c>
      <c r="D1007" s="153">
        <v>75000000</v>
      </c>
      <c r="E1007" s="26">
        <f>VLOOKUP(1472,季財報!$A:$H,8,0)</f>
        <v>0</v>
      </c>
      <c r="F1007" s="160">
        <v>-1.0325000000000001E-2</v>
      </c>
      <c r="G1007" s="153">
        <v>1170000000</v>
      </c>
      <c r="H1007" s="153">
        <v>758175000</v>
      </c>
      <c r="I1007" s="151">
        <v>1.5431793451379958</v>
      </c>
      <c r="J1007" s="153">
        <v>0</v>
      </c>
    </row>
    <row r="1008" spans="1:11">
      <c r="A1008" s="64">
        <v>2723</v>
      </c>
      <c r="B1008" s="151">
        <v>2.93</v>
      </c>
      <c r="C1008" s="160">
        <v>1</v>
      </c>
      <c r="D1008" s="153">
        <v>141296928.32764503</v>
      </c>
      <c r="E1008" s="26">
        <f>VLOOKUP(2723,季財報!$A:$H,8,0)</f>
        <v>5</v>
      </c>
      <c r="F1008" s="160">
        <v>1.4650000000000002E-2</v>
      </c>
      <c r="G1008" s="153">
        <v>31014675767.918083</v>
      </c>
      <c r="H1008" s="153">
        <v>20071002000</v>
      </c>
      <c r="I1008" s="151">
        <v>1.545248003458825</v>
      </c>
      <c r="J1008" s="153">
        <v>18.728668941979521</v>
      </c>
    </row>
    <row r="1009" spans="1:10" hidden="1">
      <c r="A1009" s="64">
        <v>8072</v>
      </c>
      <c r="B1009" s="52">
        <v>0.57999999999999996</v>
      </c>
      <c r="C1009" s="161">
        <v>0.26315789473684209</v>
      </c>
      <c r="D1009" s="158">
        <v>100000000</v>
      </c>
      <c r="E1009" s="26">
        <f>VLOOKUP(8072,季財報!$A:$H,8,0)</f>
        <v>2</v>
      </c>
      <c r="F1009" s="161">
        <v>-2.2358333333333338E-2</v>
      </c>
      <c r="G1009" s="54">
        <v>2645000000</v>
      </c>
      <c r="H1009" s="54">
        <v>1707059000</v>
      </c>
      <c r="I1009" s="65">
        <v>1.5494484959219337</v>
      </c>
      <c r="J1009" s="163">
        <v>43.323275862068968</v>
      </c>
    </row>
    <row r="1010" spans="1:10" hidden="1">
      <c r="A1010" s="64">
        <v>4138</v>
      </c>
      <c r="B1010" s="52">
        <v>1.08</v>
      </c>
      <c r="C1010" s="161">
        <v>0.88235294117647056</v>
      </c>
      <c r="D1010" s="158">
        <v>29629629.629629627</v>
      </c>
      <c r="E1010" s="26">
        <f>VLOOKUP(4138,季財報!$A:$H,8,0)</f>
        <v>3</v>
      </c>
      <c r="F1010" s="161">
        <v>1.5658333333333337E-2</v>
      </c>
      <c r="G1010" s="54">
        <v>2050370370.3703701</v>
      </c>
      <c r="H1010" s="54">
        <v>1315221000</v>
      </c>
      <c r="I1010" s="65">
        <v>1.5589550124050409</v>
      </c>
      <c r="J1010" s="163">
        <v>18.154320987654319</v>
      </c>
    </row>
    <row r="1011" spans="1:10" hidden="1">
      <c r="A1011" s="64">
        <v>2063</v>
      </c>
      <c r="B1011" s="151">
        <v>0.68</v>
      </c>
      <c r="C1011" s="160">
        <v>0.8</v>
      </c>
      <c r="D1011" s="153">
        <v>42647058.823529407</v>
      </c>
      <c r="E1011" s="26">
        <f>VLOOKUP(2063,季財報!$A:$H,8,0)</f>
        <v>2</v>
      </c>
      <c r="F1011" s="160">
        <v>6.8941666666666665E-2</v>
      </c>
      <c r="G1011" s="153">
        <v>1019264705.8823528</v>
      </c>
      <c r="H1011" s="153">
        <v>653348000</v>
      </c>
      <c r="I1011" s="151">
        <v>1.5600640177705494</v>
      </c>
      <c r="J1011" s="153">
        <v>10.98345588235294</v>
      </c>
    </row>
    <row r="1012" spans="1:10" hidden="1">
      <c r="A1012" s="64">
        <v>4984</v>
      </c>
      <c r="B1012" s="52">
        <v>1.49</v>
      </c>
      <c r="C1012" s="161">
        <v>0.75862068965517238</v>
      </c>
      <c r="D1012" s="158">
        <v>45637583.892617449</v>
      </c>
      <c r="E1012" s="26">
        <f>VLOOKUP(4984,季財報!$A:$H,8,0)</f>
        <v>4</v>
      </c>
      <c r="F1012" s="161">
        <v>3.1083333333333334E-2</v>
      </c>
      <c r="G1012" s="54">
        <v>1871140939.5973153</v>
      </c>
      <c r="H1012" s="54">
        <v>1198763000</v>
      </c>
      <c r="I1012" s="65">
        <v>1.5608931370064936</v>
      </c>
      <c r="J1012" s="163">
        <v>9.0680292861500913</v>
      </c>
    </row>
    <row r="1013" spans="1:10" hidden="1">
      <c r="A1013" s="64">
        <v>8423</v>
      </c>
      <c r="B1013" s="52">
        <v>0.55000000000000004</v>
      </c>
      <c r="C1013" s="161">
        <v>0.75</v>
      </c>
      <c r="D1013" s="158">
        <v>18181818.18181818</v>
      </c>
      <c r="E1013" s="26">
        <f>VLOOKUP(8423,季財報!$A:$H,8,0)</f>
        <v>3</v>
      </c>
      <c r="F1013" s="161">
        <v>6.3666666666666654E-3</v>
      </c>
      <c r="G1013" s="54">
        <v>443636363.63636357</v>
      </c>
      <c r="H1013" s="54">
        <v>284186000</v>
      </c>
      <c r="I1013" s="65">
        <v>1.5610774761471837</v>
      </c>
      <c r="J1013" s="163">
        <v>14.787878787878785</v>
      </c>
    </row>
    <row r="1014" spans="1:10" hidden="1">
      <c r="A1014" s="64">
        <v>8429</v>
      </c>
      <c r="B1014" s="52">
        <v>1.78</v>
      </c>
      <c r="C1014" s="161">
        <v>1</v>
      </c>
      <c r="D1014" s="158">
        <v>129213483.14606741</v>
      </c>
      <c r="E1014" s="26">
        <f>VLOOKUP(8429,季財報!$A:$H,8,0)</f>
        <v>1</v>
      </c>
      <c r="F1014" s="161">
        <v>4.4350000000000007E-2</v>
      </c>
      <c r="G1014" s="54">
        <v>8980337078.6516857</v>
      </c>
      <c r="H1014" s="54">
        <v>5745938000</v>
      </c>
      <c r="I1014" s="65">
        <v>1.5629018410312965</v>
      </c>
      <c r="J1014" s="163">
        <v>9.7612359550561791</v>
      </c>
    </row>
    <row r="1015" spans="1:10" hidden="1">
      <c r="A1015" s="64">
        <v>9928</v>
      </c>
      <c r="B1015" s="52">
        <v>-0.4</v>
      </c>
      <c r="C1015" s="161">
        <v>1</v>
      </c>
      <c r="D1015" s="158">
        <v>132500000</v>
      </c>
      <c r="E1015" s="26">
        <f>VLOOKUP(9928,季財報!$A:$H,8,0)</f>
        <v>2</v>
      </c>
      <c r="F1015" s="161">
        <v>9.7358333333333311E-2</v>
      </c>
      <c r="G1015" s="54">
        <v>1477375000</v>
      </c>
      <c r="H1015" s="54">
        <v>942000000</v>
      </c>
      <c r="I1015" s="65">
        <v>1.5683386411889597</v>
      </c>
      <c r="J1015" s="163">
        <v>0</v>
      </c>
    </row>
    <row r="1016" spans="1:10" hidden="1">
      <c r="A1016" s="64">
        <v>1303</v>
      </c>
      <c r="B1016" s="151">
        <v>1.27</v>
      </c>
      <c r="C1016" s="160">
        <v>0.23281547381932458</v>
      </c>
      <c r="D1016" s="153">
        <v>7901574803.1496058</v>
      </c>
      <c r="E1016" s="26">
        <f>VLOOKUP(1303,季財報!$A:$H,8,0)</f>
        <v>2</v>
      </c>
      <c r="F1016" s="160">
        <v>-6.3833333333333303E-3</v>
      </c>
      <c r="G1016" s="153">
        <v>488317322834.64563</v>
      </c>
      <c r="H1016" s="153">
        <v>309737591000</v>
      </c>
      <c r="I1016" s="151">
        <v>1.5765516909268067</v>
      </c>
      <c r="J1016" s="153">
        <v>50</v>
      </c>
    </row>
    <row r="1017" spans="1:10" hidden="1">
      <c r="A1017" s="64">
        <v>9949</v>
      </c>
      <c r="B1017" s="52">
        <v>-0.45</v>
      </c>
      <c r="C1017" s="161">
        <v>1</v>
      </c>
      <c r="D1017" s="158">
        <v>48888888.888888888</v>
      </c>
      <c r="E1017" s="26">
        <f>VLOOKUP(9949,季財報!$A:$H,8,0)</f>
        <v>1</v>
      </c>
      <c r="F1017" s="161">
        <v>2.2574999999999994E-2</v>
      </c>
      <c r="G1017" s="54">
        <v>677111111.11111104</v>
      </c>
      <c r="H1017" s="54">
        <v>427211000</v>
      </c>
      <c r="I1017" s="65">
        <v>1.5849571081060905</v>
      </c>
      <c r="J1017" s="163">
        <v>0</v>
      </c>
    </row>
    <row r="1018" spans="1:10" hidden="1">
      <c r="A1018" s="64">
        <v>1233</v>
      </c>
      <c r="B1018" s="151">
        <v>0.48</v>
      </c>
      <c r="C1018" s="160">
        <v>0.7142857142857143</v>
      </c>
      <c r="D1018" s="153">
        <v>89583333.333333343</v>
      </c>
      <c r="E1018" s="26">
        <f>VLOOKUP(1233,季財報!$A:$H,8,0)</f>
        <v>3</v>
      </c>
      <c r="F1018" s="160">
        <v>4.5666666666666677E-3</v>
      </c>
      <c r="G1018" s="153">
        <v>3404166666.666667</v>
      </c>
      <c r="H1018" s="153">
        <v>2140408000</v>
      </c>
      <c r="I1018" s="151">
        <v>1.5904288652755301</v>
      </c>
      <c r="J1018" s="153">
        <v>27.708333333333332</v>
      </c>
    </row>
    <row r="1019" spans="1:10" hidden="1">
      <c r="A1019" s="64">
        <v>1256</v>
      </c>
      <c r="B1019" s="151">
        <v>2.58</v>
      </c>
      <c r="C1019" s="160">
        <v>1</v>
      </c>
      <c r="D1019" s="153">
        <v>27131782.945736434</v>
      </c>
      <c r="E1019" s="26">
        <f>VLOOKUP(1256,季財報!$A:$H,8,0)</f>
        <v>1</v>
      </c>
      <c r="F1019" s="160">
        <v>9.9224999999999966E-2</v>
      </c>
      <c r="G1019" s="153">
        <v>3771317829.4573646</v>
      </c>
      <c r="H1019" s="153">
        <v>2369159000</v>
      </c>
      <c r="I1019" s="151">
        <v>1.591838213246711</v>
      </c>
      <c r="J1019" s="153">
        <v>13.468992248062015</v>
      </c>
    </row>
    <row r="1020" spans="1:10" hidden="1">
      <c r="A1020" s="64">
        <v>8936</v>
      </c>
      <c r="B1020" s="52">
        <v>0.63</v>
      </c>
      <c r="C1020" s="161">
        <v>1</v>
      </c>
      <c r="D1020" s="158">
        <v>187301587.30158731</v>
      </c>
      <c r="E1020" s="26">
        <f>VLOOKUP(8936,季財報!$A:$H,8,0)</f>
        <v>1</v>
      </c>
      <c r="F1020" s="161">
        <v>-2.4275000000000001E-2</v>
      </c>
      <c r="G1020" s="54">
        <v>7267301587.3015871</v>
      </c>
      <c r="H1020" s="54">
        <v>4547656000</v>
      </c>
      <c r="I1020" s="65">
        <v>1.5980323901591473</v>
      </c>
      <c r="J1020" s="163">
        <v>15.396825396825395</v>
      </c>
    </row>
    <row r="1021" spans="1:10" hidden="1">
      <c r="A1021" s="64">
        <v>5533</v>
      </c>
      <c r="B1021" s="52">
        <v>0.34</v>
      </c>
      <c r="C1021" s="161">
        <v>1</v>
      </c>
      <c r="D1021" s="158">
        <v>267647058.82352939</v>
      </c>
      <c r="E1021" s="26">
        <f>VLOOKUP(5533,季財報!$A:$H,8,0)</f>
        <v>1</v>
      </c>
      <c r="F1021" s="161">
        <v>0.82044166666666685</v>
      </c>
      <c r="G1021" s="54">
        <v>4536617647.0588226</v>
      </c>
      <c r="H1021" s="54">
        <v>2838119000</v>
      </c>
      <c r="I1021" s="65">
        <v>1.5984592778029472</v>
      </c>
      <c r="J1021" s="163">
        <v>12.463235294117645</v>
      </c>
    </row>
    <row r="1022" spans="1:10" hidden="1">
      <c r="A1022" s="64">
        <v>3665</v>
      </c>
      <c r="B1022" s="151">
        <v>2.27</v>
      </c>
      <c r="C1022" s="160">
        <v>0.72148541114058351</v>
      </c>
      <c r="D1022" s="153">
        <v>91629955.947136566</v>
      </c>
      <c r="E1022" s="26">
        <f>VLOOKUP(3665,季財報!$A:$H,8,0)</f>
        <v>3</v>
      </c>
      <c r="F1022" s="160">
        <v>1.4474999999999997E-2</v>
      </c>
      <c r="G1022" s="153">
        <v>12965638766.519825</v>
      </c>
      <c r="H1022" s="153">
        <v>8101673000</v>
      </c>
      <c r="I1022" s="151">
        <v>1.6003655993669239</v>
      </c>
      <c r="J1022" s="153">
        <v>21.599467154703291</v>
      </c>
    </row>
    <row r="1023" spans="1:10" hidden="1">
      <c r="A1023" s="64">
        <v>8048</v>
      </c>
      <c r="B1023" s="52">
        <v>1.49</v>
      </c>
      <c r="C1023" s="161">
        <v>0.80314960629921262</v>
      </c>
      <c r="D1023" s="158">
        <v>51677852.348993286</v>
      </c>
      <c r="E1023" s="26">
        <f>VLOOKUP(8048,季財報!$A:$H,8,0)</f>
        <v>5</v>
      </c>
      <c r="F1023" s="161">
        <v>2.2683333333333344E-2</v>
      </c>
      <c r="G1023" s="54">
        <v>2477953020.1342282</v>
      </c>
      <c r="H1023" s="54">
        <v>1547483000</v>
      </c>
      <c r="I1023" s="65">
        <v>1.6012796393461048</v>
      </c>
      <c r="J1023" s="163">
        <v>10.017189761810764</v>
      </c>
    </row>
    <row r="1024" spans="1:10" hidden="1">
      <c r="A1024" s="64">
        <v>2612</v>
      </c>
      <c r="B1024" s="151">
        <v>0.39</v>
      </c>
      <c r="C1024" s="160">
        <v>1</v>
      </c>
      <c r="D1024" s="153">
        <v>258974358.97435898</v>
      </c>
      <c r="E1024" s="26">
        <f>VLOOKUP(2612,季財報!$A:$H,8,0)</f>
        <v>4</v>
      </c>
      <c r="F1024" s="160">
        <v>-1.174999999999999E-3</v>
      </c>
      <c r="G1024" s="153">
        <v>5451410256.4102564</v>
      </c>
      <c r="H1024" s="153">
        <v>3402437000</v>
      </c>
      <c r="I1024" s="151">
        <v>1.6022075519429915</v>
      </c>
      <c r="J1024" s="153">
        <v>13.493589743589743</v>
      </c>
    </row>
    <row r="1025" spans="1:10" hidden="1">
      <c r="A1025" s="64">
        <v>2729</v>
      </c>
      <c r="B1025" s="151">
        <v>3.13</v>
      </c>
      <c r="C1025" s="160">
        <v>0.95512820512820518</v>
      </c>
      <c r="D1025" s="153">
        <v>23322683.706070289</v>
      </c>
      <c r="E1025" s="26">
        <f>VLOOKUP(2729,季財報!$A:$H,8,0)</f>
        <v>2</v>
      </c>
      <c r="F1025" s="160">
        <v>2.7516666666666662E-2</v>
      </c>
      <c r="G1025" s="153">
        <v>5375878594.2492018</v>
      </c>
      <c r="H1025" s="153">
        <v>3354823000</v>
      </c>
      <c r="I1025" s="151">
        <v>1.6024328539088952</v>
      </c>
      <c r="J1025" s="153">
        <v>19.275467976070502</v>
      </c>
    </row>
    <row r="1026" spans="1:10" hidden="1">
      <c r="A1026" s="64">
        <v>4530</v>
      </c>
      <c r="B1026" s="52">
        <v>0.09</v>
      </c>
      <c r="C1026" s="161">
        <v>0.9285714285714286</v>
      </c>
      <c r="D1026" s="158">
        <v>22222222.222222224</v>
      </c>
      <c r="E1026" s="26">
        <f>VLOOKUP(4530,季財報!$A:$H,8,0)</f>
        <v>3</v>
      </c>
      <c r="F1026" s="161">
        <v>-2.8233333333333333E-2</v>
      </c>
      <c r="G1026" s="54">
        <v>105555555.55555557</v>
      </c>
      <c r="H1026" s="54">
        <v>65759000</v>
      </c>
      <c r="I1026" s="65">
        <v>1.6051879675109957</v>
      </c>
      <c r="J1026" s="163">
        <v>14.209401709401709</v>
      </c>
    </row>
    <row r="1027" spans="1:10" hidden="1">
      <c r="A1027" s="64">
        <v>4999</v>
      </c>
      <c r="B1027" s="52">
        <v>2.06</v>
      </c>
      <c r="C1027" s="161">
        <v>0.76328502415458932</v>
      </c>
      <c r="D1027" s="158">
        <v>74271844.660194173</v>
      </c>
      <c r="E1027" s="26">
        <f>VLOOKUP(4999,季財報!$A:$H,8,0)</f>
        <v>4</v>
      </c>
      <c r="F1027" s="161">
        <v>1.2375000000000002E-2</v>
      </c>
      <c r="G1027" s="54">
        <v>3483349514.5631065</v>
      </c>
      <c r="H1027" s="54">
        <v>2163562000</v>
      </c>
      <c r="I1027" s="65">
        <v>1.6100067918382308</v>
      </c>
      <c r="J1027" s="163">
        <v>7.4569097947646563</v>
      </c>
    </row>
    <row r="1028" spans="1:10" hidden="1">
      <c r="A1028" s="64">
        <v>1315</v>
      </c>
      <c r="B1028" s="151">
        <v>0.96</v>
      </c>
      <c r="C1028" s="160">
        <v>0.11483253588516747</v>
      </c>
      <c r="D1028" s="153">
        <v>190625000</v>
      </c>
      <c r="E1028" s="26">
        <f>VLOOKUP(1315,季財報!$A:$H,8,0)</f>
        <v>4</v>
      </c>
      <c r="F1028" s="160">
        <v>5.8333333333333382E-4</v>
      </c>
      <c r="G1028" s="153">
        <v>4508281250</v>
      </c>
      <c r="H1028" s="153">
        <v>2788786000</v>
      </c>
      <c r="I1028" s="151">
        <v>1.6165748286171833</v>
      </c>
      <c r="J1028" s="153">
        <v>50</v>
      </c>
    </row>
    <row r="1029" spans="1:10" hidden="1">
      <c r="A1029" s="64">
        <v>3558</v>
      </c>
      <c r="B1029" s="151">
        <v>5.14</v>
      </c>
      <c r="C1029" s="160">
        <v>0.7321428571428571</v>
      </c>
      <c r="D1029" s="153">
        <v>49027237.354085609</v>
      </c>
      <c r="E1029" s="26">
        <f>VLOOKUP(3558,季財報!$A:$H,8,0)</f>
        <v>6</v>
      </c>
      <c r="F1029" s="160">
        <v>2.0858333333333329E-2</v>
      </c>
      <c r="G1029" s="153">
        <v>12281322957.198444</v>
      </c>
      <c r="H1029" s="153">
        <v>7591896000</v>
      </c>
      <c r="I1029" s="151">
        <v>1.6176885138045154</v>
      </c>
      <c r="J1029" s="153">
        <v>16.641359020594098</v>
      </c>
    </row>
    <row r="1030" spans="1:10" hidden="1">
      <c r="A1030" s="64">
        <v>6217</v>
      </c>
      <c r="B1030" s="52">
        <v>1.39</v>
      </c>
      <c r="C1030" s="161">
        <v>0.70175438596491224</v>
      </c>
      <c r="D1030" s="158">
        <v>58273381.29496403</v>
      </c>
      <c r="E1030" s="26">
        <f>VLOOKUP(6217,季財報!$A:$H,8,0)</f>
        <v>5</v>
      </c>
      <c r="F1030" s="161">
        <v>4.3008333333333322E-2</v>
      </c>
      <c r="G1030" s="54">
        <v>2779640287.7697845</v>
      </c>
      <c r="H1030" s="54">
        <v>1712611000</v>
      </c>
      <c r="I1030" s="65">
        <v>1.6230424117150857</v>
      </c>
      <c r="J1030" s="163">
        <v>12.225269784172664</v>
      </c>
    </row>
    <row r="1031" spans="1:10" hidden="1">
      <c r="A1031" s="64">
        <v>4103</v>
      </c>
      <c r="B1031" s="52">
        <v>2.8</v>
      </c>
      <c r="C1031" s="161">
        <v>0.78328981723237601</v>
      </c>
      <c r="D1031" s="158">
        <v>110000000</v>
      </c>
      <c r="E1031" s="26">
        <f>VLOOKUP(4103,季財報!$A:$H,8,0)</f>
        <v>3</v>
      </c>
      <c r="F1031" s="161">
        <v>4.7550000000000002E-2</v>
      </c>
      <c r="G1031" s="54">
        <v>10010000000</v>
      </c>
      <c r="H1031" s="54">
        <v>6132340000</v>
      </c>
      <c r="I1031" s="65">
        <v>1.6323295838130305</v>
      </c>
      <c r="J1031" s="163">
        <v>10.372916666666667</v>
      </c>
    </row>
    <row r="1032" spans="1:10" hidden="1">
      <c r="A1032" s="64">
        <v>3617</v>
      </c>
      <c r="B1032" s="151">
        <v>3.66</v>
      </c>
      <c r="C1032" s="160">
        <v>0.7220902612826603</v>
      </c>
      <c r="D1032" s="153">
        <v>80874316.939890712</v>
      </c>
      <c r="E1032" s="26">
        <f>VLOOKUP(3617,季財報!$A:$H,8,0)</f>
        <v>3</v>
      </c>
      <c r="F1032" s="160">
        <v>3.7475000000000001E-2</v>
      </c>
      <c r="G1032" s="153">
        <v>10028415300.546448</v>
      </c>
      <c r="H1032" s="153">
        <v>6106651000</v>
      </c>
      <c r="I1032" s="151">
        <v>1.6422119588210375</v>
      </c>
      <c r="J1032" s="153">
        <v>11.729759850445788</v>
      </c>
    </row>
    <row r="1033" spans="1:10" hidden="1">
      <c r="A1033" s="64">
        <v>4536</v>
      </c>
      <c r="B1033" s="52">
        <v>2.67</v>
      </c>
      <c r="C1033" s="161">
        <v>0.50855745721271395</v>
      </c>
      <c r="D1033" s="158">
        <v>90636704.119850188</v>
      </c>
      <c r="E1033" s="26">
        <f>VLOOKUP(4536,季財報!$A:$H,8,0)</f>
        <v>5</v>
      </c>
      <c r="F1033" s="161">
        <v>2.4233333333333332E-2</v>
      </c>
      <c r="G1033" s="54">
        <v>11238951310.861423</v>
      </c>
      <c r="H1033" s="54">
        <v>6797124000</v>
      </c>
      <c r="I1033" s="65">
        <v>1.6534862849142407</v>
      </c>
      <c r="J1033" s="163">
        <v>22.830236243157589</v>
      </c>
    </row>
    <row r="1034" spans="1:10" hidden="1">
      <c r="A1034" s="64">
        <v>1597</v>
      </c>
      <c r="B1034" s="151">
        <v>0.78</v>
      </c>
      <c r="C1034" s="160">
        <v>0.66666666666666663</v>
      </c>
      <c r="D1034" s="153">
        <v>56410256.410256408</v>
      </c>
      <c r="E1034" s="26">
        <f>VLOOKUP(1597,季財報!$A:$H,8,0)</f>
        <v>3</v>
      </c>
      <c r="F1034" s="160">
        <v>1.2108333333333334E-2</v>
      </c>
      <c r="G1034" s="153">
        <v>1664102564.1025641</v>
      </c>
      <c r="H1034" s="153">
        <v>1006346000</v>
      </c>
      <c r="I1034" s="151">
        <v>1.6536087628932437</v>
      </c>
      <c r="J1034" s="153">
        <v>14.182692307692307</v>
      </c>
    </row>
    <row r="1035" spans="1:10" hidden="1">
      <c r="A1035" s="64">
        <v>8424</v>
      </c>
      <c r="B1035" s="52">
        <v>0.96</v>
      </c>
      <c r="C1035" s="161">
        <v>0.87323943661971826</v>
      </c>
      <c r="D1035" s="158">
        <v>36458333.333333336</v>
      </c>
      <c r="E1035" s="26">
        <f>VLOOKUP(8424,季財報!$A:$H,8,0)</f>
        <v>1</v>
      </c>
      <c r="F1035" s="161">
        <v>1.61E-2</v>
      </c>
      <c r="G1035" s="54">
        <v>1403645833.3333335</v>
      </c>
      <c r="H1035" s="54">
        <v>847744000</v>
      </c>
      <c r="I1035" s="65">
        <v>1.6557425748024563</v>
      </c>
      <c r="J1035" s="163">
        <v>11.481434811827958</v>
      </c>
    </row>
    <row r="1036" spans="1:10" hidden="1">
      <c r="A1036" s="64">
        <v>4106</v>
      </c>
      <c r="B1036" s="52">
        <v>0.2</v>
      </c>
      <c r="C1036" s="161">
        <v>0.87692307692307692</v>
      </c>
      <c r="D1036" s="158">
        <v>80000000</v>
      </c>
      <c r="E1036" s="26">
        <f>VLOOKUP(4106,季財報!$A:$H,8,0)</f>
        <v>1</v>
      </c>
      <c r="F1036" s="161">
        <v>1.2566666666666663E-2</v>
      </c>
      <c r="G1036" s="54">
        <v>3372000000</v>
      </c>
      <c r="H1036" s="54">
        <v>2034122000</v>
      </c>
      <c r="I1036" s="65">
        <v>1.6577176786839727</v>
      </c>
      <c r="J1036" s="163">
        <v>50</v>
      </c>
    </row>
    <row r="1037" spans="1:10" hidden="1">
      <c r="A1037" s="64">
        <v>4541</v>
      </c>
      <c r="B1037" s="52">
        <v>0.37</v>
      </c>
      <c r="C1037" s="161">
        <v>0.72222222222222221</v>
      </c>
      <c r="D1037" s="158">
        <v>54054054.054054052</v>
      </c>
      <c r="E1037" s="26">
        <f>VLOOKUP(4541,季財報!$A:$H,8,0)</f>
        <v>2</v>
      </c>
      <c r="F1037" s="161">
        <v>1.6966666666666668E-2</v>
      </c>
      <c r="G1037" s="54">
        <v>1745945945.9459457</v>
      </c>
      <c r="H1037" s="54">
        <v>1049837000</v>
      </c>
      <c r="I1037" s="65">
        <v>1.6630638336674606</v>
      </c>
      <c r="J1037" s="163">
        <v>30.218295218295218</v>
      </c>
    </row>
    <row r="1038" spans="1:10" hidden="1">
      <c r="A1038" s="64">
        <v>8906</v>
      </c>
      <c r="B1038" s="52">
        <v>-0.02</v>
      </c>
      <c r="C1038" s="161">
        <v>1</v>
      </c>
      <c r="D1038" s="158">
        <v>50000000</v>
      </c>
      <c r="E1038" s="26">
        <f>VLOOKUP(8906,季財報!$A:$H,8,0)</f>
        <v>2</v>
      </c>
      <c r="F1038" s="161">
        <v>6.3124999999999987E-2</v>
      </c>
      <c r="G1038" s="54">
        <v>350500000</v>
      </c>
      <c r="H1038" s="54">
        <v>210133000</v>
      </c>
      <c r="I1038" s="65">
        <v>1.667991224605369</v>
      </c>
      <c r="J1038" s="163">
        <v>0</v>
      </c>
    </row>
    <row r="1039" spans="1:10" hidden="1">
      <c r="A1039" s="64">
        <v>2325</v>
      </c>
      <c r="B1039" s="151">
        <v>0.86</v>
      </c>
      <c r="C1039" s="160">
        <v>0.86491586727472869</v>
      </c>
      <c r="D1039" s="153">
        <v>3118604651.1627908</v>
      </c>
      <c r="E1039" s="26">
        <f>VLOOKUP(2325,季財報!$A:$H,8,0)</f>
        <v>1</v>
      </c>
      <c r="F1039" s="160">
        <v>-1.4833333333333341E-3</v>
      </c>
      <c r="G1039" s="153">
        <v>139089767441.86047</v>
      </c>
      <c r="H1039" s="153">
        <v>83190005000</v>
      </c>
      <c r="I1039" s="151">
        <v>1.6719528679179725</v>
      </c>
      <c r="J1039" s="153">
        <v>14.990031712473574</v>
      </c>
    </row>
    <row r="1040" spans="1:10" hidden="1">
      <c r="A1040" s="64">
        <v>6257</v>
      </c>
      <c r="B1040" s="52">
        <v>0.59</v>
      </c>
      <c r="C1040" s="161">
        <v>0.90322580645161288</v>
      </c>
      <c r="D1040" s="158">
        <v>361016949.15254241</v>
      </c>
      <c r="E1040" s="26">
        <f>VLOOKUP(6257,季財報!$A:$H,8,0)</f>
        <v>2</v>
      </c>
      <c r="F1040" s="161">
        <v>-7.9166666666666502E-4</v>
      </c>
      <c r="G1040" s="54">
        <v>8429745762.7118654</v>
      </c>
      <c r="H1040" s="54">
        <v>5037755000</v>
      </c>
      <c r="I1040" s="65">
        <v>1.6733139588391786</v>
      </c>
      <c r="J1040" s="163">
        <v>10.954146489104119</v>
      </c>
    </row>
    <row r="1041" spans="1:10" hidden="1">
      <c r="A1041" s="64">
        <v>5230</v>
      </c>
      <c r="B1041" s="52">
        <v>0.72</v>
      </c>
      <c r="C1041" s="161">
        <v>1</v>
      </c>
      <c r="D1041" s="158">
        <v>47222222.222222224</v>
      </c>
      <c r="E1041" s="26">
        <f>VLOOKUP(5230,季財報!$A:$H,8,0)</f>
        <v>3</v>
      </c>
      <c r="F1041" s="161">
        <v>4.5966666666666663E-2</v>
      </c>
      <c r="G1041" s="54">
        <v>2361111111.1111112</v>
      </c>
      <c r="H1041" s="54">
        <v>1410112000</v>
      </c>
      <c r="I1041" s="65">
        <v>1.6744138842241689</v>
      </c>
      <c r="J1041" s="163">
        <v>17.361111111111111</v>
      </c>
    </row>
    <row r="1042" spans="1:10" hidden="1">
      <c r="A1042" s="64">
        <v>6128</v>
      </c>
      <c r="B1042" s="52">
        <v>1</v>
      </c>
      <c r="C1042" s="161">
        <v>0.92121212121212126</v>
      </c>
      <c r="D1042" s="158">
        <v>91000000</v>
      </c>
      <c r="E1042" s="26">
        <f>VLOOKUP(6128,季財報!$A:$H,8,0)</f>
        <v>3</v>
      </c>
      <c r="F1042" s="161">
        <v>1.653333333333333E-2</v>
      </c>
      <c r="G1042" s="54">
        <v>3212299999.9999995</v>
      </c>
      <c r="H1042" s="54">
        <v>1912208000</v>
      </c>
      <c r="I1042" s="65">
        <v>1.6798904721662076</v>
      </c>
      <c r="J1042" s="163">
        <v>9.5797697368421044</v>
      </c>
    </row>
    <row r="1043" spans="1:10" hidden="1">
      <c r="A1043" s="64">
        <v>3016</v>
      </c>
      <c r="B1043" s="151">
        <v>0.26</v>
      </c>
      <c r="C1043" s="160">
        <v>0.30303030303030304</v>
      </c>
      <c r="D1043" s="153">
        <v>92307692.307692304</v>
      </c>
      <c r="E1043" s="26">
        <f>VLOOKUP(3016,季財報!$A:$H,8,0)</f>
        <v>2</v>
      </c>
      <c r="F1043" s="160">
        <v>-2.4308333333333335E-2</v>
      </c>
      <c r="G1043" s="153">
        <v>1393846153.8461537</v>
      </c>
      <c r="H1043" s="153">
        <v>827106000</v>
      </c>
      <c r="I1043" s="151">
        <v>1.6852086115276079</v>
      </c>
      <c r="J1043" s="153">
        <v>47.913461538461533</v>
      </c>
    </row>
    <row r="1044" spans="1:10" hidden="1">
      <c r="A1044" s="64">
        <v>4995</v>
      </c>
      <c r="B1044" s="52">
        <v>0.75</v>
      </c>
      <c r="C1044" s="161">
        <v>0.76923076923076927</v>
      </c>
      <c r="D1044" s="158">
        <v>34666666.666666664</v>
      </c>
      <c r="E1044" s="26">
        <f>VLOOKUP(4995,季財報!$A:$H,8,0)</f>
        <v>2</v>
      </c>
      <c r="F1044" s="161">
        <v>8.891666666666664E-3</v>
      </c>
      <c r="G1044" s="54">
        <v>1372800000</v>
      </c>
      <c r="H1044" s="54">
        <v>813586000</v>
      </c>
      <c r="I1044" s="65">
        <v>1.6873446691560572</v>
      </c>
      <c r="J1044" s="163">
        <v>17.16</v>
      </c>
    </row>
    <row r="1045" spans="1:10" hidden="1">
      <c r="A1045" s="64">
        <v>2637</v>
      </c>
      <c r="B1045" s="151">
        <v>1.43</v>
      </c>
      <c r="C1045" s="160">
        <v>0.94871794871794868</v>
      </c>
      <c r="D1045" s="153">
        <v>507692307.69230771</v>
      </c>
      <c r="E1045" s="26">
        <f>VLOOKUP(2637,季財報!$A:$H,8,0)</f>
        <v>6</v>
      </c>
      <c r="F1045" s="160">
        <v>1.8116666666666666E-2</v>
      </c>
      <c r="G1045" s="153">
        <v>18175384615.384613</v>
      </c>
      <c r="H1045" s="153">
        <v>10733367000</v>
      </c>
      <c r="I1045" s="151">
        <v>1.6933535036475147</v>
      </c>
      <c r="J1045" s="153">
        <v>6.5970515970515979</v>
      </c>
    </row>
    <row r="1046" spans="1:10" hidden="1">
      <c r="A1046" s="64">
        <v>8931</v>
      </c>
      <c r="B1046" s="52">
        <v>0.3</v>
      </c>
      <c r="C1046" s="161">
        <v>1</v>
      </c>
      <c r="D1046" s="158">
        <v>113333333.33333334</v>
      </c>
      <c r="E1046" s="26">
        <f>VLOOKUP(8931,季財報!$A:$H,8,0)</f>
        <v>4</v>
      </c>
      <c r="F1046" s="161">
        <v>1.4750000000000017E-3</v>
      </c>
      <c r="G1046" s="54">
        <v>2306333333.3333335</v>
      </c>
      <c r="H1046" s="54">
        <v>1355655000</v>
      </c>
      <c r="I1046" s="65">
        <v>1.7012686364401957</v>
      </c>
      <c r="J1046" s="163">
        <v>16.958333333333336</v>
      </c>
    </row>
    <row r="1047" spans="1:10" hidden="1">
      <c r="A1047" s="64">
        <v>1452</v>
      </c>
      <c r="B1047" s="151">
        <v>0.69</v>
      </c>
      <c r="C1047" s="160">
        <v>0.31578947368421051</v>
      </c>
      <c r="D1047" s="153">
        <v>131884057.9710145</v>
      </c>
      <c r="E1047" s="26">
        <f>VLOOKUP(1452,季財報!$A:$H,8,0)</f>
        <v>2</v>
      </c>
      <c r="F1047" s="160">
        <v>-9.6583333333333365E-3</v>
      </c>
      <c r="G1047" s="153">
        <v>3521304347.826087</v>
      </c>
      <c r="H1047" s="153">
        <v>2067873000</v>
      </c>
      <c r="I1047" s="151">
        <v>1.7028629649045599</v>
      </c>
      <c r="J1047" s="153">
        <v>30.634057971014496</v>
      </c>
    </row>
    <row r="1048" spans="1:10" hidden="1">
      <c r="A1048" s="64">
        <v>3559</v>
      </c>
      <c r="B1048" s="151">
        <v>0.65</v>
      </c>
      <c r="C1048" s="160">
        <v>0.93877551020408168</v>
      </c>
      <c r="D1048" s="153">
        <v>120000000</v>
      </c>
      <c r="E1048" s="26">
        <f>VLOOKUP(3559,季財報!$A:$H,8,0)</f>
        <v>3</v>
      </c>
      <c r="F1048" s="160">
        <v>3.0833333333333325E-3</v>
      </c>
      <c r="G1048" s="153">
        <v>2622000000</v>
      </c>
      <c r="H1048" s="153">
        <v>1523547000</v>
      </c>
      <c r="I1048" s="151">
        <v>1.7209839932735911</v>
      </c>
      <c r="J1048" s="153">
        <v>8.9519230769230766</v>
      </c>
    </row>
    <row r="1049" spans="1:10" hidden="1">
      <c r="A1049" s="64">
        <v>6271</v>
      </c>
      <c r="B1049" s="52">
        <v>2.44</v>
      </c>
      <c r="C1049" s="161">
        <v>0.88487972508591062</v>
      </c>
      <c r="D1049" s="158">
        <v>162704918.03278688</v>
      </c>
      <c r="E1049" s="26">
        <f>VLOOKUP(6271,季財報!$A:$H,8,0)</f>
        <v>2</v>
      </c>
      <c r="F1049" s="161">
        <v>-2.1583333333333294E-3</v>
      </c>
      <c r="G1049" s="54">
        <v>13309262295.081966</v>
      </c>
      <c r="H1049" s="54">
        <v>7722971000</v>
      </c>
      <c r="I1049" s="65">
        <v>1.7233344907137378</v>
      </c>
      <c r="J1049" s="163">
        <v>9.4715104249562305</v>
      </c>
    </row>
    <row r="1050" spans="1:10" hidden="1">
      <c r="A1050" s="64">
        <v>1533</v>
      </c>
      <c r="B1050" s="151">
        <v>0.79</v>
      </c>
      <c r="C1050" s="160">
        <v>0.50495049504950495</v>
      </c>
      <c r="D1050" s="153">
        <v>94936708.860759497</v>
      </c>
      <c r="E1050" s="26">
        <f>VLOOKUP(1533,季財報!$A:$H,8,0)</f>
        <v>3</v>
      </c>
      <c r="F1050" s="160">
        <v>5.7166666666666694E-3</v>
      </c>
      <c r="G1050" s="153">
        <v>4281645569.6202536</v>
      </c>
      <c r="H1050" s="153">
        <v>2480711000</v>
      </c>
      <c r="I1050" s="151">
        <v>1.725975161806536</v>
      </c>
      <c r="J1050" s="153">
        <v>28.264457681806899</v>
      </c>
    </row>
    <row r="1051" spans="1:10" hidden="1">
      <c r="A1051" s="64">
        <v>6277</v>
      </c>
      <c r="B1051" s="52">
        <v>1.62</v>
      </c>
      <c r="C1051" s="161">
        <v>0.88484848484848488</v>
      </c>
      <c r="D1051" s="158">
        <v>119753086.41975307</v>
      </c>
      <c r="E1051" s="26">
        <f>VLOOKUP(6277,季財報!$A:$H,8,0)</f>
        <v>2</v>
      </c>
      <c r="F1051" s="161">
        <v>3.4000000000000024E-3</v>
      </c>
      <c r="G1051" s="54">
        <v>8466543209.876543</v>
      </c>
      <c r="H1051" s="54">
        <v>4892349000</v>
      </c>
      <c r="I1051" s="65">
        <v>1.7305681197062073</v>
      </c>
      <c r="J1051" s="163">
        <v>12.330352612886859</v>
      </c>
    </row>
    <row r="1052" spans="1:10" hidden="1">
      <c r="A1052" s="64">
        <v>5471</v>
      </c>
      <c r="B1052" s="52">
        <v>0.67</v>
      </c>
      <c r="C1052" s="161">
        <v>0.78367346938775506</v>
      </c>
      <c r="D1052" s="158">
        <v>167164179.10447761</v>
      </c>
      <c r="E1052" s="26">
        <f>VLOOKUP(5471,季財報!$A:$H,8,0)</f>
        <v>1</v>
      </c>
      <c r="F1052" s="161">
        <v>1.8441666666666669E-2</v>
      </c>
      <c r="G1052" s="54">
        <v>5742089552.2388067</v>
      </c>
      <c r="H1052" s="54">
        <v>3314835000</v>
      </c>
      <c r="I1052" s="65">
        <v>1.7322399311696681</v>
      </c>
      <c r="J1052" s="163">
        <v>16.355235541044774</v>
      </c>
    </row>
    <row r="1053" spans="1:10" hidden="1">
      <c r="A1053" s="64">
        <v>4432</v>
      </c>
      <c r="B1053" s="52">
        <v>2.16</v>
      </c>
      <c r="C1053" s="161">
        <v>0.65306122448979587</v>
      </c>
      <c r="D1053" s="158">
        <v>50462962.962962963</v>
      </c>
      <c r="E1053" s="26">
        <f>VLOOKUP(4432,季財報!$A:$H,8,0)</f>
        <v>3</v>
      </c>
      <c r="F1053" s="161">
        <v>2.3091666666666653E-2</v>
      </c>
      <c r="G1053" s="54">
        <v>4122824074.0740743</v>
      </c>
      <c r="H1053" s="54">
        <v>2378873000</v>
      </c>
      <c r="I1053" s="65">
        <v>1.7330996963999652</v>
      </c>
      <c r="J1053" s="163">
        <v>14.479528356481481</v>
      </c>
    </row>
    <row r="1054" spans="1:10" hidden="1">
      <c r="A1054" s="64">
        <v>6417</v>
      </c>
      <c r="B1054" s="52">
        <v>1.04</v>
      </c>
      <c r="C1054" s="161">
        <v>0.78846153846153844</v>
      </c>
      <c r="D1054" s="158">
        <v>31730769.230769228</v>
      </c>
      <c r="E1054" s="26">
        <f>VLOOKUP(6417,季財報!$A:$H,8,0)</f>
        <v>3</v>
      </c>
      <c r="F1054" s="161">
        <v>2.7716666666666671E-2</v>
      </c>
      <c r="G1054" s="54">
        <v>1643653846.153846</v>
      </c>
      <c r="H1054" s="54">
        <v>945301000</v>
      </c>
      <c r="I1054" s="65">
        <v>1.7387624112889397</v>
      </c>
      <c r="J1054" s="163">
        <v>15.792682926829269</v>
      </c>
    </row>
    <row r="1055" spans="1:10" hidden="1">
      <c r="A1055" s="64">
        <v>3128</v>
      </c>
      <c r="B1055" s="151">
        <v>-0.01</v>
      </c>
      <c r="C1055" s="160">
        <v>1</v>
      </c>
      <c r="D1055" s="153">
        <v>100000000</v>
      </c>
      <c r="E1055" s="26">
        <f>VLOOKUP(3128,季財報!$A:$H,8,0)</f>
        <v>2</v>
      </c>
      <c r="F1055" s="160">
        <v>3.3950000000000001E-2</v>
      </c>
      <c r="G1055" s="153">
        <v>1270000000</v>
      </c>
      <c r="H1055" s="153">
        <v>727183000</v>
      </c>
      <c r="I1055" s="151">
        <v>1.7464654701773832</v>
      </c>
      <c r="J1055" s="153">
        <v>0</v>
      </c>
    </row>
    <row r="1056" spans="1:10" hidden="1">
      <c r="A1056" s="64">
        <v>3498</v>
      </c>
      <c r="B1056" s="151">
        <v>2.8</v>
      </c>
      <c r="C1056" s="160">
        <v>1</v>
      </c>
      <c r="D1056" s="153">
        <v>76785714.285714284</v>
      </c>
      <c r="E1056" s="26">
        <f>VLOOKUP(3498,季財報!$A:$H,8,0)</f>
        <v>4</v>
      </c>
      <c r="F1056" s="160">
        <v>6.4766666666666681E-2</v>
      </c>
      <c r="G1056" s="153">
        <v>5543928571.4285717</v>
      </c>
      <c r="H1056" s="153">
        <v>3170253000</v>
      </c>
      <c r="I1056" s="151">
        <v>1.7487337986679838</v>
      </c>
      <c r="J1056" s="153">
        <v>6.4464285714285721</v>
      </c>
    </row>
    <row r="1057" spans="1:10" hidden="1">
      <c r="A1057" s="64">
        <v>2008</v>
      </c>
      <c r="B1057" s="151">
        <v>-0.28000000000000003</v>
      </c>
      <c r="C1057" s="160">
        <v>0.95867768595041325</v>
      </c>
      <c r="D1057" s="153">
        <v>275000000</v>
      </c>
      <c r="E1057" s="26">
        <f>VLOOKUP(2008,季財報!$A:$H,8,0)</f>
        <v>1</v>
      </c>
      <c r="F1057" s="160">
        <v>-4.4141666666666669E-2</v>
      </c>
      <c r="G1057" s="153">
        <v>2367750000</v>
      </c>
      <c r="H1057" s="153">
        <v>1353617000</v>
      </c>
      <c r="I1057" s="151">
        <v>1.7492023223703603</v>
      </c>
      <c r="J1057" s="153">
        <v>0</v>
      </c>
    </row>
    <row r="1058" spans="1:10" hidden="1">
      <c r="A1058" s="64">
        <v>4144</v>
      </c>
      <c r="B1058" s="52">
        <v>0.85</v>
      </c>
      <c r="C1058" s="161">
        <v>0.75342465753424659</v>
      </c>
      <c r="D1058" s="158">
        <v>77647058.823529407</v>
      </c>
      <c r="E1058" s="26">
        <f>VLOOKUP(4144,季財報!$A:$H,8,0)</f>
        <v>3</v>
      </c>
      <c r="F1058" s="161">
        <v>5.1991666666666665E-2</v>
      </c>
      <c r="G1058" s="54">
        <v>4666588235.2941179</v>
      </c>
      <c r="H1058" s="54">
        <v>2667208000</v>
      </c>
      <c r="I1058" s="65">
        <v>1.7496154163057842</v>
      </c>
      <c r="J1058" s="163">
        <v>23.461497326203208</v>
      </c>
    </row>
    <row r="1059" spans="1:10" hidden="1">
      <c r="A1059" s="64">
        <v>3218</v>
      </c>
      <c r="B1059" s="151">
        <v>0.37</v>
      </c>
      <c r="C1059" s="160">
        <v>0.66666666666666663</v>
      </c>
      <c r="D1059" s="153">
        <v>67567567.567567572</v>
      </c>
      <c r="E1059" s="26">
        <f>VLOOKUP(3218,季財報!$A:$H,8,0)</f>
        <v>4</v>
      </c>
      <c r="F1059" s="160">
        <v>4.2416666666666662E-3</v>
      </c>
      <c r="G1059" s="153">
        <v>1773648648.6486487</v>
      </c>
      <c r="H1059" s="153">
        <v>1012832000</v>
      </c>
      <c r="I1059" s="151">
        <v>1.7511775384749384</v>
      </c>
      <c r="J1059" s="153">
        <v>26.604729729729733</v>
      </c>
    </row>
    <row r="1060" spans="1:10" hidden="1">
      <c r="A1060" s="64">
        <v>1325</v>
      </c>
      <c r="B1060" s="151">
        <v>0.36</v>
      </c>
      <c r="C1060" s="160">
        <v>0.56603773584905659</v>
      </c>
      <c r="D1060" s="153">
        <v>100000000</v>
      </c>
      <c r="E1060" s="26">
        <f>VLOOKUP(1325,季財報!$A:$H,8,0)</f>
        <v>3</v>
      </c>
      <c r="F1060" s="160">
        <v>1.400000000000003E-3</v>
      </c>
      <c r="G1060" s="153">
        <v>2075000000</v>
      </c>
      <c r="H1060" s="153">
        <v>1180347000</v>
      </c>
      <c r="I1060" s="151">
        <v>1.75795761754806</v>
      </c>
      <c r="J1060" s="153">
        <v>25.457175925925927</v>
      </c>
    </row>
    <row r="1061" spans="1:10" hidden="1">
      <c r="A1061" s="64">
        <v>4111</v>
      </c>
      <c r="B1061" s="52">
        <v>0.32</v>
      </c>
      <c r="C1061" s="161">
        <v>0.83870967741935487</v>
      </c>
      <c r="D1061" s="158">
        <v>56250000</v>
      </c>
      <c r="E1061" s="26">
        <f>VLOOKUP(4111,季財報!$A:$H,8,0)</f>
        <v>3</v>
      </c>
      <c r="F1061" s="161">
        <v>7.8833333333333342E-3</v>
      </c>
      <c r="G1061" s="54">
        <v>1608750000</v>
      </c>
      <c r="H1061" s="54">
        <v>914476000</v>
      </c>
      <c r="I1061" s="65">
        <v>1.7592041781304266</v>
      </c>
      <c r="J1061" s="163">
        <v>26.640624999999996</v>
      </c>
    </row>
    <row r="1062" spans="1:10" hidden="1">
      <c r="A1062" s="64">
        <v>6104</v>
      </c>
      <c r="B1062" s="52">
        <v>0.72</v>
      </c>
      <c r="C1062" s="161">
        <v>0.87931034482758619</v>
      </c>
      <c r="D1062" s="158">
        <v>88888888.888888896</v>
      </c>
      <c r="E1062" s="26">
        <f>VLOOKUP(6104,季財報!$A:$H,8,0)</f>
        <v>2</v>
      </c>
      <c r="F1062" s="161">
        <v>-1.4575000000000003E-2</v>
      </c>
      <c r="G1062" s="54">
        <v>3288888888.8888893</v>
      </c>
      <c r="H1062" s="54">
        <v>1868776000</v>
      </c>
      <c r="I1062" s="65">
        <v>1.7599160567606227</v>
      </c>
      <c r="J1062" s="163">
        <v>14.610566448801743</v>
      </c>
    </row>
    <row r="1063" spans="1:10" hidden="1">
      <c r="A1063" s="64">
        <v>8024</v>
      </c>
      <c r="B1063" s="52">
        <v>0.01</v>
      </c>
      <c r="C1063" s="161">
        <v>0</v>
      </c>
      <c r="D1063" s="158">
        <v>100000000</v>
      </c>
      <c r="E1063" s="26">
        <f>VLOOKUP(8024,季財報!$A:$H,8,0)</f>
        <v>1</v>
      </c>
      <c r="F1063" s="161">
        <v>1.5741666666666664E-2</v>
      </c>
      <c r="G1063" s="54">
        <v>1095000000</v>
      </c>
      <c r="H1063" s="54">
        <v>618655000</v>
      </c>
      <c r="I1063" s="65">
        <v>1.7699687224705207</v>
      </c>
      <c r="J1063" s="163">
        <v>0</v>
      </c>
    </row>
    <row r="1064" spans="1:10" hidden="1">
      <c r="A1064" s="64">
        <v>6488</v>
      </c>
      <c r="B1064" s="52">
        <v>1.69</v>
      </c>
      <c r="C1064" s="161">
        <v>0.89059674502712483</v>
      </c>
      <c r="D1064" s="158">
        <v>351479289.94082844</v>
      </c>
      <c r="E1064" s="26">
        <f>VLOOKUP(6488,季財報!$A:$H,8,0)</f>
        <v>2</v>
      </c>
      <c r="F1064" s="161">
        <v>-7.7083333333333335E-3</v>
      </c>
      <c r="G1064" s="54">
        <v>27802011834.319527</v>
      </c>
      <c r="H1064" s="54">
        <v>15672012000</v>
      </c>
      <c r="I1064" s="65">
        <v>1.7739912293532909</v>
      </c>
      <c r="J1064" s="163">
        <v>13.138587691106236</v>
      </c>
    </row>
    <row r="1065" spans="1:10" hidden="1">
      <c r="A1065" s="64">
        <v>8261</v>
      </c>
      <c r="B1065" s="52">
        <v>0.33</v>
      </c>
      <c r="C1065" s="161">
        <v>0.72727272727272729</v>
      </c>
      <c r="D1065" s="158">
        <v>96969696.969696969</v>
      </c>
      <c r="E1065" s="26">
        <f>VLOOKUP(8261,季財報!$A:$H,8,0)</f>
        <v>3</v>
      </c>
      <c r="F1065" s="161">
        <v>-2.4941666666666668E-2</v>
      </c>
      <c r="G1065" s="54">
        <v>2928484848.4848485</v>
      </c>
      <c r="H1065" s="54">
        <v>1650617000</v>
      </c>
      <c r="I1065" s="65">
        <v>1.7741758678632586</v>
      </c>
      <c r="J1065" s="163">
        <v>31.458333333333329</v>
      </c>
    </row>
    <row r="1066" spans="1:10" hidden="1">
      <c r="A1066" s="64">
        <v>2641</v>
      </c>
      <c r="B1066" s="151">
        <v>0.02</v>
      </c>
      <c r="C1066" s="160">
        <v>1</v>
      </c>
      <c r="D1066" s="153">
        <v>150000000</v>
      </c>
      <c r="E1066" s="26">
        <f>VLOOKUP(2641,季財報!$A:$H,8,0)</f>
        <v>2</v>
      </c>
      <c r="F1066" s="160">
        <v>2.2150000000000003E-2</v>
      </c>
      <c r="G1066" s="153">
        <v>1350000000</v>
      </c>
      <c r="H1066" s="153">
        <v>759191000</v>
      </c>
      <c r="I1066" s="151">
        <v>1.7782086457821549</v>
      </c>
      <c r="J1066" s="153">
        <v>50</v>
      </c>
    </row>
    <row r="1067" spans="1:10" hidden="1">
      <c r="A1067" s="64">
        <v>3086</v>
      </c>
      <c r="B1067" s="151">
        <v>-0.51</v>
      </c>
      <c r="C1067" s="160">
        <v>0.91803278688524592</v>
      </c>
      <c r="D1067" s="153">
        <v>58823529.411764704</v>
      </c>
      <c r="E1067" s="26">
        <f>VLOOKUP(3086,季財報!$A:$H,8,0)</f>
        <v>3</v>
      </c>
      <c r="F1067" s="160">
        <v>5.150833333333333E-2</v>
      </c>
      <c r="G1067" s="153">
        <v>741176470.58823526</v>
      </c>
      <c r="H1067" s="153">
        <v>416140000</v>
      </c>
      <c r="I1067" s="151">
        <v>1.7810748079690375</v>
      </c>
      <c r="J1067" s="153">
        <v>0</v>
      </c>
    </row>
    <row r="1068" spans="1:10" hidden="1">
      <c r="A1068" s="64">
        <v>5301</v>
      </c>
      <c r="B1068" s="52">
        <v>-0.23</v>
      </c>
      <c r="C1068" s="161">
        <v>0.16666666666666666</v>
      </c>
      <c r="D1068" s="158">
        <v>100000000</v>
      </c>
      <c r="E1068" s="26">
        <f>VLOOKUP(5301,季財報!$A:$H,8,0)</f>
        <v>0</v>
      </c>
      <c r="F1068" s="161">
        <v>2.7591666666666671E-2</v>
      </c>
      <c r="G1068" s="54">
        <v>4090000000</v>
      </c>
      <c r="H1068" s="54">
        <v>2294347000</v>
      </c>
      <c r="I1068" s="65">
        <v>1.7826422942998597</v>
      </c>
      <c r="J1068" s="163">
        <v>0</v>
      </c>
    </row>
    <row r="1069" spans="1:10" hidden="1">
      <c r="A1069" s="64">
        <v>2929</v>
      </c>
      <c r="B1069" s="151">
        <v>2.67</v>
      </c>
      <c r="C1069" s="160">
        <v>0.84750733137829914</v>
      </c>
      <c r="D1069" s="153">
        <v>58052434.456928842</v>
      </c>
      <c r="E1069" s="26">
        <f>VLOOKUP(2929,季財報!$A:$H,8,0)</f>
        <v>1</v>
      </c>
      <c r="F1069" s="160">
        <v>0.16702499999999998</v>
      </c>
      <c r="G1069" s="153">
        <v>9404494382.0224724</v>
      </c>
      <c r="H1069" s="153">
        <v>5267308000</v>
      </c>
      <c r="I1069" s="151">
        <v>1.785446072647066</v>
      </c>
      <c r="J1069" s="153">
        <v>17.897826678589482</v>
      </c>
    </row>
    <row r="1070" spans="1:10" hidden="1">
      <c r="A1070" s="64">
        <v>8222</v>
      </c>
      <c r="B1070" s="52">
        <v>0.44</v>
      </c>
      <c r="C1070" s="161">
        <v>0.70588235294117652</v>
      </c>
      <c r="D1070" s="158">
        <v>68181818.181818187</v>
      </c>
      <c r="E1070" s="26">
        <f>VLOOKUP(8222,季財報!$A:$H,8,0)</f>
        <v>3</v>
      </c>
      <c r="F1070" s="161">
        <v>3.2391666666666673E-2</v>
      </c>
      <c r="G1070" s="54">
        <v>1564772727.2727273</v>
      </c>
      <c r="H1070" s="54">
        <v>872656000</v>
      </c>
      <c r="I1070" s="65">
        <v>1.7931151877403322</v>
      </c>
      <c r="J1070" s="163">
        <v>18.473011363636363</v>
      </c>
    </row>
    <row r="1071" spans="1:10" hidden="1">
      <c r="A1071" s="64">
        <v>1308</v>
      </c>
      <c r="B1071" s="151">
        <v>0.21</v>
      </c>
      <c r="C1071" s="160">
        <v>0.55633802816901412</v>
      </c>
      <c r="D1071" s="153">
        <v>495238095.23809528</v>
      </c>
      <c r="E1071" s="26">
        <f>VLOOKUP(1308,季財報!$A:$H,8,0)</f>
        <v>1</v>
      </c>
      <c r="F1071" s="160">
        <v>1.2541666666666665E-2</v>
      </c>
      <c r="G1071" s="153">
        <v>8864761904.7619057</v>
      </c>
      <c r="H1071" s="153">
        <v>4942352000</v>
      </c>
      <c r="I1071" s="151">
        <v>1.7936322432643215</v>
      </c>
      <c r="J1071" s="153">
        <v>38.303194695599757</v>
      </c>
    </row>
    <row r="1072" spans="1:10" hidden="1">
      <c r="A1072" s="64">
        <v>3686</v>
      </c>
      <c r="B1072" s="151">
        <v>-0.32</v>
      </c>
      <c r="C1072" s="160">
        <v>1</v>
      </c>
      <c r="D1072" s="153">
        <v>353125000</v>
      </c>
      <c r="E1072" s="26">
        <f>VLOOKUP(3686,季財報!$A:$H,8,0)</f>
        <v>2</v>
      </c>
      <c r="F1072" s="160">
        <v>-4.1583333333333342E-3</v>
      </c>
      <c r="G1072" s="153">
        <v>2888562500</v>
      </c>
      <c r="H1072" s="153">
        <v>1608080000</v>
      </c>
      <c r="I1072" s="151">
        <v>1.7962803467489179</v>
      </c>
      <c r="J1072" s="153">
        <v>0</v>
      </c>
    </row>
    <row r="1073" spans="1:10" hidden="1">
      <c r="A1073" s="64">
        <v>1475</v>
      </c>
      <c r="B1073" s="151">
        <v>-0.16</v>
      </c>
      <c r="C1073" s="160">
        <v>0.82608695652173914</v>
      </c>
      <c r="D1073" s="153">
        <v>50000000</v>
      </c>
      <c r="E1073" s="26">
        <f>VLOOKUP(1475,季財報!$A:$H,8,0)</f>
        <v>1</v>
      </c>
      <c r="F1073" s="160">
        <v>2.3183333333333334E-2</v>
      </c>
      <c r="G1073" s="153">
        <v>409500000</v>
      </c>
      <c r="H1073" s="153">
        <v>227890000</v>
      </c>
      <c r="I1073" s="151">
        <v>1.7969195664575015</v>
      </c>
      <c r="J1073" s="153">
        <v>0</v>
      </c>
    </row>
    <row r="1074" spans="1:10" hidden="1">
      <c r="A1074" s="64">
        <v>4987</v>
      </c>
      <c r="B1074" s="52">
        <v>2.94</v>
      </c>
      <c r="C1074" s="161">
        <v>0.79487179487179482</v>
      </c>
      <c r="D1074" s="158">
        <v>25170068.027210884</v>
      </c>
      <c r="E1074" s="26">
        <f>VLOOKUP(4987,季財報!$A:$H,8,0)</f>
        <v>2</v>
      </c>
      <c r="F1074" s="161">
        <v>-9.6833333333333303E-3</v>
      </c>
      <c r="G1074" s="54">
        <v>2079047619.0476189</v>
      </c>
      <c r="H1074" s="54">
        <v>1150878000</v>
      </c>
      <c r="I1074" s="65">
        <v>1.8064882802934967</v>
      </c>
      <c r="J1074" s="163">
        <v>8.8364055299539164</v>
      </c>
    </row>
    <row r="1075" spans="1:10" hidden="1">
      <c r="A1075" s="64">
        <v>9930</v>
      </c>
      <c r="B1075" s="52">
        <v>0.95</v>
      </c>
      <c r="C1075" s="161">
        <v>0.96912114014251782</v>
      </c>
      <c r="D1075" s="158">
        <v>225263157.89473686</v>
      </c>
      <c r="E1075" s="26">
        <f>VLOOKUP(9930,季財報!$A:$H,8,0)</f>
        <v>3</v>
      </c>
      <c r="F1075" s="161">
        <v>2.3441666666666663E-2</v>
      </c>
      <c r="G1075" s="54">
        <v>13853684210.526318</v>
      </c>
      <c r="H1075" s="54">
        <v>7646504000</v>
      </c>
      <c r="I1075" s="65">
        <v>1.8117670782002229</v>
      </c>
      <c r="J1075" s="163">
        <v>16.699883900928793</v>
      </c>
    </row>
    <row r="1076" spans="1:10" hidden="1">
      <c r="A1076" s="64">
        <v>3264</v>
      </c>
      <c r="B1076" s="151">
        <v>0.66</v>
      </c>
      <c r="C1076" s="160">
        <v>0.93798449612403101</v>
      </c>
      <c r="D1076" s="153">
        <v>463636363.63636363</v>
      </c>
      <c r="E1076" s="26">
        <f>VLOOKUP(3264,季財報!$A:$H,8,0)</f>
        <v>4</v>
      </c>
      <c r="F1076" s="160">
        <v>-8.4416666666666616E-3</v>
      </c>
      <c r="G1076" s="153">
        <v>11034545454.545454</v>
      </c>
      <c r="H1076" s="153">
        <v>6080322000</v>
      </c>
      <c r="I1076" s="151">
        <v>1.8147962319340085</v>
      </c>
      <c r="J1076" s="153">
        <v>9.6111945905334331</v>
      </c>
    </row>
    <row r="1077" spans="1:10" hidden="1">
      <c r="A1077" s="64">
        <v>6166</v>
      </c>
      <c r="B1077" s="52">
        <v>0.78</v>
      </c>
      <c r="C1077" s="161">
        <v>0.90342679127725856</v>
      </c>
      <c r="D1077" s="158">
        <v>201282051.28205127</v>
      </c>
      <c r="E1077" s="26">
        <f>VLOOKUP(6166,季財報!$A:$H,8,0)</f>
        <v>2</v>
      </c>
      <c r="F1077" s="161">
        <v>1.1191666666666664E-2</v>
      </c>
      <c r="G1077" s="54">
        <v>16364230769.230768</v>
      </c>
      <c r="H1077" s="54">
        <v>9010111000</v>
      </c>
      <c r="I1077" s="65">
        <v>1.8162074550725034</v>
      </c>
      <c r="J1077" s="163">
        <v>28.843169761273209</v>
      </c>
    </row>
    <row r="1078" spans="1:10" hidden="1">
      <c r="A1078" s="64">
        <v>3265</v>
      </c>
      <c r="B1078" s="151">
        <v>-0.89</v>
      </c>
      <c r="C1078" s="160">
        <v>0.73611111111111116</v>
      </c>
      <c r="D1078" s="153">
        <v>135955056.17977527</v>
      </c>
      <c r="E1078" s="26">
        <f>VLOOKUP(3265,季財報!$A:$H,8,0)</f>
        <v>4</v>
      </c>
      <c r="F1078" s="160">
        <v>1.5291666666666657E-2</v>
      </c>
      <c r="G1078" s="153">
        <v>3065786516.8539324</v>
      </c>
      <c r="H1078" s="153">
        <v>1685088000</v>
      </c>
      <c r="I1078" s="151">
        <v>1.8193628563338724</v>
      </c>
      <c r="J1078" s="153">
        <v>0</v>
      </c>
    </row>
    <row r="1079" spans="1:10" hidden="1">
      <c r="A1079" s="64">
        <v>4977</v>
      </c>
      <c r="B1079" s="52">
        <v>1.26</v>
      </c>
      <c r="C1079" s="161">
        <v>0.79487179487179482</v>
      </c>
      <c r="D1079" s="158">
        <v>52380952.380952381</v>
      </c>
      <c r="E1079" s="26">
        <f>VLOOKUP(4977,季財報!$A:$H,8,0)</f>
        <v>4</v>
      </c>
      <c r="F1079" s="161">
        <v>1.3775000000000001E-2</v>
      </c>
      <c r="G1079" s="54">
        <v>3169047619.0476189</v>
      </c>
      <c r="H1079" s="54">
        <v>1741695000</v>
      </c>
      <c r="I1079" s="65">
        <v>1.8195192723453986</v>
      </c>
      <c r="J1079" s="163">
        <v>15.101766513056836</v>
      </c>
    </row>
    <row r="1080" spans="1:10" hidden="1">
      <c r="A1080" s="64">
        <v>2617</v>
      </c>
      <c r="B1080" s="151">
        <v>0.13</v>
      </c>
      <c r="C1080" s="160">
        <v>0.73684210526315785</v>
      </c>
      <c r="D1080" s="153">
        <v>400000000</v>
      </c>
      <c r="E1080" s="26">
        <f>VLOOKUP(2617,季財報!$A:$H,8,0)</f>
        <v>3</v>
      </c>
      <c r="F1080" s="160">
        <v>-1.1666666666666665E-3</v>
      </c>
      <c r="G1080" s="153">
        <v>5000000000</v>
      </c>
      <c r="H1080" s="153">
        <v>2740787000</v>
      </c>
      <c r="I1080" s="151">
        <v>1.8242935332077976</v>
      </c>
      <c r="J1080" s="153">
        <v>32.623626373626372</v>
      </c>
    </row>
    <row r="1081" spans="1:10" hidden="1">
      <c r="A1081" s="64">
        <v>3130</v>
      </c>
      <c r="B1081" s="151">
        <v>2.4900000000000002</v>
      </c>
      <c r="C1081" s="160">
        <v>0.93617021276595747</v>
      </c>
      <c r="D1081" s="153">
        <v>32931726.907630518</v>
      </c>
      <c r="E1081" s="26">
        <f>VLOOKUP(3130,季財報!$A:$H,8,0)</f>
        <v>2</v>
      </c>
      <c r="F1081" s="160">
        <v>2.6500000000000009E-3</v>
      </c>
      <c r="G1081" s="153">
        <v>4692771084.3373489</v>
      </c>
      <c r="H1081" s="153">
        <v>2567959000</v>
      </c>
      <c r="I1081" s="151">
        <v>1.8274322465184798</v>
      </c>
      <c r="J1081" s="153">
        <v>15.282721796276011</v>
      </c>
    </row>
    <row r="1082" spans="1:10" hidden="1">
      <c r="A1082" s="64">
        <v>3615</v>
      </c>
      <c r="B1082" s="151">
        <v>0.45</v>
      </c>
      <c r="C1082" s="160">
        <v>0</v>
      </c>
      <c r="D1082" s="153">
        <v>71111111.111111104</v>
      </c>
      <c r="E1082" s="26">
        <f>VLOOKUP(3615,季財報!$A:$H,8,0)</f>
        <v>4</v>
      </c>
      <c r="F1082" s="160">
        <v>-1.701666666666667E-2</v>
      </c>
      <c r="G1082" s="153">
        <v>1336888888.8888888</v>
      </c>
      <c r="H1082" s="153">
        <v>731359000</v>
      </c>
      <c r="I1082" s="151">
        <v>1.827951647397364</v>
      </c>
      <c r="J1082" s="153">
        <v>0</v>
      </c>
    </row>
    <row r="1083" spans="1:10" hidden="1">
      <c r="A1083" s="64">
        <v>1316</v>
      </c>
      <c r="B1083" s="151">
        <v>-0.19</v>
      </c>
      <c r="C1083" s="160">
        <v>1</v>
      </c>
      <c r="D1083" s="153">
        <v>157894736.84210527</v>
      </c>
      <c r="E1083" s="26">
        <f>VLOOKUP(1316,季財報!$A:$H,8,0)</f>
        <v>1</v>
      </c>
      <c r="F1083" s="160">
        <v>4.968333333333335E-2</v>
      </c>
      <c r="G1083" s="153">
        <v>1602631578.9473686</v>
      </c>
      <c r="H1083" s="153">
        <v>876689000</v>
      </c>
      <c r="I1083" s="151">
        <v>1.8280502880124749</v>
      </c>
      <c r="J1083" s="153">
        <v>0</v>
      </c>
    </row>
    <row r="1084" spans="1:10" hidden="1">
      <c r="A1084" s="64">
        <v>1423</v>
      </c>
      <c r="B1084" s="151">
        <v>-0.1</v>
      </c>
      <c r="C1084" s="160">
        <v>0</v>
      </c>
      <c r="D1084" s="153">
        <v>170000000</v>
      </c>
      <c r="E1084" s="26">
        <f>VLOOKUP(1423,季財報!$A:$H,8,0)</f>
        <v>1</v>
      </c>
      <c r="F1084" s="160">
        <v>4.3258333333333343E-2</v>
      </c>
      <c r="G1084" s="153">
        <v>1215500000</v>
      </c>
      <c r="H1084" s="153">
        <v>663585000</v>
      </c>
      <c r="I1084" s="151">
        <v>1.8317171123518463</v>
      </c>
      <c r="J1084" s="153">
        <v>0</v>
      </c>
    </row>
    <row r="1085" spans="1:10" hidden="1">
      <c r="A1085" s="64">
        <v>3050</v>
      </c>
      <c r="B1085" s="151">
        <v>0.14000000000000001</v>
      </c>
      <c r="C1085" s="160">
        <v>1.3157894736842105E-2</v>
      </c>
      <c r="D1085" s="153">
        <v>171428571.4285714</v>
      </c>
      <c r="E1085" s="26">
        <f>VLOOKUP(3050,季財報!$A:$H,8,0)</f>
        <v>2</v>
      </c>
      <c r="F1085" s="160">
        <v>8.5333333333333355E-3</v>
      </c>
      <c r="G1085" s="153">
        <v>1688571428.5714283</v>
      </c>
      <c r="H1085" s="153">
        <v>920291000</v>
      </c>
      <c r="I1085" s="151">
        <v>1.8348233641005163</v>
      </c>
      <c r="J1085" s="153">
        <v>50</v>
      </c>
    </row>
    <row r="1086" spans="1:10" hidden="1">
      <c r="A1086" s="64">
        <v>5871</v>
      </c>
      <c r="B1086" s="52">
        <v>1.52</v>
      </c>
      <c r="C1086" s="161">
        <v>0.81942425123582441</v>
      </c>
      <c r="D1086" s="158">
        <v>1139473684.2105262</v>
      </c>
      <c r="E1086" s="26">
        <f>VLOOKUP(5871,季財報!$A:$H,8,0)</f>
        <v>4</v>
      </c>
      <c r="F1086" s="161">
        <v>9.233333333333333E-3</v>
      </c>
      <c r="G1086" s="54">
        <v>65861578947.368416</v>
      </c>
      <c r="H1086" s="54">
        <v>35820021000</v>
      </c>
      <c r="I1086" s="65">
        <v>1.8386806347033804</v>
      </c>
      <c r="J1086" s="163">
        <v>11.601534776437187</v>
      </c>
    </row>
    <row r="1087" spans="1:10" hidden="1">
      <c r="A1087" s="64">
        <v>5266</v>
      </c>
      <c r="B1087" s="52">
        <v>2.06</v>
      </c>
      <c r="C1087" s="161">
        <v>1</v>
      </c>
      <c r="D1087" s="158">
        <v>32038834.951456308</v>
      </c>
      <c r="E1087" s="26">
        <f>VLOOKUP(5266,季財報!$A:$H,8,0)</f>
        <v>3</v>
      </c>
      <c r="F1087" s="161">
        <v>1.313333333333333E-2</v>
      </c>
      <c r="G1087" s="54">
        <v>1992815533.9805825</v>
      </c>
      <c r="H1087" s="54">
        <v>1083301000</v>
      </c>
      <c r="I1087" s="65">
        <v>1.8395769356629252</v>
      </c>
      <c r="J1087" s="163">
        <v>7.5485436893203888</v>
      </c>
    </row>
    <row r="1088" spans="1:10" hidden="1">
      <c r="A1088" s="64">
        <v>8996</v>
      </c>
      <c r="B1088" s="52">
        <v>0.31</v>
      </c>
      <c r="C1088" s="161">
        <v>0.55813953488372092</v>
      </c>
      <c r="D1088" s="158">
        <v>90322580.645161286</v>
      </c>
      <c r="E1088" s="26">
        <f>VLOOKUP(8996,季財報!$A:$H,8,0)</f>
        <v>1</v>
      </c>
      <c r="F1088" s="161">
        <v>1.3258333333333336E-2</v>
      </c>
      <c r="G1088" s="54">
        <v>3856774193.5483871</v>
      </c>
      <c r="H1088" s="54">
        <v>2094677000</v>
      </c>
      <c r="I1088" s="65">
        <v>1.841226209839697</v>
      </c>
      <c r="J1088" s="163">
        <v>50</v>
      </c>
    </row>
    <row r="1089" spans="1:10" hidden="1">
      <c r="A1089" s="64">
        <v>3577</v>
      </c>
      <c r="B1089" s="151">
        <v>0.54</v>
      </c>
      <c r="C1089" s="160">
        <v>0.95121951219512191</v>
      </c>
      <c r="D1089" s="153">
        <v>42592592.59259259</v>
      </c>
      <c r="E1089" s="26">
        <f>VLOOKUP(3577,季財報!$A:$H,8,0)</f>
        <v>2</v>
      </c>
      <c r="F1089" s="160">
        <v>2.7883333333333329E-2</v>
      </c>
      <c r="G1089" s="153">
        <v>1341666666.6666665</v>
      </c>
      <c r="H1089" s="153">
        <v>725415000</v>
      </c>
      <c r="I1089" s="151">
        <v>1.8495160241608823</v>
      </c>
      <c r="J1089" s="153">
        <v>15.331196581196581</v>
      </c>
    </row>
    <row r="1090" spans="1:10" hidden="1">
      <c r="A1090" s="64">
        <v>3141</v>
      </c>
      <c r="B1090" s="151">
        <v>0.28999999999999998</v>
      </c>
      <c r="C1090" s="160">
        <v>0.625</v>
      </c>
      <c r="D1090" s="153">
        <v>103448275.86206897</v>
      </c>
      <c r="E1090" s="26">
        <f>VLOOKUP(3141,季財報!$A:$H,8,0)</f>
        <v>2</v>
      </c>
      <c r="F1090" s="160">
        <v>4.1600000000000005E-2</v>
      </c>
      <c r="G1090" s="153">
        <v>1965517241.3793104</v>
      </c>
      <c r="H1090" s="153">
        <v>1058698000</v>
      </c>
      <c r="I1090" s="151">
        <v>1.8565419424418581</v>
      </c>
      <c r="J1090" s="153">
        <v>26.206896551724139</v>
      </c>
    </row>
    <row r="1091" spans="1:10" hidden="1">
      <c r="A1091" s="64">
        <v>3450</v>
      </c>
      <c r="B1091" s="151">
        <v>3.57</v>
      </c>
      <c r="C1091" s="160">
        <v>0.86454849498327757</v>
      </c>
      <c r="D1091" s="153">
        <v>91876750.700280115</v>
      </c>
      <c r="E1091" s="26">
        <f>VLOOKUP(3450,季財報!$A:$H,8,0)</f>
        <v>3</v>
      </c>
      <c r="F1091" s="160">
        <v>2.1491666666666659E-2</v>
      </c>
      <c r="G1091" s="153">
        <v>12678991596.638657</v>
      </c>
      <c r="H1091" s="153">
        <v>6826774000</v>
      </c>
      <c r="I1091" s="151">
        <v>1.8572449588398059</v>
      </c>
      <c r="J1091" s="153">
        <v>11.177933455780765</v>
      </c>
    </row>
    <row r="1092" spans="1:10" hidden="1">
      <c r="A1092" s="64">
        <v>2640</v>
      </c>
      <c r="B1092" s="151">
        <v>1.06</v>
      </c>
      <c r="C1092" s="160">
        <v>1</v>
      </c>
      <c r="D1092" s="153">
        <v>44339622.641509429</v>
      </c>
      <c r="E1092" s="26">
        <f>VLOOKUP(2640,季財報!$A:$H,8,0)</f>
        <v>0</v>
      </c>
      <c r="F1092" s="160">
        <v>3.783333333333333E-3</v>
      </c>
      <c r="G1092" s="153">
        <v>3050566037.7358484</v>
      </c>
      <c r="H1092" s="153">
        <v>1638910000</v>
      </c>
      <c r="I1092" s="151">
        <v>1.8613383515481927</v>
      </c>
      <c r="J1092" s="153">
        <v>16.226415094339622</v>
      </c>
    </row>
    <row r="1093" spans="1:10" hidden="1">
      <c r="A1093" s="64">
        <v>3054</v>
      </c>
      <c r="B1093" s="151">
        <v>-0.19</v>
      </c>
      <c r="C1093" s="160">
        <v>1</v>
      </c>
      <c r="D1093" s="153">
        <v>105263157.89473684</v>
      </c>
      <c r="E1093" s="26">
        <f>VLOOKUP(3054,季財報!$A:$H,8,0)</f>
        <v>1</v>
      </c>
      <c r="F1093" s="160">
        <v>-5.9824999999999989E-2</v>
      </c>
      <c r="G1093" s="153">
        <v>1868421052.6315789</v>
      </c>
      <c r="H1093" s="153">
        <v>1001457000</v>
      </c>
      <c r="I1093" s="151">
        <v>1.8657027237630561</v>
      </c>
      <c r="J1093" s="153">
        <v>0</v>
      </c>
    </row>
    <row r="1094" spans="1:10">
      <c r="A1094" s="64">
        <v>2702</v>
      </c>
      <c r="B1094" s="151">
        <v>0.2</v>
      </c>
      <c r="C1094" s="160">
        <v>1</v>
      </c>
      <c r="D1094" s="153">
        <v>95000000</v>
      </c>
      <c r="E1094" s="26">
        <f>VLOOKUP(2702,季財報!$A:$H,8,0)</f>
        <v>5</v>
      </c>
      <c r="F1094" s="160">
        <v>8.5250000000000006E-2</v>
      </c>
      <c r="G1094" s="153">
        <v>1444000000</v>
      </c>
      <c r="H1094" s="153">
        <v>768316000</v>
      </c>
      <c r="I1094" s="151">
        <v>1.8794350241306963</v>
      </c>
      <c r="J1094" s="153">
        <v>18.999999999999996</v>
      </c>
    </row>
    <row r="1095" spans="1:10" hidden="1">
      <c r="A1095" s="64">
        <v>1737</v>
      </c>
      <c r="B1095" s="151">
        <v>0.6</v>
      </c>
      <c r="C1095" s="160">
        <v>0.80319148936170215</v>
      </c>
      <c r="D1095" s="153">
        <v>200000000</v>
      </c>
      <c r="E1095" s="26">
        <f>VLOOKUP(1737,季財報!$A:$H,8,0)</f>
        <v>3</v>
      </c>
      <c r="F1095" s="160">
        <v>1.285E-2</v>
      </c>
      <c r="G1095" s="153">
        <v>5200000000</v>
      </c>
      <c r="H1095" s="153">
        <v>2766113000</v>
      </c>
      <c r="I1095" s="151">
        <v>1.8798942776379708</v>
      </c>
      <c r="J1095" s="153">
        <v>13.487858719646798</v>
      </c>
    </row>
    <row r="1096" spans="1:10" hidden="1">
      <c r="A1096" s="64">
        <v>3624</v>
      </c>
      <c r="B1096" s="151">
        <v>0.7</v>
      </c>
      <c r="C1096" s="160">
        <v>0.45299145299145299</v>
      </c>
      <c r="D1096" s="153">
        <v>117142857.14285715</v>
      </c>
      <c r="E1096" s="26">
        <f>VLOOKUP(3624,季財報!$A:$H,8,0)</f>
        <v>3</v>
      </c>
      <c r="F1096" s="160">
        <v>2.9058333333333328E-2</v>
      </c>
      <c r="G1096" s="153">
        <v>2887571428.5714288</v>
      </c>
      <c r="H1096" s="153">
        <v>1533415000</v>
      </c>
      <c r="I1096" s="151">
        <v>1.8830984623023961</v>
      </c>
      <c r="J1096" s="153">
        <v>19.434299191374663</v>
      </c>
    </row>
    <row r="1097" spans="1:10" hidden="1">
      <c r="A1097" s="64">
        <v>6185</v>
      </c>
      <c r="B1097" s="52">
        <v>0.76</v>
      </c>
      <c r="C1097" s="161">
        <v>0.73648648648648651</v>
      </c>
      <c r="D1097" s="158">
        <v>114473684.21052632</v>
      </c>
      <c r="E1097" s="26">
        <f>VLOOKUP(6185,季財報!$A:$H,8,0)</f>
        <v>3</v>
      </c>
      <c r="F1097" s="161">
        <v>8.3916666666666636E-3</v>
      </c>
      <c r="G1097" s="54">
        <v>2781710526.3157897</v>
      </c>
      <c r="H1097" s="54">
        <v>1476679000</v>
      </c>
      <c r="I1097" s="65">
        <v>1.8837611466783164</v>
      </c>
      <c r="J1097" s="163">
        <v>10.853452438435538</v>
      </c>
    </row>
    <row r="1098" spans="1:10" hidden="1">
      <c r="A1098" s="64">
        <v>3630</v>
      </c>
      <c r="B1098" s="151">
        <v>-1.52</v>
      </c>
      <c r="C1098" s="160">
        <v>1</v>
      </c>
      <c r="D1098" s="153">
        <v>100657894.73684211</v>
      </c>
      <c r="E1098" s="26">
        <f>VLOOKUP(3630,季財報!$A:$H,8,0)</f>
        <v>1</v>
      </c>
      <c r="F1098" s="160">
        <v>4.7199999999999992E-2</v>
      </c>
      <c r="G1098" s="153">
        <v>1791710526.3157897</v>
      </c>
      <c r="H1098" s="153">
        <v>951131000</v>
      </c>
      <c r="I1098" s="151">
        <v>1.883768404474031</v>
      </c>
      <c r="J1098" s="153">
        <v>0</v>
      </c>
    </row>
    <row r="1099" spans="1:10" hidden="1">
      <c r="A1099" s="64">
        <v>1560</v>
      </c>
      <c r="B1099" s="151">
        <v>1.1000000000000001</v>
      </c>
      <c r="C1099" s="160">
        <v>0.93354430379746833</v>
      </c>
      <c r="D1099" s="153">
        <v>141818181.81818181</v>
      </c>
      <c r="E1099" s="26">
        <f>VLOOKUP(1560,季財報!$A:$H,8,0)</f>
        <v>4</v>
      </c>
      <c r="F1099" s="160">
        <v>-7.7500000000000034E-3</v>
      </c>
      <c r="G1099" s="153">
        <v>7800000000</v>
      </c>
      <c r="H1099" s="153">
        <v>4109799000</v>
      </c>
      <c r="I1099" s="151">
        <v>1.897903036133884</v>
      </c>
      <c r="J1099" s="153">
        <v>13.389830508474574</v>
      </c>
    </row>
    <row r="1100" spans="1:10" hidden="1">
      <c r="A1100" s="64">
        <v>3374</v>
      </c>
      <c r="B1100" s="151">
        <v>-7.0000000000000007E-2</v>
      </c>
      <c r="C1100" s="160">
        <v>1</v>
      </c>
      <c r="D1100" s="153">
        <v>257142857.1428571</v>
      </c>
      <c r="E1100" s="26">
        <f>VLOOKUP(3374,季財報!$A:$H,8,0)</f>
        <v>0</v>
      </c>
      <c r="F1100" s="160">
        <v>-7.4666666666666701E-3</v>
      </c>
      <c r="G1100" s="153">
        <v>9925714285.7142849</v>
      </c>
      <c r="H1100" s="153">
        <v>5212591000</v>
      </c>
      <c r="I1100" s="151">
        <v>1.9041805285920734</v>
      </c>
      <c r="J1100" s="153">
        <v>0</v>
      </c>
    </row>
    <row r="1101" spans="1:10" hidden="1">
      <c r="A1101" s="64">
        <v>2926</v>
      </c>
      <c r="B1101" s="151">
        <v>2.1800000000000002</v>
      </c>
      <c r="C1101" s="160">
        <v>0.74251497005988021</v>
      </c>
      <c r="D1101" s="153">
        <v>44954128.440366969</v>
      </c>
      <c r="E1101" s="26">
        <f>VLOOKUP(2926,季財報!$A:$H,8,0)</f>
        <v>2</v>
      </c>
      <c r="F1101" s="160">
        <v>3.0041666666666671E-2</v>
      </c>
      <c r="G1101" s="153">
        <v>6967889908.2568798</v>
      </c>
      <c r="H1101" s="153">
        <v>3657609000</v>
      </c>
      <c r="I1101" s="151">
        <v>1.9050395786583201</v>
      </c>
      <c r="J1101" s="153">
        <v>23.939220183486238</v>
      </c>
    </row>
    <row r="1102" spans="1:10" hidden="1">
      <c r="A1102" s="64">
        <v>8080</v>
      </c>
      <c r="B1102" s="52">
        <v>-0.48</v>
      </c>
      <c r="C1102" s="161">
        <v>0.71698113207547165</v>
      </c>
      <c r="D1102" s="158">
        <v>64583333.333333336</v>
      </c>
      <c r="E1102" s="26">
        <f>VLOOKUP(8080,季財報!$A:$H,8,0)</f>
        <v>1</v>
      </c>
      <c r="F1102" s="161">
        <v>-3.4983333333333332E-2</v>
      </c>
      <c r="G1102" s="54">
        <v>920312500</v>
      </c>
      <c r="H1102" s="54">
        <v>482945000</v>
      </c>
      <c r="I1102" s="65">
        <v>1.9056258994295416</v>
      </c>
      <c r="J1102" s="163">
        <v>0</v>
      </c>
    </row>
    <row r="1103" spans="1:10" hidden="1">
      <c r="A1103" s="64">
        <v>2607</v>
      </c>
      <c r="B1103" s="151">
        <v>0.21</v>
      </c>
      <c r="C1103" s="160">
        <v>0.7505518763796909</v>
      </c>
      <c r="D1103" s="153">
        <v>1057142857.1428572</v>
      </c>
      <c r="E1103" s="26">
        <f>VLOOKUP(2607,季財報!$A:$H,8,0)</f>
        <v>2</v>
      </c>
      <c r="F1103" s="160">
        <v>-3.1333333333333313E-3</v>
      </c>
      <c r="G1103" s="153">
        <v>14007142857.142859</v>
      </c>
      <c r="H1103" s="153">
        <v>7338035000</v>
      </c>
      <c r="I1103" s="151">
        <v>1.9088411076184371</v>
      </c>
      <c r="J1103" s="153">
        <v>21.016281512605044</v>
      </c>
    </row>
    <row r="1104" spans="1:10" hidden="1">
      <c r="A1104" s="64">
        <v>4733</v>
      </c>
      <c r="B1104" s="52">
        <v>4.6500000000000004</v>
      </c>
      <c r="C1104" s="161">
        <v>1</v>
      </c>
      <c r="D1104" s="158">
        <v>86236559.139784947</v>
      </c>
      <c r="E1104" s="26">
        <f>VLOOKUP(4733,季財報!$A:$H,8,0)</f>
        <v>2</v>
      </c>
      <c r="F1104" s="161">
        <v>6.981666666666668E-2</v>
      </c>
      <c r="G1104" s="54">
        <v>18540860215.053764</v>
      </c>
      <c r="H1104" s="54">
        <v>9705331000</v>
      </c>
      <c r="I1104" s="65">
        <v>1.9103789675028873</v>
      </c>
      <c r="J1104" s="163">
        <v>11.559139784946236</v>
      </c>
    </row>
    <row r="1105" spans="1:10" hidden="1">
      <c r="A1105" s="64">
        <v>4965</v>
      </c>
      <c r="B1105" s="52">
        <v>0.47</v>
      </c>
      <c r="C1105" s="161">
        <v>0.90909090909090906</v>
      </c>
      <c r="D1105" s="158">
        <v>21276595.744680852</v>
      </c>
      <c r="E1105" s="26">
        <f>VLOOKUP(4965,季財報!$A:$H,8,0)</f>
        <v>3</v>
      </c>
      <c r="F1105" s="161">
        <v>3.9983333333333329E-2</v>
      </c>
      <c r="G1105" s="54">
        <v>2478723404.2553191</v>
      </c>
      <c r="H1105" s="54">
        <v>1292986000</v>
      </c>
      <c r="I1105" s="65">
        <v>1.917053552208082</v>
      </c>
      <c r="J1105" s="163">
        <v>50</v>
      </c>
    </row>
    <row r="1106" spans="1:10" hidden="1">
      <c r="A1106" s="64">
        <v>8091</v>
      </c>
      <c r="B1106" s="52">
        <v>1.62</v>
      </c>
      <c r="C1106" s="161">
        <v>0.87179487179487181</v>
      </c>
      <c r="D1106" s="158">
        <v>59876543.209876537</v>
      </c>
      <c r="E1106" s="26">
        <f>VLOOKUP(8091,季財報!$A:$H,8,0)</f>
        <v>1</v>
      </c>
      <c r="F1106" s="161">
        <v>0.10411666666666665</v>
      </c>
      <c r="G1106" s="54">
        <v>3927901234.5679007</v>
      </c>
      <c r="H1106" s="54">
        <v>2045191000</v>
      </c>
      <c r="I1106" s="65">
        <v>1.920554723039511</v>
      </c>
      <c r="J1106" s="163">
        <v>11.612200435729845</v>
      </c>
    </row>
    <row r="1107" spans="1:10" hidden="1">
      <c r="A1107" s="64">
        <v>1470</v>
      </c>
      <c r="B1107" s="151">
        <v>0.2</v>
      </c>
      <c r="C1107" s="160">
        <v>0.7857142857142857</v>
      </c>
      <c r="D1107" s="153">
        <v>85000000</v>
      </c>
      <c r="E1107" s="26">
        <f>VLOOKUP(1470,季財報!$A:$H,8,0)</f>
        <v>2</v>
      </c>
      <c r="F1107" s="160">
        <v>2.0375000000000001E-2</v>
      </c>
      <c r="G1107" s="153">
        <v>1478999999.9999998</v>
      </c>
      <c r="H1107" s="153">
        <v>769334000</v>
      </c>
      <c r="I1107" s="151">
        <v>1.9224420082824882</v>
      </c>
      <c r="J1107" s="153">
        <v>27.68181818181818</v>
      </c>
    </row>
    <row r="1108" spans="1:10" hidden="1">
      <c r="A1108" s="64">
        <v>4737</v>
      </c>
      <c r="B1108" s="52">
        <v>0.59</v>
      </c>
      <c r="C1108" s="161">
        <v>1</v>
      </c>
      <c r="D1108" s="158">
        <v>50847457.627118647</v>
      </c>
      <c r="E1108" s="26">
        <f>VLOOKUP(4737,季財報!$A:$H,8,0)</f>
        <v>3</v>
      </c>
      <c r="F1108" s="161">
        <v>1.8766666666666678E-2</v>
      </c>
      <c r="G1108" s="54">
        <v>3106779661.0169492</v>
      </c>
      <c r="H1108" s="54">
        <v>1613989000</v>
      </c>
      <c r="I1108" s="65">
        <v>1.924907580545437</v>
      </c>
      <c r="J1108" s="163">
        <v>25.889830508474578</v>
      </c>
    </row>
    <row r="1109" spans="1:10" hidden="1">
      <c r="A1109" s="64">
        <v>1477</v>
      </c>
      <c r="B1109" s="151">
        <v>3.07</v>
      </c>
      <c r="C1109" s="160">
        <v>0.95758718190386427</v>
      </c>
      <c r="D1109" s="153">
        <v>204560260.58631924</v>
      </c>
      <c r="E1109" s="26">
        <f>VLOOKUP(1477,季財報!$A:$H,8,0)</f>
        <v>4</v>
      </c>
      <c r="F1109" s="160">
        <v>3.1958333333333332E-2</v>
      </c>
      <c r="G1109" s="153">
        <v>44491856677.524437</v>
      </c>
      <c r="H1109" s="153">
        <v>23054079000</v>
      </c>
      <c r="I1109" s="151">
        <v>1.9298908743014387</v>
      </c>
      <c r="J1109" s="153">
        <v>18.496202454538459</v>
      </c>
    </row>
    <row r="1110" spans="1:10" hidden="1">
      <c r="A1110" s="64">
        <v>6147</v>
      </c>
      <c r="B1110" s="52">
        <v>1.07</v>
      </c>
      <c r="C1110" s="161">
        <v>0.84995507637017076</v>
      </c>
      <c r="D1110" s="158">
        <v>649532710.28037381</v>
      </c>
      <c r="E1110" s="26">
        <f>VLOOKUP(6147,季財報!$A:$H,8,0)</f>
        <v>4</v>
      </c>
      <c r="F1110" s="161">
        <v>-5.1166666666666669E-3</v>
      </c>
      <c r="G1110" s="54">
        <v>33385981308.411213</v>
      </c>
      <c r="H1110" s="54">
        <v>17294087000</v>
      </c>
      <c r="I1110" s="65">
        <v>1.9304853334212562</v>
      </c>
      <c r="J1110" s="163">
        <v>14.12938886803264</v>
      </c>
    </row>
    <row r="1111" spans="1:10" hidden="1">
      <c r="A1111" s="64">
        <v>2308</v>
      </c>
      <c r="B1111" s="151">
        <v>2.42</v>
      </c>
      <c r="C1111" s="160">
        <v>0.76958002270147563</v>
      </c>
      <c r="D1111" s="153">
        <v>2436363636.3636365</v>
      </c>
      <c r="E1111" s="26">
        <f>VLOOKUP(2308,季財報!$A:$H,8,0)</f>
        <v>4</v>
      </c>
      <c r="F1111" s="160">
        <v>1.9491666666666674E-2</v>
      </c>
      <c r="G1111" s="153">
        <v>386163636363.63641</v>
      </c>
      <c r="H1111" s="153">
        <v>199766112000</v>
      </c>
      <c r="I1111" s="151">
        <v>1.9330788014917986</v>
      </c>
      <c r="J1111" s="153">
        <v>21.276496867305394</v>
      </c>
    </row>
    <row r="1112" spans="1:10" hidden="1">
      <c r="A1112" s="64">
        <v>9914</v>
      </c>
      <c r="B1112" s="52">
        <v>3.72</v>
      </c>
      <c r="C1112" s="161">
        <v>0.66097704532077695</v>
      </c>
      <c r="D1112" s="158">
        <v>299193548.38709676</v>
      </c>
      <c r="E1112" s="26">
        <f>VLOOKUP(9914,季財報!$A:$H,8,0)</f>
        <v>4</v>
      </c>
      <c r="F1112" s="161">
        <v>1.2449999999999998E-2</v>
      </c>
      <c r="G1112" s="54">
        <v>55500403225.80645</v>
      </c>
      <c r="H1112" s="54">
        <v>28630513000</v>
      </c>
      <c r="I1112" s="65">
        <v>1.9385053710286801</v>
      </c>
      <c r="J1112" s="163">
        <v>18.860560949453745</v>
      </c>
    </row>
    <row r="1113" spans="1:10" hidden="1">
      <c r="A1113" s="64">
        <v>4419</v>
      </c>
      <c r="B1113" s="52">
        <v>-0.22</v>
      </c>
      <c r="C1113" s="161">
        <v>0.8571428571428571</v>
      </c>
      <c r="D1113" s="158">
        <v>22727272.727272727</v>
      </c>
      <c r="E1113" s="26">
        <f>VLOOKUP(4419,季財報!$A:$H,8,0)</f>
        <v>1</v>
      </c>
      <c r="F1113" s="161">
        <v>-2.3266666666666661E-2</v>
      </c>
      <c r="G1113" s="54">
        <v>151818181.81818181</v>
      </c>
      <c r="H1113" s="54">
        <v>77829000</v>
      </c>
      <c r="I1113" s="65">
        <v>1.9506634007655477</v>
      </c>
      <c r="J1113" s="163">
        <v>0</v>
      </c>
    </row>
    <row r="1114" spans="1:10" hidden="1">
      <c r="A1114" s="64">
        <v>5312</v>
      </c>
      <c r="B1114" s="52">
        <v>1.89</v>
      </c>
      <c r="C1114" s="161">
        <v>0.115</v>
      </c>
      <c r="D1114" s="158">
        <v>59788359.788359791</v>
      </c>
      <c r="E1114" s="26">
        <f>VLOOKUP(5312,季財報!$A:$H,8,0)</f>
        <v>4</v>
      </c>
      <c r="F1114" s="161">
        <v>6.125000000000002E-3</v>
      </c>
      <c r="G1114" s="54">
        <v>4932539682.5396824</v>
      </c>
      <c r="H1114" s="54">
        <v>2520757000</v>
      </c>
      <c r="I1114" s="65">
        <v>1.9567692096222216</v>
      </c>
      <c r="J1114" s="163">
        <v>50</v>
      </c>
    </row>
    <row r="1115" spans="1:10" hidden="1">
      <c r="A1115" s="64">
        <v>2408</v>
      </c>
      <c r="B1115" s="151">
        <v>1.94</v>
      </c>
      <c r="C1115" s="160">
        <v>0.70727090524440483</v>
      </c>
      <c r="D1115" s="153">
        <v>2436597938.14433</v>
      </c>
      <c r="E1115" s="26">
        <f>VLOOKUP(2408,季財報!$A:$H,8,0)</f>
        <v>2</v>
      </c>
      <c r="F1115" s="160">
        <v>-1.5033333333333336E-2</v>
      </c>
      <c r="G1115" s="153">
        <v>88692164948.453613</v>
      </c>
      <c r="H1115" s="153">
        <v>45188145000</v>
      </c>
      <c r="I1115" s="151">
        <v>1.9627308212907082</v>
      </c>
      <c r="J1115" s="153">
        <v>6.6321428107715086</v>
      </c>
    </row>
    <row r="1116" spans="1:10" hidden="1">
      <c r="A1116" s="64">
        <v>4946</v>
      </c>
      <c r="B1116" s="52">
        <v>-4.76</v>
      </c>
      <c r="C1116" s="161">
        <v>0.40104166666666669</v>
      </c>
      <c r="D1116" s="158">
        <v>27310924.369747899</v>
      </c>
      <c r="E1116" s="26">
        <f>VLOOKUP(4946,季財報!$A:$H,8,0)</f>
        <v>2</v>
      </c>
      <c r="F1116" s="161">
        <v>-3.5791666666666673E-2</v>
      </c>
      <c r="G1116" s="54">
        <v>987289915.96638656</v>
      </c>
      <c r="H1116" s="54">
        <v>502311000</v>
      </c>
      <c r="I1116" s="65">
        <v>1.9654953125979453</v>
      </c>
      <c r="J1116" s="163">
        <v>0</v>
      </c>
    </row>
    <row r="1117" spans="1:10" hidden="1">
      <c r="A1117" s="64">
        <v>3022</v>
      </c>
      <c r="B1117" s="151">
        <v>0.88</v>
      </c>
      <c r="C1117" s="160">
        <v>0.75732899022801303</v>
      </c>
      <c r="D1117" s="153">
        <v>328409090.90909094</v>
      </c>
      <c r="E1117" s="26">
        <f>VLOOKUP(3022,季財報!$A:$H,8,0)</f>
        <v>2</v>
      </c>
      <c r="F1117" s="160">
        <v>3.7041666666666667E-2</v>
      </c>
      <c r="G1117" s="153">
        <v>13481193181.818182</v>
      </c>
      <c r="H1117" s="153">
        <v>6848901000</v>
      </c>
      <c r="I1117" s="151">
        <v>1.9683732005789223</v>
      </c>
      <c r="J1117" s="153">
        <v>15.398765884652981</v>
      </c>
    </row>
    <row r="1118" spans="1:10">
      <c r="A1118" s="64">
        <v>3004</v>
      </c>
      <c r="B1118" s="151">
        <v>1.32</v>
      </c>
      <c r="C1118" s="160">
        <v>0.94017094017094016</v>
      </c>
      <c r="D1118" s="153">
        <v>52272727.272727273</v>
      </c>
      <c r="E1118" s="26">
        <f>VLOOKUP(3004,季財報!$A:$H,8,0)</f>
        <v>4</v>
      </c>
      <c r="F1118" s="160">
        <v>5.3850000000000002E-2</v>
      </c>
      <c r="G1118" s="153">
        <v>2922045454.5454545</v>
      </c>
      <c r="H1118" s="153">
        <v>1478996000</v>
      </c>
      <c r="I1118" s="151">
        <v>1.9756953058327775</v>
      </c>
      <c r="J1118" s="153">
        <v>11.260847107438016</v>
      </c>
    </row>
    <row r="1119" spans="1:10" hidden="1">
      <c r="A1119" s="64">
        <v>2441</v>
      </c>
      <c r="B1119" s="151">
        <v>0.88</v>
      </c>
      <c r="C1119" s="160">
        <v>0.94399999999999995</v>
      </c>
      <c r="D1119" s="153">
        <v>567045454.5454545</v>
      </c>
      <c r="E1119" s="26">
        <f>VLOOKUP(2441,季財報!$A:$H,8,0)</f>
        <v>2</v>
      </c>
      <c r="F1119" s="160">
        <v>7.250000000000057E-4</v>
      </c>
      <c r="G1119" s="153">
        <v>18599090909.090904</v>
      </c>
      <c r="H1119" s="153">
        <v>9388456000</v>
      </c>
      <c r="I1119" s="151">
        <v>1.981059602248858</v>
      </c>
      <c r="J1119" s="153">
        <v>9.8709553158705692</v>
      </c>
    </row>
    <row r="1120" spans="1:10" hidden="1">
      <c r="A1120" s="64">
        <v>3684</v>
      </c>
      <c r="B1120" s="151">
        <v>1.88</v>
      </c>
      <c r="C1120" s="160">
        <v>0.79365079365079361</v>
      </c>
      <c r="D1120" s="153">
        <v>20744680.851063833</v>
      </c>
      <c r="E1120" s="26">
        <f>VLOOKUP(3684,季財報!$A:$H,8,0)</f>
        <v>3</v>
      </c>
      <c r="F1120" s="160">
        <v>3.7074999999999997E-2</v>
      </c>
      <c r="G1120" s="153">
        <v>1331808510.638298</v>
      </c>
      <c r="H1120" s="153">
        <v>671734000</v>
      </c>
      <c r="I1120" s="151">
        <v>1.982642698803839</v>
      </c>
      <c r="J1120" s="153">
        <v>10.756914893617024</v>
      </c>
    </row>
    <row r="1121" spans="1:10" hidden="1">
      <c r="A1121" s="64">
        <v>5395</v>
      </c>
      <c r="B1121" s="52">
        <v>0.05</v>
      </c>
      <c r="C1121" s="161">
        <v>1</v>
      </c>
      <c r="D1121" s="158">
        <v>60000000</v>
      </c>
      <c r="E1121" s="26">
        <f>VLOOKUP(5395,季財報!$A:$H,8,0)</f>
        <v>2</v>
      </c>
      <c r="F1121" s="161">
        <v>2.0539166666666668</v>
      </c>
      <c r="G1121" s="54">
        <v>1887000000</v>
      </c>
      <c r="H1121" s="54">
        <v>950496000</v>
      </c>
      <c r="I1121" s="65">
        <v>1.9852792647207353</v>
      </c>
      <c r="J1121" s="163">
        <v>50</v>
      </c>
    </row>
    <row r="1122" spans="1:10" hidden="1">
      <c r="A1122" s="64">
        <v>2233</v>
      </c>
      <c r="B1122" s="151">
        <v>1.23</v>
      </c>
      <c r="C1122" s="160">
        <v>0.85123966942148765</v>
      </c>
      <c r="D1122" s="153">
        <v>48780487.804878049</v>
      </c>
      <c r="E1122" s="26">
        <f>VLOOKUP(2233,季財報!$A:$H,8,0)</f>
        <v>1</v>
      </c>
      <c r="F1122" s="160">
        <v>2.8966666666666668E-2</v>
      </c>
      <c r="G1122" s="153">
        <v>3843902439.0243902</v>
      </c>
      <c r="H1122" s="153">
        <v>1933706000</v>
      </c>
      <c r="I1122" s="151">
        <v>1.9878422257697863</v>
      </c>
      <c r="J1122" s="153">
        <v>18.815218249269869</v>
      </c>
    </row>
    <row r="1123" spans="1:10" hidden="1">
      <c r="A1123" s="64">
        <v>6216</v>
      </c>
      <c r="B1123" s="52">
        <v>0.95</v>
      </c>
      <c r="C1123" s="161">
        <v>0.76774193548387093</v>
      </c>
      <c r="D1123" s="158">
        <v>77894736.842105269</v>
      </c>
      <c r="E1123" s="26">
        <f>VLOOKUP(6216,季財報!$A:$H,8,0)</f>
        <v>2</v>
      </c>
      <c r="F1123" s="161">
        <v>1.9458333333333331E-2</v>
      </c>
      <c r="G1123" s="54">
        <v>2235578947.3684211</v>
      </c>
      <c r="H1123" s="54">
        <v>1124553000</v>
      </c>
      <c r="I1123" s="65">
        <v>1.9879711737627495</v>
      </c>
      <c r="J1123" s="163">
        <v>9.8374613003095988</v>
      </c>
    </row>
    <row r="1124" spans="1:10" hidden="1">
      <c r="A1124" s="64">
        <v>2438</v>
      </c>
      <c r="B1124" s="151">
        <v>0.09</v>
      </c>
      <c r="C1124" s="160">
        <v>0</v>
      </c>
      <c r="D1124" s="153">
        <v>77777777.777777776</v>
      </c>
      <c r="E1124" s="26">
        <f>VLOOKUP(2438,季財報!$A:$H,8,0)</f>
        <v>2</v>
      </c>
      <c r="F1124" s="160">
        <v>4.0983333333333323E-2</v>
      </c>
      <c r="G1124" s="153">
        <v>1174444444.4444444</v>
      </c>
      <c r="H1124" s="153">
        <v>585754000</v>
      </c>
      <c r="I1124" s="151">
        <v>2.0050131018216595</v>
      </c>
      <c r="J1124" s="153">
        <v>0</v>
      </c>
    </row>
    <row r="1125" spans="1:10" hidden="1">
      <c r="A1125" s="64">
        <v>3490</v>
      </c>
      <c r="B1125" s="151">
        <v>1.31</v>
      </c>
      <c r="C1125" s="160">
        <v>0.93004115226337447</v>
      </c>
      <c r="D1125" s="153">
        <v>61832061.068702288</v>
      </c>
      <c r="E1125" s="26">
        <f>VLOOKUP(3490,季財報!$A:$H,8,0)</f>
        <v>1</v>
      </c>
      <c r="F1125" s="160">
        <v>-2.6775000000000007E-2</v>
      </c>
      <c r="G1125" s="153">
        <v>4958931297.7099237</v>
      </c>
      <c r="H1125" s="153">
        <v>2471088000</v>
      </c>
      <c r="I1125" s="151">
        <v>2.0067805346106344</v>
      </c>
      <c r="J1125" s="153">
        <v>16.456630412754173</v>
      </c>
    </row>
    <row r="1126" spans="1:10" hidden="1">
      <c r="A1126" s="64">
        <v>2605</v>
      </c>
      <c r="B1126" s="151">
        <v>0.52</v>
      </c>
      <c r="C1126" s="160">
        <v>1</v>
      </c>
      <c r="D1126" s="153">
        <v>563461538.46153843</v>
      </c>
      <c r="E1126" s="26">
        <f>VLOOKUP(2605,季財報!$A:$H,8,0)</f>
        <v>5</v>
      </c>
      <c r="F1126" s="160">
        <v>1.2400000000000001E-2</v>
      </c>
      <c r="G1126" s="153">
        <v>10198653846.153847</v>
      </c>
      <c r="H1126" s="153">
        <v>5063344000</v>
      </c>
      <c r="I1126" s="151">
        <v>2.0142131062305557</v>
      </c>
      <c r="J1126" s="153">
        <v>8.7019230769230766</v>
      </c>
    </row>
    <row r="1127" spans="1:10" hidden="1">
      <c r="A1127" s="64">
        <v>1453</v>
      </c>
      <c r="B1127" s="151">
        <v>-0.11</v>
      </c>
      <c r="C1127" s="160">
        <v>0.95</v>
      </c>
      <c r="D1127" s="153">
        <v>81818181.818181813</v>
      </c>
      <c r="E1127" s="26">
        <f>VLOOKUP(1453,季財報!$A:$H,8,0)</f>
        <v>0</v>
      </c>
      <c r="F1127" s="160">
        <v>1.6398666666666666</v>
      </c>
      <c r="G1127" s="153">
        <v>690545454.5454545</v>
      </c>
      <c r="H1127" s="153">
        <v>342654000</v>
      </c>
      <c r="I1127" s="151">
        <v>2.0152849654329281</v>
      </c>
      <c r="J1127" s="153">
        <v>0</v>
      </c>
    </row>
    <row r="1128" spans="1:10" hidden="1">
      <c r="A1128" s="64">
        <v>3085</v>
      </c>
      <c r="B1128" s="151">
        <v>0.01</v>
      </c>
      <c r="C1128" s="160">
        <v>1</v>
      </c>
      <c r="D1128" s="153">
        <v>100000000</v>
      </c>
      <c r="E1128" s="26">
        <f>VLOOKUP(3085,季財報!$A:$H,8,0)</f>
        <v>3</v>
      </c>
      <c r="F1128" s="160">
        <v>1.7624999999999998E-2</v>
      </c>
      <c r="G1128" s="153">
        <v>693000000</v>
      </c>
      <c r="H1128" s="153">
        <v>342111000</v>
      </c>
      <c r="I1128" s="151">
        <v>2.0256583389601621</v>
      </c>
      <c r="J1128" s="153">
        <v>50</v>
      </c>
    </row>
    <row r="1129" spans="1:10" hidden="1">
      <c r="A1129" s="64">
        <v>5607</v>
      </c>
      <c r="B1129" s="52">
        <v>0.36</v>
      </c>
      <c r="C1129" s="161">
        <v>1</v>
      </c>
      <c r="D1129" s="158">
        <v>169444444.44444445</v>
      </c>
      <c r="E1129" s="26">
        <f>VLOOKUP(5607,季財報!$A:$H,8,0)</f>
        <v>4</v>
      </c>
      <c r="F1129" s="161">
        <v>4.3916666666666626E-3</v>
      </c>
      <c r="G1129" s="54">
        <v>2584027777.7777777</v>
      </c>
      <c r="H1129" s="54">
        <v>1270443000</v>
      </c>
      <c r="I1129" s="65">
        <v>2.0339580585494805</v>
      </c>
      <c r="J1129" s="163">
        <v>10.590277777777779</v>
      </c>
    </row>
    <row r="1130" spans="1:10" hidden="1">
      <c r="A1130" s="64">
        <v>9910</v>
      </c>
      <c r="B1130" s="52">
        <v>2.1</v>
      </c>
      <c r="C1130" s="161">
        <v>0.8</v>
      </c>
      <c r="D1130" s="158">
        <v>597142857.14285707</v>
      </c>
      <c r="E1130" s="26">
        <f>VLOOKUP(9910,季財報!$A:$H,8,0)</f>
        <v>6</v>
      </c>
      <c r="F1130" s="161">
        <v>2.0524999999999998E-2</v>
      </c>
      <c r="G1130" s="54">
        <v>111068571428.57141</v>
      </c>
      <c r="H1130" s="54">
        <v>54582685000</v>
      </c>
      <c r="I1130" s="65">
        <v>2.034868226591847</v>
      </c>
      <c r="J1130" s="163">
        <v>27.678571428571427</v>
      </c>
    </row>
    <row r="1131" spans="1:10" hidden="1">
      <c r="A1131" s="64">
        <v>1595</v>
      </c>
      <c r="B1131" s="151">
        <v>2.11</v>
      </c>
      <c r="C1131" s="160">
        <v>0.68421052631578949</v>
      </c>
      <c r="D1131" s="153">
        <v>38862559.241706163</v>
      </c>
      <c r="E1131" s="26">
        <f>VLOOKUP(1595,季財報!$A:$H,8,0)</f>
        <v>2</v>
      </c>
      <c r="F1131" s="160">
        <v>-7.6666666666666888E-3</v>
      </c>
      <c r="G1131" s="153">
        <v>2316208530.8056874</v>
      </c>
      <c r="H1131" s="153">
        <v>1137962000</v>
      </c>
      <c r="I1131" s="151">
        <v>2.0354005940494386</v>
      </c>
      <c r="J1131" s="153">
        <v>10.32081662413416</v>
      </c>
    </row>
    <row r="1132" spans="1:10" hidden="1">
      <c r="A1132" s="64">
        <v>1442</v>
      </c>
      <c r="B1132" s="151">
        <v>0.43</v>
      </c>
      <c r="C1132" s="160">
        <v>1</v>
      </c>
      <c r="D1132" s="153">
        <v>225581395.34883723</v>
      </c>
      <c r="E1132" s="26">
        <f>VLOOKUP(1442,季財報!$A:$H,8,0)</f>
        <v>0</v>
      </c>
      <c r="F1132" s="160">
        <v>1.2920999999999998</v>
      </c>
      <c r="G1132" s="153">
        <v>4049186046.5116282</v>
      </c>
      <c r="H1132" s="153">
        <v>1984643000</v>
      </c>
      <c r="I1132" s="151">
        <v>2.0402591531633791</v>
      </c>
      <c r="J1132" s="153">
        <v>10.436046511627907</v>
      </c>
    </row>
    <row r="1133" spans="1:10" hidden="1">
      <c r="A1133" s="64">
        <v>6404</v>
      </c>
      <c r="B1133" s="52">
        <v>0.64</v>
      </c>
      <c r="C1133" s="161">
        <v>0.63461538461538458</v>
      </c>
      <c r="D1133" s="158">
        <v>37500000</v>
      </c>
      <c r="E1133" s="26">
        <f>VLOOKUP(6404,季財報!$A:$H,8,0)</f>
        <v>1</v>
      </c>
      <c r="F1133" s="161">
        <v>2.4308333333333338E-2</v>
      </c>
      <c r="G1133" s="54">
        <v>1766250000</v>
      </c>
      <c r="H1133" s="54">
        <v>862440000</v>
      </c>
      <c r="I1133" s="65">
        <v>2.0479685543342145</v>
      </c>
      <c r="J1133" s="163">
        <v>28.991477272727273</v>
      </c>
    </row>
    <row r="1134" spans="1:10" hidden="1">
      <c r="A1134" s="64">
        <v>8383</v>
      </c>
      <c r="B1134" s="52">
        <v>1.1299999999999999</v>
      </c>
      <c r="C1134" s="161">
        <v>0.94146341463414629</v>
      </c>
      <c r="D1134" s="158">
        <v>117699115.04424781</v>
      </c>
      <c r="E1134" s="26">
        <f>VLOOKUP(8383,季財報!$A:$H,8,0)</f>
        <v>3</v>
      </c>
      <c r="F1134" s="161">
        <v>2.5283333333333338E-2</v>
      </c>
      <c r="G1134" s="54">
        <v>6214513274.3362837</v>
      </c>
      <c r="H1134" s="54">
        <v>3031172000</v>
      </c>
      <c r="I1134" s="65">
        <v>2.0502014647589393</v>
      </c>
      <c r="J1134" s="163">
        <v>12.407721582832776</v>
      </c>
    </row>
    <row r="1135" spans="1:10" hidden="1">
      <c r="A1135" s="64">
        <v>2420</v>
      </c>
      <c r="B1135" s="151">
        <v>1.36</v>
      </c>
      <c r="C1135" s="160">
        <v>0.74233128834355833</v>
      </c>
      <c r="D1135" s="153">
        <v>152941176.47058824</v>
      </c>
      <c r="E1135" s="26">
        <f>VLOOKUP(2420,季財報!$A:$H,8,0)</f>
        <v>3</v>
      </c>
      <c r="F1135" s="160">
        <v>4.9333333333333286E-3</v>
      </c>
      <c r="G1135" s="153">
        <v>6760000000.000001</v>
      </c>
      <c r="H1135" s="153">
        <v>3295779000</v>
      </c>
      <c r="I1135" s="151">
        <v>2.0511084025961694</v>
      </c>
      <c r="J1135" s="153">
        <v>10.945247933884298</v>
      </c>
    </row>
    <row r="1136" spans="1:10" hidden="1">
      <c r="A1136" s="64">
        <v>1722</v>
      </c>
      <c r="B1136" s="151">
        <v>1.17</v>
      </c>
      <c r="C1136" s="160">
        <v>0.75370226032735776</v>
      </c>
      <c r="D1136" s="153">
        <v>982051282.05128217</v>
      </c>
      <c r="E1136" s="26">
        <f>VLOOKUP(1722,季財報!$A:$H,8,0)</f>
        <v>3</v>
      </c>
      <c r="F1136" s="160">
        <v>0.3272916666666667</v>
      </c>
      <c r="G1136" s="153">
        <v>40755128205.128212</v>
      </c>
      <c r="H1136" s="153">
        <v>19822318000</v>
      </c>
      <c r="I1136" s="151">
        <v>2.0560223181329356</v>
      </c>
      <c r="J1136" s="153">
        <v>11.765284296308081</v>
      </c>
    </row>
    <row r="1137" spans="1:11" hidden="1">
      <c r="A1137" s="64">
        <v>3363</v>
      </c>
      <c r="B1137" s="151">
        <v>0.23</v>
      </c>
      <c r="C1137" s="160">
        <v>0</v>
      </c>
      <c r="D1137" s="153">
        <v>78260869.565217391</v>
      </c>
      <c r="E1137" s="26">
        <f>VLOOKUP(3363,季財報!$A:$H,8,0)</f>
        <v>3</v>
      </c>
      <c r="F1137" s="160">
        <v>1.0575000000000003E-2</v>
      </c>
      <c r="G1137" s="153">
        <v>1917391304.347826</v>
      </c>
      <c r="H1137" s="153">
        <v>926926000</v>
      </c>
      <c r="I1137" s="151">
        <v>2.0685484109279768</v>
      </c>
      <c r="J1137" s="153">
        <v>0</v>
      </c>
    </row>
    <row r="1138" spans="1:11" hidden="1">
      <c r="A1138" s="64">
        <v>2454</v>
      </c>
      <c r="B1138" s="151">
        <v>5.09</v>
      </c>
      <c r="C1138" s="160">
        <v>0.86066834451901564</v>
      </c>
      <c r="D1138" s="153">
        <v>1562671905.6974461</v>
      </c>
      <c r="E1138" s="26">
        <f>VLOOKUP(2454,季財報!$A:$H,8,0)</f>
        <v>1</v>
      </c>
      <c r="F1138" s="160">
        <v>5.1891666666666676E-2</v>
      </c>
      <c r="G1138" s="153">
        <v>429734774066.79767</v>
      </c>
      <c r="H1138" s="153">
        <v>207627619000</v>
      </c>
      <c r="I1138" s="151">
        <v>2.0697380056494201</v>
      </c>
      <c r="J1138" s="153">
        <v>15.693473930943929</v>
      </c>
      <c r="K1138" s="32"/>
    </row>
    <row r="1139" spans="1:11" hidden="1">
      <c r="A1139" s="64">
        <v>4551</v>
      </c>
      <c r="B1139" s="52">
        <v>1.08</v>
      </c>
      <c r="C1139" s="161">
        <v>1</v>
      </c>
      <c r="D1139" s="158">
        <v>79629629.629629627</v>
      </c>
      <c r="E1139" s="26">
        <f>VLOOKUP(4551,季財報!$A:$H,8,0)</f>
        <v>2</v>
      </c>
      <c r="F1139" s="161">
        <v>2.6449999999999998E-2</v>
      </c>
      <c r="G1139" s="54">
        <v>6211111111.1111107</v>
      </c>
      <c r="H1139" s="54">
        <v>2990021000</v>
      </c>
      <c r="I1139" s="65">
        <v>2.0772800963976876</v>
      </c>
      <c r="J1139" s="163">
        <v>18.055555555555554</v>
      </c>
    </row>
    <row r="1140" spans="1:11" hidden="1">
      <c r="A1140" s="64">
        <v>6212</v>
      </c>
      <c r="B1140" s="52">
        <v>-0.08</v>
      </c>
      <c r="C1140" s="161">
        <v>1</v>
      </c>
      <c r="D1140" s="158">
        <v>112500000</v>
      </c>
      <c r="E1140" s="26">
        <f>VLOOKUP(6212,季財報!$A:$H,8,0)</f>
        <v>2</v>
      </c>
      <c r="F1140" s="161">
        <v>-0.25013333333333332</v>
      </c>
      <c r="G1140" s="54">
        <v>2711250000</v>
      </c>
      <c r="H1140" s="54">
        <v>1304688000</v>
      </c>
      <c r="I1140" s="65">
        <v>2.0780830359442257</v>
      </c>
      <c r="J1140" s="163">
        <v>0</v>
      </c>
    </row>
    <row r="1141" spans="1:11" hidden="1">
      <c r="A1141" s="64">
        <v>6457</v>
      </c>
      <c r="B1141" s="52">
        <v>0.88</v>
      </c>
      <c r="C1141" s="161">
        <v>0.8571428571428571</v>
      </c>
      <c r="D1141" s="158">
        <v>27272727.272727273</v>
      </c>
      <c r="E1141" s="26">
        <f>VLOOKUP(6457,季財報!$A:$H,8,0)</f>
        <v>3</v>
      </c>
      <c r="F1141" s="161">
        <v>6.3850000000000004E-2</v>
      </c>
      <c r="G1141" s="54">
        <v>1127727272.7272727</v>
      </c>
      <c r="H1141" s="54">
        <v>542552000</v>
      </c>
      <c r="I1141" s="65">
        <v>2.0785607144149734</v>
      </c>
      <c r="J1141" s="163">
        <v>13.705018939393941</v>
      </c>
    </row>
    <row r="1142" spans="1:11" hidden="1">
      <c r="A1142" s="64">
        <v>5309</v>
      </c>
      <c r="B1142" s="52">
        <v>0.15</v>
      </c>
      <c r="C1142" s="161">
        <v>0</v>
      </c>
      <c r="D1142" s="158">
        <v>186666666.66666669</v>
      </c>
      <c r="E1142" s="26">
        <f>VLOOKUP(5309,季財報!$A:$H,8,0)</f>
        <v>2</v>
      </c>
      <c r="F1142" s="161">
        <v>6.9100000000000023E-2</v>
      </c>
      <c r="G1142" s="54">
        <v>3584000000.0000005</v>
      </c>
      <c r="H1142" s="54">
        <v>1723533000</v>
      </c>
      <c r="I1142" s="65">
        <v>2.0794495956851424</v>
      </c>
      <c r="J1142" s="163">
        <v>0</v>
      </c>
    </row>
    <row r="1143" spans="1:11" hidden="1">
      <c r="A1143" s="64">
        <v>8937</v>
      </c>
      <c r="B1143" s="52">
        <v>0.41</v>
      </c>
      <c r="C1143" s="161">
        <v>0</v>
      </c>
      <c r="D1143" s="158">
        <v>70731707.317073181</v>
      </c>
      <c r="E1143" s="26">
        <f>VLOOKUP(8937,季財報!$A:$H,8,0)</f>
        <v>5</v>
      </c>
      <c r="F1143" s="161">
        <v>0.11523333333333335</v>
      </c>
      <c r="G1143" s="54">
        <v>877073170.73170745</v>
      </c>
      <c r="H1143" s="54">
        <v>421251000</v>
      </c>
      <c r="I1143" s="65">
        <v>2.0820678662643113</v>
      </c>
      <c r="J1143" s="163">
        <v>0</v>
      </c>
    </row>
    <row r="1144" spans="1:11" hidden="1">
      <c r="A1144" s="64">
        <v>8107</v>
      </c>
      <c r="B1144" s="52">
        <v>0.31</v>
      </c>
      <c r="C1144" s="161">
        <v>0</v>
      </c>
      <c r="D1144" s="158">
        <v>116129032.25806452</v>
      </c>
      <c r="E1144" s="26">
        <f>VLOOKUP(8107,季財報!$A:$H,8,0)</f>
        <v>5</v>
      </c>
      <c r="F1144" s="161">
        <v>-1.1833333333333348E-3</v>
      </c>
      <c r="G1144" s="54">
        <v>2218064516.1290326</v>
      </c>
      <c r="H1144" s="54">
        <v>1062622000</v>
      </c>
      <c r="I1144" s="65">
        <v>2.0873504558808613</v>
      </c>
      <c r="J1144" s="163">
        <v>0</v>
      </c>
    </row>
    <row r="1145" spans="1:11" hidden="1">
      <c r="A1145" s="64">
        <v>3289</v>
      </c>
      <c r="B1145" s="151">
        <v>2.0099999999999998</v>
      </c>
      <c r="C1145" s="160">
        <v>0</v>
      </c>
      <c r="D1145" s="153">
        <v>46766169.154228859</v>
      </c>
      <c r="E1145" s="26">
        <f>VLOOKUP(3289,季財報!$A:$H,8,0)</f>
        <v>4</v>
      </c>
      <c r="F1145" s="160">
        <v>1.3383333333333336E-2</v>
      </c>
      <c r="G1145" s="153">
        <v>4185572139.303483</v>
      </c>
      <c r="H1145" s="153">
        <v>1994223000</v>
      </c>
      <c r="I1145" s="151">
        <v>2.0988485938149761</v>
      </c>
      <c r="J1145" s="153">
        <v>0</v>
      </c>
    </row>
    <row r="1146" spans="1:11" hidden="1">
      <c r="A1146" s="64">
        <v>8079</v>
      </c>
      <c r="B1146" s="52">
        <v>0.38</v>
      </c>
      <c r="C1146" s="161">
        <v>0.96610169491525422</v>
      </c>
      <c r="D1146" s="158">
        <v>81578947.368421048</v>
      </c>
      <c r="E1146" s="26">
        <f>VLOOKUP(8079,季財報!$A:$H,8,0)</f>
        <v>3</v>
      </c>
      <c r="F1146" s="161">
        <v>-1.6583333333333335E-3</v>
      </c>
      <c r="G1146" s="54">
        <v>1027894736.8421052</v>
      </c>
      <c r="H1146" s="54">
        <v>489424000</v>
      </c>
      <c r="I1146" s="65">
        <v>2.1002131829295356</v>
      </c>
      <c r="J1146" s="163">
        <v>8.5803324099723</v>
      </c>
    </row>
    <row r="1147" spans="1:11" hidden="1">
      <c r="A1147" s="64">
        <v>1234</v>
      </c>
      <c r="B1147" s="151">
        <v>0.72</v>
      </c>
      <c r="C1147" s="160">
        <v>0.34909909909909909</v>
      </c>
      <c r="D1147" s="153">
        <v>404166666.66666669</v>
      </c>
      <c r="E1147" s="26">
        <f>VLOOKUP(1234,季財報!$A:$H,8,0)</f>
        <v>5</v>
      </c>
      <c r="F1147" s="160">
        <v>1.0741666666666668E-2</v>
      </c>
      <c r="G1147" s="153">
        <v>12892916666.666666</v>
      </c>
      <c r="H1147" s="153">
        <v>6133143000</v>
      </c>
      <c r="I1147" s="151">
        <v>2.1021712141175684</v>
      </c>
      <c r="J1147" s="153">
        <v>31.728494623655916</v>
      </c>
    </row>
    <row r="1148" spans="1:11" hidden="1">
      <c r="A1148" s="64">
        <v>3002</v>
      </c>
      <c r="B1148" s="151">
        <v>0.05</v>
      </c>
      <c r="C1148" s="160">
        <v>0.3125</v>
      </c>
      <c r="D1148" s="153">
        <v>100000000</v>
      </c>
      <c r="E1148" s="26">
        <f>VLOOKUP(3002,季財報!$A:$H,8,0)</f>
        <v>3</v>
      </c>
      <c r="F1148" s="160">
        <v>4.5749999999999992E-2</v>
      </c>
      <c r="G1148" s="153">
        <v>1030000000.0000001</v>
      </c>
      <c r="H1148" s="153">
        <v>486152000</v>
      </c>
      <c r="I1148" s="151">
        <v>2.1186789316921457</v>
      </c>
      <c r="J1148" s="153">
        <v>50</v>
      </c>
    </row>
    <row r="1149" spans="1:11" hidden="1">
      <c r="A1149" s="64">
        <v>2101</v>
      </c>
      <c r="B1149" s="151">
        <v>0.28000000000000003</v>
      </c>
      <c r="C1149" s="160">
        <v>0.73616236162361626</v>
      </c>
      <c r="D1149" s="153">
        <v>821428571.42857134</v>
      </c>
      <c r="E1149" s="26">
        <f>VLOOKUP(2101,季財報!$A:$H,8,0)</f>
        <v>2</v>
      </c>
      <c r="F1149" s="160">
        <v>3.3583333333333369E-3</v>
      </c>
      <c r="G1149" s="153">
        <v>23328571428.571426</v>
      </c>
      <c r="H1149" s="153">
        <v>10988802000</v>
      </c>
      <c r="I1149" s="151">
        <v>2.1229403740800339</v>
      </c>
      <c r="J1149" s="153">
        <v>34.445041174364476</v>
      </c>
    </row>
    <row r="1150" spans="1:11" hidden="1">
      <c r="A1150" s="64">
        <v>6243</v>
      </c>
      <c r="B1150" s="52">
        <v>-0.03</v>
      </c>
      <c r="C1150" s="161">
        <v>1</v>
      </c>
      <c r="D1150" s="158">
        <v>66666666.666666672</v>
      </c>
      <c r="E1150" s="26">
        <f>VLOOKUP(6243,季財報!$A:$H,8,0)</f>
        <v>3</v>
      </c>
      <c r="F1150" s="161">
        <v>2.2091666666666673E-2</v>
      </c>
      <c r="G1150" s="54">
        <v>1063333333.3333334</v>
      </c>
      <c r="H1150" s="54">
        <v>499751000</v>
      </c>
      <c r="I1150" s="65">
        <v>2.1277262743512937</v>
      </c>
      <c r="J1150" s="163">
        <v>0</v>
      </c>
    </row>
    <row r="1151" spans="1:11" hidden="1">
      <c r="A1151" s="64">
        <v>1103</v>
      </c>
      <c r="B1151" s="151">
        <v>-0.5</v>
      </c>
      <c r="C1151" s="160">
        <v>1</v>
      </c>
      <c r="D1151" s="153">
        <v>644000000</v>
      </c>
      <c r="E1151" s="26">
        <f>VLOOKUP(1103,季財報!$A:$H,8,0)</f>
        <v>1</v>
      </c>
      <c r="F1151" s="160">
        <v>4.6391666666666664E-2</v>
      </c>
      <c r="G1151" s="153">
        <v>6440000000</v>
      </c>
      <c r="H1151" s="153">
        <v>3018582000</v>
      </c>
      <c r="I1151" s="151">
        <v>2.1334520645786665</v>
      </c>
      <c r="J1151" s="153">
        <v>0</v>
      </c>
    </row>
    <row r="1152" spans="1:11" hidden="1">
      <c r="A1152" s="64">
        <v>3583</v>
      </c>
      <c r="B1152" s="151">
        <v>0.05</v>
      </c>
      <c r="C1152" s="160">
        <v>0.33333333333333331</v>
      </c>
      <c r="D1152" s="153">
        <v>80000000</v>
      </c>
      <c r="E1152" s="26">
        <f>VLOOKUP(3583,季財報!$A:$H,8,0)</f>
        <v>3</v>
      </c>
      <c r="F1152" s="160">
        <v>8.4325000000000025E-2</v>
      </c>
      <c r="G1152" s="153">
        <v>6320000000</v>
      </c>
      <c r="H1152" s="153">
        <v>2961321000</v>
      </c>
      <c r="I1152" s="151">
        <v>2.1341826840116287</v>
      </c>
      <c r="J1152" s="153">
        <v>50</v>
      </c>
    </row>
    <row r="1153" spans="1:10" hidden="1">
      <c r="A1153" s="64">
        <v>9925</v>
      </c>
      <c r="B1153" s="52">
        <v>0.87</v>
      </c>
      <c r="C1153" s="161">
        <v>0.53893129770992365</v>
      </c>
      <c r="D1153" s="158">
        <v>379310344.82758623</v>
      </c>
      <c r="E1153" s="26">
        <f>VLOOKUP(9925,季財報!$A:$H,8,0)</f>
        <v>2</v>
      </c>
      <c r="F1153" s="161">
        <v>3.0249999999999999E-3</v>
      </c>
      <c r="G1153" s="54">
        <v>14850000000</v>
      </c>
      <c r="H1153" s="54">
        <v>6948500000</v>
      </c>
      <c r="I1153" s="65">
        <v>2.1371519032884794</v>
      </c>
      <c r="J1153" s="163">
        <v>20.874645892351275</v>
      </c>
    </row>
    <row r="1154" spans="1:10" hidden="1">
      <c r="A1154" s="64">
        <v>3003</v>
      </c>
      <c r="B1154" s="151">
        <v>0.88</v>
      </c>
      <c r="C1154" s="160">
        <v>0.75342465753424659</v>
      </c>
      <c r="D1154" s="153">
        <v>155681818.18181819</v>
      </c>
      <c r="E1154" s="26">
        <f>VLOOKUP(3003,季財報!$A:$H,8,0)</f>
        <v>2</v>
      </c>
      <c r="F1154" s="160">
        <v>1.1591666666666662E-2</v>
      </c>
      <c r="G1154" s="153">
        <v>6359602272.727273</v>
      </c>
      <c r="H1154" s="153">
        <v>2965494000</v>
      </c>
      <c r="I1154" s="151">
        <v>2.1445338526152042</v>
      </c>
      <c r="J1154" s="153">
        <v>15.40315082644628</v>
      </c>
    </row>
    <row r="1155" spans="1:10" hidden="1">
      <c r="A1155" s="64">
        <v>5489</v>
      </c>
      <c r="B1155" s="52">
        <v>1.7</v>
      </c>
      <c r="C1155" s="161">
        <v>0.7076271186440678</v>
      </c>
      <c r="D1155" s="158">
        <v>100000000</v>
      </c>
      <c r="E1155" s="26">
        <f>VLOOKUP(5489,季財報!$A:$H,8,0)</f>
        <v>2</v>
      </c>
      <c r="F1155" s="161">
        <v>-1.2249999999999999E-2</v>
      </c>
      <c r="G1155" s="54">
        <v>5130000000</v>
      </c>
      <c r="H1155" s="54">
        <v>2390824000</v>
      </c>
      <c r="I1155" s="65">
        <v>2.1457037406350281</v>
      </c>
      <c r="J1155" s="163">
        <v>10.66114829165199</v>
      </c>
    </row>
    <row r="1156" spans="1:10" hidden="1">
      <c r="A1156" s="64">
        <v>3623</v>
      </c>
      <c r="B1156" s="151">
        <v>0.87</v>
      </c>
      <c r="C1156" s="160">
        <v>1</v>
      </c>
      <c r="D1156" s="153">
        <v>58620689.655172415</v>
      </c>
      <c r="E1156" s="26">
        <f>VLOOKUP(3623,季財報!$A:$H,8,0)</f>
        <v>3</v>
      </c>
      <c r="F1156" s="160">
        <v>2.5916666666666727E-3</v>
      </c>
      <c r="G1156" s="153">
        <v>2148448275.8620691</v>
      </c>
      <c r="H1156" s="153">
        <v>999955000</v>
      </c>
      <c r="I1156" s="151">
        <v>2.1485449603852866</v>
      </c>
      <c r="J1156" s="153">
        <v>10.531609195402298</v>
      </c>
    </row>
    <row r="1157" spans="1:10" hidden="1">
      <c r="A1157" s="64">
        <v>5457</v>
      </c>
      <c r="B1157" s="52">
        <v>0.62</v>
      </c>
      <c r="C1157" s="161">
        <v>0.59183673469387754</v>
      </c>
      <c r="D1157" s="158">
        <v>167741935.48387098</v>
      </c>
      <c r="E1157" s="26">
        <f>VLOOKUP(5457,季財報!$A:$H,8,0)</f>
        <v>0</v>
      </c>
      <c r="F1157" s="161">
        <v>4.8583333333333412E-3</v>
      </c>
      <c r="G1157" s="54">
        <v>4998709677.4193554</v>
      </c>
      <c r="H1157" s="54">
        <v>2310223000</v>
      </c>
      <c r="I1157" s="65">
        <v>2.1637347032816119</v>
      </c>
      <c r="J1157" s="163">
        <v>20.303114571746384</v>
      </c>
    </row>
    <row r="1158" spans="1:10" hidden="1">
      <c r="A1158" s="64">
        <v>3229</v>
      </c>
      <c r="B1158" s="151">
        <v>-0.19</v>
      </c>
      <c r="C1158" s="160">
        <v>0.91304347826086951</v>
      </c>
      <c r="D1158" s="153">
        <v>94736842.105263159</v>
      </c>
      <c r="E1158" s="26">
        <f>VLOOKUP(3229,季財報!$A:$H,8,0)</f>
        <v>0</v>
      </c>
      <c r="F1158" s="160">
        <v>8.7516666666666673E-2</v>
      </c>
      <c r="G1158" s="153">
        <v>1714736842.1052632</v>
      </c>
      <c r="H1158" s="153">
        <v>792060000</v>
      </c>
      <c r="I1158" s="151">
        <v>2.1649077621711275</v>
      </c>
      <c r="J1158" s="153">
        <v>0</v>
      </c>
    </row>
    <row r="1159" spans="1:10" hidden="1">
      <c r="A1159" s="64">
        <v>5284</v>
      </c>
      <c r="B1159" s="52">
        <v>1.89</v>
      </c>
      <c r="C1159" s="161">
        <v>0.8928571428571429</v>
      </c>
      <c r="D1159" s="158">
        <v>33862433.862433866</v>
      </c>
      <c r="E1159" s="26">
        <f>VLOOKUP(5284,季財報!$A:$H,8,0)</f>
        <v>4</v>
      </c>
      <c r="F1159" s="161">
        <v>1.9925000000000002E-2</v>
      </c>
      <c r="G1159" s="54">
        <v>2563386243.3862438</v>
      </c>
      <c r="H1159" s="54">
        <v>1178297000</v>
      </c>
      <c r="I1159" s="65">
        <v>2.1755009504278155</v>
      </c>
      <c r="J1159" s="163">
        <v>11.214814814814815</v>
      </c>
    </row>
    <row r="1160" spans="1:10" hidden="1">
      <c r="A1160" s="64">
        <v>2360</v>
      </c>
      <c r="B1160" s="151">
        <v>1.28</v>
      </c>
      <c r="C1160" s="160">
        <v>0.72305909617612973</v>
      </c>
      <c r="D1160" s="153">
        <v>376562500</v>
      </c>
      <c r="E1160" s="26">
        <f>VLOOKUP(2360,季財報!$A:$H,8,0)</f>
        <v>1</v>
      </c>
      <c r="F1160" s="160">
        <v>4.2791666666666672E-2</v>
      </c>
      <c r="G1160" s="153">
        <v>21577031250</v>
      </c>
      <c r="H1160" s="153">
        <v>9875952000</v>
      </c>
      <c r="I1160" s="151">
        <v>2.1848051965015625</v>
      </c>
      <c r="J1160" s="153">
        <v>15.477858323317307</v>
      </c>
    </row>
    <row r="1161" spans="1:10" hidden="1">
      <c r="A1161" s="64">
        <v>2608</v>
      </c>
      <c r="B1161" s="151">
        <v>0.66</v>
      </c>
      <c r="C1161" s="160">
        <v>0.65205843293492693</v>
      </c>
      <c r="D1161" s="153">
        <v>486363636.36363631</v>
      </c>
      <c r="E1161" s="26">
        <f>VLOOKUP(2608,季財報!$A:$H,8,0)</f>
        <v>3</v>
      </c>
      <c r="F1161" s="160">
        <v>1.5058333333333338E-2</v>
      </c>
      <c r="G1161" s="153">
        <v>19138409090.909088</v>
      </c>
      <c r="H1161" s="153">
        <v>8729111000</v>
      </c>
      <c r="I1161" s="151">
        <v>2.192480894206648</v>
      </c>
      <c r="J1161" s="153">
        <v>22.858845584151084</v>
      </c>
    </row>
    <row r="1162" spans="1:10" hidden="1">
      <c r="A1162" s="64">
        <v>5474</v>
      </c>
      <c r="B1162" s="52">
        <v>2.2400000000000002</v>
      </c>
      <c r="C1162" s="161">
        <v>0.91588785046728971</v>
      </c>
      <c r="D1162" s="158">
        <v>33928571.428571425</v>
      </c>
      <c r="E1162" s="26">
        <f>VLOOKUP(5474,季財報!$A:$H,8,0)</f>
        <v>4</v>
      </c>
      <c r="F1162" s="161">
        <v>4.3116666666666671E-2</v>
      </c>
      <c r="G1162" s="54">
        <v>2378392857.1428566</v>
      </c>
      <c r="H1162" s="54">
        <v>1084309000</v>
      </c>
      <c r="I1162" s="65">
        <v>2.1934640929318641</v>
      </c>
      <c r="J1162" s="163">
        <v>8.5421601676384817</v>
      </c>
    </row>
    <row r="1163" spans="1:10" hidden="1">
      <c r="A1163" s="64">
        <v>3474</v>
      </c>
      <c r="B1163" s="151">
        <v>0.88</v>
      </c>
      <c r="C1163" s="160">
        <v>0.78807180081065431</v>
      </c>
      <c r="D1163" s="153">
        <v>6561363636.363636</v>
      </c>
      <c r="E1163" s="26">
        <f>VLOOKUP(3474,季財報!$A:$H,8,0)</f>
        <v>3</v>
      </c>
      <c r="F1163" s="160">
        <v>-3.2825E-2</v>
      </c>
      <c r="G1163" s="153">
        <v>148286818181.81818</v>
      </c>
      <c r="H1163" s="153">
        <v>67535324000</v>
      </c>
      <c r="I1163" s="151">
        <v>2.1956927041886729</v>
      </c>
      <c r="J1163" s="153">
        <v>8.1470426157237323</v>
      </c>
    </row>
    <row r="1164" spans="1:10" hidden="1">
      <c r="A1164" s="64">
        <v>6187</v>
      </c>
      <c r="B1164" s="52">
        <v>0.74</v>
      </c>
      <c r="C1164" s="161">
        <v>0.84269662921348309</v>
      </c>
      <c r="D1164" s="158">
        <v>85135135.135135129</v>
      </c>
      <c r="E1164" s="26">
        <f>VLOOKUP(6187,季財報!$A:$H,8,0)</f>
        <v>1</v>
      </c>
      <c r="F1164" s="161">
        <v>-1.9766666666666665E-2</v>
      </c>
      <c r="G1164" s="54">
        <v>3469256756.7567563</v>
      </c>
      <c r="H1164" s="54">
        <v>1578070000</v>
      </c>
      <c r="I1164" s="65">
        <v>2.1984175332886098</v>
      </c>
      <c r="J1164" s="163">
        <v>16.336711711711711</v>
      </c>
    </row>
    <row r="1165" spans="1:10" hidden="1">
      <c r="A1165" s="64">
        <v>9942</v>
      </c>
      <c r="B1165" s="52">
        <v>1.56</v>
      </c>
      <c r="C1165" s="161">
        <v>0.82403433476394849</v>
      </c>
      <c r="D1165" s="158">
        <v>83333333.333333328</v>
      </c>
      <c r="E1165" s="26">
        <f>VLOOKUP(9942,季財報!$A:$H,8,0)</f>
        <v>2</v>
      </c>
      <c r="F1165" s="161">
        <v>2.7866666666666661E-2</v>
      </c>
      <c r="G1165" s="54">
        <v>6125000000</v>
      </c>
      <c r="H1165" s="54">
        <v>2783326000</v>
      </c>
      <c r="I1165" s="65">
        <v>2.2006046003953545</v>
      </c>
      <c r="J1165" s="163">
        <v>14.294120592948719</v>
      </c>
    </row>
    <row r="1166" spans="1:10" hidden="1">
      <c r="A1166" s="64">
        <v>4205</v>
      </c>
      <c r="B1166" s="52">
        <v>0.79</v>
      </c>
      <c r="C1166" s="161">
        <v>0.97029702970297027</v>
      </c>
      <c r="D1166" s="158">
        <v>73417721.518987343</v>
      </c>
      <c r="E1166" s="26">
        <f>VLOOKUP(4205,季財報!$A:$H,8,0)</f>
        <v>4</v>
      </c>
      <c r="F1166" s="161">
        <v>1.313333333333333E-2</v>
      </c>
      <c r="G1166" s="54">
        <v>2848607594.9367085</v>
      </c>
      <c r="H1166" s="54">
        <v>1292860000</v>
      </c>
      <c r="I1166" s="65">
        <v>2.2033380218559695</v>
      </c>
      <c r="J1166" s="163">
        <v>12.654352880392663</v>
      </c>
    </row>
    <row r="1167" spans="1:10" hidden="1">
      <c r="A1167" s="64">
        <v>1732</v>
      </c>
      <c r="B1167" s="151">
        <v>0.01</v>
      </c>
      <c r="C1167" s="160">
        <v>1</v>
      </c>
      <c r="D1167" s="153">
        <v>100000000</v>
      </c>
      <c r="E1167" s="26">
        <f>VLOOKUP(1732,季財報!$A:$H,8,0)</f>
        <v>3</v>
      </c>
      <c r="F1167" s="160">
        <v>9.2166666666666664E-3</v>
      </c>
      <c r="G1167" s="153">
        <v>1320000000</v>
      </c>
      <c r="H1167" s="153">
        <v>598393000</v>
      </c>
      <c r="I1167" s="151">
        <v>2.2059081573480972</v>
      </c>
      <c r="J1167" s="153">
        <v>50</v>
      </c>
    </row>
    <row r="1168" spans="1:10" hidden="1">
      <c r="A1168" s="64">
        <v>5288</v>
      </c>
      <c r="B1168" s="52">
        <v>2.42</v>
      </c>
      <c r="C1168" s="161">
        <v>0.74042553191489358</v>
      </c>
      <c r="D1168" s="158">
        <v>64462809.917355374</v>
      </c>
      <c r="E1168" s="26">
        <f>VLOOKUP(5288,季財報!$A:$H,8,0)</f>
        <v>4</v>
      </c>
      <c r="F1168" s="161">
        <v>3.3908333333333332E-2</v>
      </c>
      <c r="G1168" s="54">
        <v>8831404958.6776867</v>
      </c>
      <c r="H1168" s="54">
        <v>4002457000</v>
      </c>
      <c r="I1168" s="65">
        <v>2.206495899563115</v>
      </c>
      <c r="J1168" s="163">
        <v>19.114538804977681</v>
      </c>
    </row>
    <row r="1169" spans="1:11" hidden="1">
      <c r="A1169" s="64">
        <v>6426</v>
      </c>
      <c r="B1169" s="52">
        <v>1.1000000000000001</v>
      </c>
      <c r="C1169" s="161">
        <v>0.63265306122448983</v>
      </c>
      <c r="D1169" s="158">
        <v>31818181.818181816</v>
      </c>
      <c r="E1169" s="26">
        <f>VLOOKUP(6426,季財報!$A:$H,8,0)</f>
        <v>3</v>
      </c>
      <c r="F1169" s="161">
        <v>2.2441666666666662E-2</v>
      </c>
      <c r="G1169" s="54">
        <v>1118409090.9090908</v>
      </c>
      <c r="H1169" s="54">
        <v>505690000</v>
      </c>
      <c r="I1169" s="65">
        <v>2.2116496092647489</v>
      </c>
      <c r="J1169" s="163">
        <v>12.627199413489734</v>
      </c>
    </row>
    <row r="1170" spans="1:11" hidden="1">
      <c r="A1170" s="64">
        <v>2436</v>
      </c>
      <c r="B1170" s="151">
        <v>0.26</v>
      </c>
      <c r="C1170" s="160">
        <v>0</v>
      </c>
      <c r="D1170" s="153">
        <v>219230769.23076922</v>
      </c>
      <c r="E1170" s="26">
        <f>VLOOKUP(2436,季財報!$A:$H,8,0)</f>
        <v>1</v>
      </c>
      <c r="F1170" s="160">
        <v>1.5716666666666667E-2</v>
      </c>
      <c r="G1170" s="153">
        <v>3902307692.3076921</v>
      </c>
      <c r="H1170" s="153">
        <v>1764172000</v>
      </c>
      <c r="I1170" s="151">
        <v>2.2119768890491924</v>
      </c>
      <c r="J1170" s="153">
        <v>0</v>
      </c>
    </row>
    <row r="1171" spans="1:11" hidden="1">
      <c r="A1171" s="64">
        <v>3523</v>
      </c>
      <c r="B1171" s="151">
        <v>-0.56999999999999995</v>
      </c>
      <c r="C1171" s="160">
        <v>1</v>
      </c>
      <c r="D1171" s="153">
        <v>96491228.070175454</v>
      </c>
      <c r="E1171" s="26">
        <f>VLOOKUP(3523,季財報!$A:$H,8,0)</f>
        <v>1</v>
      </c>
      <c r="F1171" s="160">
        <v>-2.5458333333333333E-2</v>
      </c>
      <c r="G1171" s="153">
        <v>2228947368.4210529</v>
      </c>
      <c r="H1171" s="153">
        <v>1003128000</v>
      </c>
      <c r="I1171" s="151">
        <v>2.221996961924154</v>
      </c>
      <c r="J1171" s="153">
        <v>0</v>
      </c>
    </row>
    <row r="1172" spans="1:11" hidden="1">
      <c r="A1172" s="64">
        <v>6286</v>
      </c>
      <c r="B1172" s="52">
        <v>2.93</v>
      </c>
      <c r="C1172" s="161">
        <v>0.9085213032581454</v>
      </c>
      <c r="D1172" s="158">
        <v>148464163.82252559</v>
      </c>
      <c r="E1172" s="26">
        <f>VLOOKUP(6286,季財報!$A:$H,8,0)</f>
        <v>6</v>
      </c>
      <c r="F1172" s="161">
        <v>6.3500000000000006E-3</v>
      </c>
      <c r="G1172" s="54">
        <v>28282423208.191124</v>
      </c>
      <c r="H1172" s="54">
        <v>12697231000</v>
      </c>
      <c r="I1172" s="65">
        <v>2.2274481111819675</v>
      </c>
      <c r="J1172" s="163">
        <v>17.890902671531126</v>
      </c>
    </row>
    <row r="1173" spans="1:11" hidden="1">
      <c r="A1173" s="64">
        <v>3227</v>
      </c>
      <c r="B1173" s="151">
        <v>0.74</v>
      </c>
      <c r="C1173" s="160">
        <v>0.55625000000000002</v>
      </c>
      <c r="D1173" s="153">
        <v>128378378.37837838</v>
      </c>
      <c r="E1173" s="26">
        <f>VLOOKUP(3227,季財報!$A:$H,8,0)</f>
        <v>3</v>
      </c>
      <c r="F1173" s="160">
        <v>-2.5666666666666663E-3</v>
      </c>
      <c r="G1173" s="153">
        <v>9615540540.5405407</v>
      </c>
      <c r="H1173" s="153">
        <v>4315744000</v>
      </c>
      <c r="I1173" s="151">
        <v>2.2280145765227366</v>
      </c>
      <c r="J1173" s="153">
        <v>45.490434254479197</v>
      </c>
    </row>
    <row r="1174" spans="1:11" hidden="1">
      <c r="A1174" s="64">
        <v>3705</v>
      </c>
      <c r="B1174" s="52">
        <v>0.83</v>
      </c>
      <c r="C1174" s="161">
        <v>0.77892030848329052</v>
      </c>
      <c r="D1174" s="158">
        <v>266265060.24096388</v>
      </c>
      <c r="E1174" s="26">
        <f>VLOOKUP(3705,季財報!$A:$H,8,0)</f>
        <v>2</v>
      </c>
      <c r="F1174" s="161">
        <v>2.9750000000000019E-3</v>
      </c>
      <c r="G1174" s="54">
        <v>13313253012.048193</v>
      </c>
      <c r="H1174" s="54">
        <v>5973612000</v>
      </c>
      <c r="I1174" s="65">
        <v>2.2286772244411241</v>
      </c>
      <c r="J1174" s="163">
        <v>19.334764801781382</v>
      </c>
    </row>
    <row r="1175" spans="1:11" hidden="1">
      <c r="A1175" s="64">
        <v>1516</v>
      </c>
      <c r="B1175" s="151">
        <v>-0.08</v>
      </c>
      <c r="C1175" s="160">
        <v>0</v>
      </c>
      <c r="D1175" s="153">
        <v>25000000</v>
      </c>
      <c r="E1175" s="26">
        <f>VLOOKUP(1516,季財報!$A:$H,8,0)</f>
        <v>2</v>
      </c>
      <c r="F1175" s="160">
        <v>0.86485000000000012</v>
      </c>
      <c r="G1175" s="153">
        <v>512500000</v>
      </c>
      <c r="H1175" s="153">
        <v>229834000</v>
      </c>
      <c r="I1175" s="151">
        <v>2.2298702541834543</v>
      </c>
      <c r="J1175" s="153">
        <v>0</v>
      </c>
    </row>
    <row r="1176" spans="1:11" hidden="1">
      <c r="A1176" s="64">
        <v>6294</v>
      </c>
      <c r="B1176" s="52">
        <v>1.06</v>
      </c>
      <c r="C1176" s="161">
        <v>1</v>
      </c>
      <c r="D1176" s="158">
        <v>16981132.075471696</v>
      </c>
      <c r="E1176" s="26">
        <f>VLOOKUP(6294,季財報!$A:$H,8,0)</f>
        <v>2</v>
      </c>
      <c r="F1176" s="161">
        <v>4.3408333333333327E-2</v>
      </c>
      <c r="G1176" s="54">
        <v>1502830188.679245</v>
      </c>
      <c r="H1176" s="54">
        <v>673883000</v>
      </c>
      <c r="I1176" s="65">
        <v>2.2301055059695005</v>
      </c>
      <c r="J1176" s="163">
        <v>20.872641509433961</v>
      </c>
    </row>
    <row r="1177" spans="1:11" hidden="1">
      <c r="A1177" s="64">
        <v>1416</v>
      </c>
      <c r="B1177" s="151">
        <v>-0.26</v>
      </c>
      <c r="C1177" s="160">
        <v>0.87401574803149606</v>
      </c>
      <c r="D1177" s="153">
        <v>273076923.07692307</v>
      </c>
      <c r="E1177" s="26">
        <f>VLOOKUP(1416,季財報!$A:$H,8,0)</f>
        <v>0</v>
      </c>
      <c r="F1177" s="160">
        <v>3.5478499999999999</v>
      </c>
      <c r="G1177" s="153">
        <v>5106538461.5384617</v>
      </c>
      <c r="H1177" s="153">
        <v>2285123000</v>
      </c>
      <c r="I1177" s="151">
        <v>2.234688662946573</v>
      </c>
      <c r="J1177" s="153">
        <v>0</v>
      </c>
    </row>
    <row r="1178" spans="1:11" hidden="1">
      <c r="A1178" s="64">
        <v>3645</v>
      </c>
      <c r="B1178" s="151">
        <v>0.51</v>
      </c>
      <c r="C1178" s="160">
        <v>0.989247311827957</v>
      </c>
      <c r="D1178" s="153">
        <v>117647058.82352941</v>
      </c>
      <c r="E1178" s="26">
        <f>VLOOKUP(3645,季財報!$A:$H,8,0)</f>
        <v>2</v>
      </c>
      <c r="F1178" s="160">
        <v>1.3908333333333335E-2</v>
      </c>
      <c r="G1178" s="153">
        <v>3417647058.8235292</v>
      </c>
      <c r="H1178" s="153">
        <v>1528120000</v>
      </c>
      <c r="I1178" s="151">
        <v>2.2365043706145653</v>
      </c>
      <c r="J1178" s="153">
        <v>14.394980818414323</v>
      </c>
    </row>
    <row r="1179" spans="1:11">
      <c r="A1179" s="64">
        <v>2433</v>
      </c>
      <c r="B1179" s="151">
        <v>1.44</v>
      </c>
      <c r="C1179" s="160">
        <v>0.56932153392330387</v>
      </c>
      <c r="D1179" s="153">
        <v>143750000</v>
      </c>
      <c r="E1179" s="26">
        <f>VLOOKUP(2433,季財報!$A:$H,8,0)</f>
        <v>4</v>
      </c>
      <c r="F1179" s="160">
        <v>1.9566666666666666E-2</v>
      </c>
      <c r="G1179" s="153">
        <v>6382500000</v>
      </c>
      <c r="H1179" s="153">
        <v>2851587000</v>
      </c>
      <c r="I1179" s="151">
        <v>2.238227344983688</v>
      </c>
      <c r="J1179" s="153">
        <v>13.539507772020725</v>
      </c>
    </row>
    <row r="1180" spans="1:11" hidden="1">
      <c r="A1180" s="64">
        <v>1720</v>
      </c>
      <c r="B1180" s="151">
        <v>0.53</v>
      </c>
      <c r="C1180" s="160">
        <v>0.66666666666666663</v>
      </c>
      <c r="D1180" s="153">
        <v>177358490.56603771</v>
      </c>
      <c r="E1180" s="26">
        <f>VLOOKUP(1720,季財報!$A:$H,8,0)</f>
        <v>3</v>
      </c>
      <c r="F1180" s="160">
        <v>1.8158333333333335E-2</v>
      </c>
      <c r="G1180" s="153">
        <v>7404716981.1320744</v>
      </c>
      <c r="H1180" s="153">
        <v>3304870000</v>
      </c>
      <c r="I1180" s="151">
        <v>2.2405471262506769</v>
      </c>
      <c r="J1180" s="153">
        <v>29.540094339622641</v>
      </c>
    </row>
    <row r="1181" spans="1:11" hidden="1">
      <c r="A1181" s="64">
        <v>4528</v>
      </c>
      <c r="B1181" s="52">
        <v>0.82</v>
      </c>
      <c r="C1181" s="161">
        <v>0.96062992125984248</v>
      </c>
      <c r="D1181" s="158">
        <v>76829268.292682931</v>
      </c>
      <c r="E1181" s="26">
        <f>VLOOKUP(4528,季財報!$A:$H,8,0)</f>
        <v>2</v>
      </c>
      <c r="F1181" s="161">
        <v>2.164166666666667E-2</v>
      </c>
      <c r="G1181" s="54">
        <v>5016951219.5121956</v>
      </c>
      <c r="H1181" s="54">
        <v>2212636000</v>
      </c>
      <c r="I1181" s="65">
        <v>2.2674091985813281</v>
      </c>
      <c r="J1181" s="163">
        <v>20.724460215913638</v>
      </c>
    </row>
    <row r="1182" spans="1:11" hidden="1">
      <c r="A1182" s="64">
        <v>3512</v>
      </c>
      <c r="B1182" s="151">
        <v>0.72</v>
      </c>
      <c r="C1182" s="160">
        <v>1</v>
      </c>
      <c r="D1182" s="153">
        <v>59722222.222222224</v>
      </c>
      <c r="E1182" s="26">
        <f>VLOOKUP(3512,季財報!$A:$H,8,0)</f>
        <v>4</v>
      </c>
      <c r="F1182" s="160">
        <v>0.12030833333333331</v>
      </c>
      <c r="G1182" s="153">
        <v>1833472222.2222223</v>
      </c>
      <c r="H1182" s="153">
        <v>804377000</v>
      </c>
      <c r="I1182" s="151">
        <v>2.2793692786121711</v>
      </c>
      <c r="J1182" s="153">
        <v>10.659722222222223</v>
      </c>
    </row>
    <row r="1183" spans="1:11" hidden="1">
      <c r="A1183" s="64">
        <v>1742</v>
      </c>
      <c r="B1183" s="151">
        <v>-0.47</v>
      </c>
      <c r="C1183" s="160">
        <v>0.65</v>
      </c>
      <c r="D1183" s="153">
        <v>121276595.74468085</v>
      </c>
      <c r="E1183" s="26">
        <f>VLOOKUP(1742,季財報!$A:$H,8,0)</f>
        <v>0</v>
      </c>
      <c r="F1183" s="160">
        <v>7.7875000000000014E-2</v>
      </c>
      <c r="G1183" s="153">
        <v>1528085106.3829787</v>
      </c>
      <c r="H1183" s="153">
        <v>664678000</v>
      </c>
      <c r="I1183" s="151">
        <v>2.2989855334206619</v>
      </c>
      <c r="J1183" s="153">
        <v>0</v>
      </c>
    </row>
    <row r="1184" spans="1:11" hidden="1">
      <c r="A1184" s="64">
        <v>2495</v>
      </c>
      <c r="B1184" s="151">
        <v>0.42</v>
      </c>
      <c r="C1184" s="160">
        <v>0.22068965517241379</v>
      </c>
      <c r="D1184" s="153">
        <v>278571428.5714286</v>
      </c>
      <c r="E1184" s="26">
        <f>VLOOKUP(2495,季財報!$A:$H,8,0)</f>
        <v>3</v>
      </c>
      <c r="F1184" s="160">
        <v>-6.2166666666666646E-3</v>
      </c>
      <c r="G1184" s="153">
        <v>3955714285.7142859</v>
      </c>
      <c r="H1184" s="153">
        <v>1720444000</v>
      </c>
      <c r="I1184" s="151">
        <v>2.299240362205504</v>
      </c>
      <c r="J1184" s="153">
        <v>38.29985119047619</v>
      </c>
      <c r="K1184" s="32"/>
    </row>
    <row r="1185" spans="1:10" hidden="1">
      <c r="A1185" s="64">
        <v>6414</v>
      </c>
      <c r="B1185" s="52">
        <v>3.59</v>
      </c>
      <c r="C1185" s="161">
        <v>0.76222222222222225</v>
      </c>
      <c r="D1185" s="158">
        <v>68802228.412256271</v>
      </c>
      <c r="E1185" s="26">
        <f>VLOOKUP(6414,季財報!$A:$H,8,0)</f>
        <v>3</v>
      </c>
      <c r="F1185" s="161">
        <v>8.0141666666666667E-2</v>
      </c>
      <c r="G1185" s="54">
        <v>23839972144.846798</v>
      </c>
      <c r="H1185" s="54">
        <v>10365079000</v>
      </c>
      <c r="I1185" s="65">
        <v>2.300028021479315</v>
      </c>
      <c r="J1185" s="163">
        <v>31.656813143084531</v>
      </c>
    </row>
    <row r="1186" spans="1:10" hidden="1">
      <c r="A1186" s="64">
        <v>2458</v>
      </c>
      <c r="B1186" s="151">
        <v>0.56999999999999995</v>
      </c>
      <c r="C1186" s="160">
        <v>0.83080808080808077</v>
      </c>
      <c r="D1186" s="153">
        <v>414035087.7192983</v>
      </c>
      <c r="E1186" s="26">
        <f>VLOOKUP(2458,季財報!$A:$H,8,0)</f>
        <v>2</v>
      </c>
      <c r="F1186" s="160">
        <v>6.6999999999999985E-3</v>
      </c>
      <c r="G1186" s="153">
        <v>15484912280.701756</v>
      </c>
      <c r="H1186" s="153">
        <v>6731481000</v>
      </c>
      <c r="I1186" s="151">
        <v>2.3003722777649904</v>
      </c>
      <c r="J1186" s="153">
        <v>19.744040953447449</v>
      </c>
    </row>
    <row r="1187" spans="1:10" hidden="1">
      <c r="A1187" s="64">
        <v>8435</v>
      </c>
      <c r="B1187" s="52">
        <v>0.96</v>
      </c>
      <c r="C1187" s="161">
        <v>0.90740740740740744</v>
      </c>
      <c r="D1187" s="158">
        <v>31250000</v>
      </c>
      <c r="E1187" s="26">
        <f>VLOOKUP(8435,季財報!$A:$H,8,0)</f>
        <v>2</v>
      </c>
      <c r="F1187" s="161">
        <v>2.1533333333333324E-2</v>
      </c>
      <c r="G1187" s="54">
        <v>1478125000</v>
      </c>
      <c r="H1187" s="54">
        <v>641474000</v>
      </c>
      <c r="I1187" s="65">
        <v>2.3042633060732003</v>
      </c>
      <c r="J1187" s="163">
        <v>13.574617346938776</v>
      </c>
    </row>
    <row r="1188" spans="1:10" hidden="1">
      <c r="A1188" s="64">
        <v>6233</v>
      </c>
      <c r="B1188" s="52">
        <v>0.04</v>
      </c>
      <c r="C1188" s="161">
        <v>1</v>
      </c>
      <c r="D1188" s="158">
        <v>75000000</v>
      </c>
      <c r="E1188" s="26">
        <f>VLOOKUP(6233,季財報!$A:$H,8,0)</f>
        <v>2</v>
      </c>
      <c r="F1188" s="161">
        <v>5.4133333333333332E-2</v>
      </c>
      <c r="G1188" s="54">
        <v>963750000</v>
      </c>
      <c r="H1188" s="54">
        <v>417881000</v>
      </c>
      <c r="I1188" s="65">
        <v>2.306278581701489</v>
      </c>
      <c r="J1188" s="163">
        <v>50</v>
      </c>
    </row>
    <row r="1189" spans="1:10" hidden="1">
      <c r="A1189" s="64">
        <v>6504</v>
      </c>
      <c r="B1189" s="52">
        <v>1.82</v>
      </c>
      <c r="C1189" s="161">
        <v>1</v>
      </c>
      <c r="D1189" s="158">
        <v>72527472.527472526</v>
      </c>
      <c r="E1189" s="26">
        <f>VLOOKUP(6504,季財報!$A:$H,8,0)</f>
        <v>2</v>
      </c>
      <c r="F1189" s="161">
        <v>1.4499999999999999E-2</v>
      </c>
      <c r="G1189" s="54">
        <v>13743956043.956043</v>
      </c>
      <c r="H1189" s="54">
        <v>5925758000</v>
      </c>
      <c r="I1189" s="65">
        <v>2.3193583072336135</v>
      </c>
      <c r="J1189" s="163">
        <v>26.030219780219781</v>
      </c>
    </row>
    <row r="1190" spans="1:10" hidden="1">
      <c r="A1190" s="64">
        <v>3541</v>
      </c>
      <c r="B1190" s="151">
        <v>1.1100000000000001</v>
      </c>
      <c r="C1190" s="160">
        <v>0.72839506172839508</v>
      </c>
      <c r="D1190" s="153">
        <v>44144144.14414414</v>
      </c>
      <c r="E1190" s="26">
        <f>VLOOKUP(3541,季財報!$A:$H,8,0)</f>
        <v>3</v>
      </c>
      <c r="F1190" s="160">
        <v>4.2166666666666611E-3</v>
      </c>
      <c r="G1190" s="153">
        <v>3222522522.5225224</v>
      </c>
      <c r="H1190" s="153">
        <v>1388924000</v>
      </c>
      <c r="I1190" s="151">
        <v>2.3201575626330326</v>
      </c>
      <c r="J1190" s="153">
        <v>22.572148419606044</v>
      </c>
    </row>
    <row r="1191" spans="1:10" hidden="1">
      <c r="A1191" s="64">
        <v>4904</v>
      </c>
      <c r="B1191" s="52">
        <v>0.99</v>
      </c>
      <c r="C1191" s="161">
        <v>1</v>
      </c>
      <c r="D1191" s="158">
        <v>3247474747.4747477</v>
      </c>
      <c r="E1191" s="26">
        <f>VLOOKUP(4904,季財報!$A:$H,8,0)</f>
        <v>3</v>
      </c>
      <c r="F1191" s="161">
        <v>5.308333333333335E-3</v>
      </c>
      <c r="G1191" s="54">
        <v>226998484848.48489</v>
      </c>
      <c r="H1191" s="54">
        <v>97806271000</v>
      </c>
      <c r="I1191" s="65">
        <v>2.3208990847681421</v>
      </c>
      <c r="J1191" s="163">
        <v>17.651515151515152</v>
      </c>
    </row>
    <row r="1192" spans="1:10" hidden="1">
      <c r="A1192" s="64">
        <v>3452</v>
      </c>
      <c r="B1192" s="151">
        <v>-0.23</v>
      </c>
      <c r="C1192" s="160">
        <v>1</v>
      </c>
      <c r="D1192" s="153">
        <v>782608695.65217388</v>
      </c>
      <c r="E1192" s="26">
        <f>VLOOKUP(3452,季財報!$A:$H,8,0)</f>
        <v>4</v>
      </c>
      <c r="F1192" s="160">
        <v>0.10494166666666666</v>
      </c>
      <c r="G1192" s="153">
        <v>9626086956.52174</v>
      </c>
      <c r="H1192" s="153">
        <v>4145979000</v>
      </c>
      <c r="I1192" s="151">
        <v>2.3217886430495041</v>
      </c>
      <c r="J1192" s="153">
        <v>0</v>
      </c>
    </row>
    <row r="1193" spans="1:10" hidden="1">
      <c r="A1193" s="64">
        <v>9940</v>
      </c>
      <c r="B1193" s="52">
        <v>0.17</v>
      </c>
      <c r="C1193" s="161">
        <v>0.51704545454545459</v>
      </c>
      <c r="D1193" s="158">
        <v>647058823.52941167</v>
      </c>
      <c r="E1193" s="26">
        <f>VLOOKUP(9940,季財報!$A:$H,8,0)</f>
        <v>2</v>
      </c>
      <c r="F1193" s="161">
        <v>2.1649999999999989E-2</v>
      </c>
      <c r="G1193" s="54">
        <v>18085294117.647057</v>
      </c>
      <c r="H1193" s="54">
        <v>7761009000</v>
      </c>
      <c r="I1193" s="65">
        <v>2.3302761429148009</v>
      </c>
      <c r="J1193" s="163">
        <v>50</v>
      </c>
    </row>
    <row r="1194" spans="1:10" hidden="1">
      <c r="A1194" s="64">
        <v>8444</v>
      </c>
      <c r="B1194" s="52">
        <v>0.81</v>
      </c>
      <c r="C1194" s="161">
        <v>1</v>
      </c>
      <c r="D1194" s="158">
        <v>66666666.666666664</v>
      </c>
      <c r="E1194" s="26">
        <f>VLOOKUP(8444,季財報!$A:$H,8,0)</f>
        <v>2</v>
      </c>
      <c r="F1194" s="161">
        <v>-1.1950000000000002E-2</v>
      </c>
      <c r="G1194" s="54">
        <v>4733333333.333333</v>
      </c>
      <c r="H1194" s="54">
        <v>2029947000</v>
      </c>
      <c r="I1194" s="65">
        <v>2.3317521754673067</v>
      </c>
      <c r="J1194" s="163">
        <v>21.913580246913579</v>
      </c>
    </row>
    <row r="1195" spans="1:10" hidden="1">
      <c r="A1195" s="64">
        <v>3416</v>
      </c>
      <c r="B1195" s="151">
        <v>0.91</v>
      </c>
      <c r="C1195" s="160">
        <v>0.99009900990099009</v>
      </c>
      <c r="D1195" s="153">
        <v>60439560.439560436</v>
      </c>
      <c r="E1195" s="26">
        <f>VLOOKUP(3416,季財報!$A:$H,8,0)</f>
        <v>2</v>
      </c>
      <c r="F1195" s="160">
        <v>2.8616666666666669E-2</v>
      </c>
      <c r="G1195" s="153">
        <v>3517582417.5824175</v>
      </c>
      <c r="H1195" s="153">
        <v>1508015000</v>
      </c>
      <c r="I1195" s="151">
        <v>2.3325911331004119</v>
      </c>
      <c r="J1195" s="153">
        <v>16.148901098901099</v>
      </c>
    </row>
    <row r="1196" spans="1:10" hidden="1">
      <c r="A1196" s="64">
        <v>1734</v>
      </c>
      <c r="B1196" s="151">
        <v>-0.1</v>
      </c>
      <c r="C1196" s="160">
        <v>1</v>
      </c>
      <c r="D1196" s="153">
        <v>170000000</v>
      </c>
      <c r="E1196" s="26">
        <f>VLOOKUP(1734,季財報!$A:$H,8,0)</f>
        <v>2</v>
      </c>
      <c r="F1196" s="160">
        <v>2.1458333333333326E-2</v>
      </c>
      <c r="G1196" s="153">
        <v>5244500000</v>
      </c>
      <c r="H1196" s="153">
        <v>2238489000</v>
      </c>
      <c r="I1196" s="151">
        <v>2.342875037581154</v>
      </c>
      <c r="J1196" s="153">
        <v>0</v>
      </c>
    </row>
    <row r="1197" spans="1:10" hidden="1">
      <c r="A1197" s="64">
        <v>3045</v>
      </c>
      <c r="B1197" s="151">
        <v>1.53</v>
      </c>
      <c r="C1197" s="160">
        <v>1</v>
      </c>
      <c r="D1197" s="153">
        <v>2718300653.5947714</v>
      </c>
      <c r="E1197" s="26">
        <f>VLOOKUP(3045,季財報!$A:$H,8,0)</f>
        <v>4</v>
      </c>
      <c r="F1197" s="160">
        <v>6.2749999999999985E-3</v>
      </c>
      <c r="G1197" s="153">
        <v>273189215686.27454</v>
      </c>
      <c r="H1197" s="153">
        <v>116330258000</v>
      </c>
      <c r="I1197" s="151">
        <v>2.3483934479563739</v>
      </c>
      <c r="J1197" s="153">
        <v>16.421568627450981</v>
      </c>
    </row>
    <row r="1198" spans="1:10" hidden="1">
      <c r="A1198" s="64">
        <v>6263</v>
      </c>
      <c r="B1198" s="52">
        <v>1.07</v>
      </c>
      <c r="C1198" s="161">
        <v>0.90298507462686572</v>
      </c>
      <c r="D1198" s="158">
        <v>62616822.42990654</v>
      </c>
      <c r="E1198" s="26">
        <f>VLOOKUP(6263,季財報!$A:$H,8,0)</f>
        <v>2</v>
      </c>
      <c r="F1198" s="161">
        <v>1.5683333333333334E-2</v>
      </c>
      <c r="G1198" s="54">
        <v>3065093457.9439254</v>
      </c>
      <c r="H1198" s="54">
        <v>1303004000</v>
      </c>
      <c r="I1198" s="65">
        <v>2.3523285100766578</v>
      </c>
      <c r="J1198" s="163">
        <v>12.665675446049276</v>
      </c>
    </row>
    <row r="1199" spans="1:10" hidden="1">
      <c r="A1199" s="64">
        <v>4153</v>
      </c>
      <c r="B1199" s="52">
        <v>1.67</v>
      </c>
      <c r="C1199" s="161">
        <v>0.97297297297297303</v>
      </c>
      <c r="D1199" s="158">
        <v>37724550.898203596</v>
      </c>
      <c r="E1199" s="26">
        <f>VLOOKUP(4153,季財報!$A:$H,8,0)</f>
        <v>3</v>
      </c>
      <c r="F1199" s="161">
        <v>2.0475000000000007E-2</v>
      </c>
      <c r="G1199" s="54">
        <v>3014191616.7664676</v>
      </c>
      <c r="H1199" s="54">
        <v>1279718000</v>
      </c>
      <c r="I1199" s="65">
        <v>2.3553561149928872</v>
      </c>
      <c r="J1199" s="163">
        <v>12.29333000665336</v>
      </c>
    </row>
    <row r="1200" spans="1:10" hidden="1">
      <c r="A1200" s="64">
        <v>2227</v>
      </c>
      <c r="B1200" s="151">
        <v>2.85</v>
      </c>
      <c r="C1200" s="160">
        <v>9.5493083444890672E-2</v>
      </c>
      <c r="D1200" s="153">
        <v>300000000</v>
      </c>
      <c r="E1200" s="26">
        <f>VLOOKUP(2227,季財報!$A:$H,8,0)</f>
        <v>0</v>
      </c>
      <c r="F1200" s="160">
        <v>6.9583333333333344E-2</v>
      </c>
      <c r="G1200" s="153">
        <v>78450000000</v>
      </c>
      <c r="H1200" s="153">
        <v>33303178000</v>
      </c>
      <c r="I1200" s="151">
        <v>2.3556310451813336</v>
      </c>
      <c r="J1200" s="153">
        <v>50</v>
      </c>
    </row>
    <row r="1201" spans="1:10" hidden="1">
      <c r="A1201" s="64">
        <v>9938</v>
      </c>
      <c r="B1201" s="52">
        <v>1</v>
      </c>
      <c r="C1201" s="161">
        <v>0.93642611683848798</v>
      </c>
      <c r="D1201" s="158">
        <v>297000000</v>
      </c>
      <c r="E1201" s="26">
        <f>VLOOKUP(9938,季財報!$A:$H,8,0)</f>
        <v>3</v>
      </c>
      <c r="F1201" s="161">
        <v>4.721666666666665E-2</v>
      </c>
      <c r="G1201" s="54">
        <v>22334400000</v>
      </c>
      <c r="H1201" s="54">
        <v>9449870000</v>
      </c>
      <c r="I1201" s="65">
        <v>2.3634610846498418</v>
      </c>
      <c r="J1201" s="163">
        <v>20.07633027522936</v>
      </c>
    </row>
    <row r="1202" spans="1:10" hidden="1">
      <c r="A1202" s="64">
        <v>3428</v>
      </c>
      <c r="B1202" s="151">
        <v>1.31</v>
      </c>
      <c r="C1202" s="160">
        <v>0.94974874371859297</v>
      </c>
      <c r="D1202" s="153">
        <v>95419847.328244269</v>
      </c>
      <c r="E1202" s="26">
        <f>VLOOKUP(3428,季財報!$A:$H,8,0)</f>
        <v>5</v>
      </c>
      <c r="F1202" s="160">
        <v>6.7941666666666664E-2</v>
      </c>
      <c r="G1202" s="153">
        <v>4198473282.4427481</v>
      </c>
      <c r="H1202" s="153">
        <v>1770068000</v>
      </c>
      <c r="I1202" s="151">
        <v>2.3719276787347989</v>
      </c>
      <c r="J1202" s="153">
        <v>8.8412294519164742</v>
      </c>
    </row>
    <row r="1203" spans="1:10" hidden="1">
      <c r="A1203" s="64">
        <v>6289</v>
      </c>
      <c r="B1203" s="52">
        <v>-0.25</v>
      </c>
      <c r="C1203" s="161">
        <v>1</v>
      </c>
      <c r="D1203" s="158">
        <v>264000000</v>
      </c>
      <c r="E1203" s="26">
        <f>VLOOKUP(6289,季財報!$A:$H,8,0)</f>
        <v>2</v>
      </c>
      <c r="F1203" s="161">
        <v>1.8733333333333338E-2</v>
      </c>
      <c r="G1203" s="54">
        <v>285120000</v>
      </c>
      <c r="H1203" s="54">
        <v>120163000</v>
      </c>
      <c r="I1203" s="65">
        <v>2.3727769779383006</v>
      </c>
      <c r="J1203" s="163">
        <v>0</v>
      </c>
    </row>
    <row r="1204" spans="1:10" hidden="1">
      <c r="A1204" s="64">
        <v>6155</v>
      </c>
      <c r="B1204" s="52">
        <v>0.76</v>
      </c>
      <c r="C1204" s="161">
        <v>0.23170731707317074</v>
      </c>
      <c r="D1204" s="158">
        <v>85526315.789473683</v>
      </c>
      <c r="E1204" s="26">
        <f>VLOOKUP(6155,季財報!$A:$H,8,0)</f>
        <v>4</v>
      </c>
      <c r="F1204" s="161">
        <v>-4.3749999999999943E-3</v>
      </c>
      <c r="G1204" s="54">
        <v>1543750000</v>
      </c>
      <c r="H1204" s="54">
        <v>647454000</v>
      </c>
      <c r="I1204" s="65">
        <v>2.384339273523679</v>
      </c>
      <c r="J1204" s="163">
        <v>25.625</v>
      </c>
    </row>
    <row r="1205" spans="1:10" hidden="1">
      <c r="A1205" s="64">
        <v>6165</v>
      </c>
      <c r="B1205" s="52">
        <v>0.44</v>
      </c>
      <c r="C1205" s="161">
        <v>0.5714285714285714</v>
      </c>
      <c r="D1205" s="158">
        <v>50000000</v>
      </c>
      <c r="E1205" s="26">
        <f>VLOOKUP(6165,季財報!$A:$H,8,0)</f>
        <v>2</v>
      </c>
      <c r="F1205" s="161">
        <v>-7.3525000000000007E-2</v>
      </c>
      <c r="G1205" s="54">
        <v>595000000</v>
      </c>
      <c r="H1205" s="54">
        <v>249089000</v>
      </c>
      <c r="I1205" s="65">
        <v>2.3887044389756271</v>
      </c>
      <c r="J1205" s="163">
        <v>11.832386363636365</v>
      </c>
    </row>
    <row r="1206" spans="1:10" hidden="1">
      <c r="A1206" s="64">
        <v>8404</v>
      </c>
      <c r="B1206" s="52">
        <v>0.51</v>
      </c>
      <c r="C1206" s="161">
        <v>0.90196078431372551</v>
      </c>
      <c r="D1206" s="158">
        <v>223529411.76470587</v>
      </c>
      <c r="E1206" s="26">
        <f>VLOOKUP(8404,季財報!$A:$H,8,0)</f>
        <v>2</v>
      </c>
      <c r="F1206" s="161">
        <v>6.6174999999999998E-2</v>
      </c>
      <c r="G1206" s="54">
        <v>8494117647.0588226</v>
      </c>
      <c r="H1206" s="54">
        <v>3546571000</v>
      </c>
      <c r="I1206" s="65">
        <v>2.3950225857761827</v>
      </c>
      <c r="J1206" s="163">
        <v>20.652173913043477</v>
      </c>
    </row>
    <row r="1207" spans="1:10" hidden="1">
      <c r="A1207" s="64">
        <v>6124</v>
      </c>
      <c r="B1207" s="52">
        <v>-0.09</v>
      </c>
      <c r="C1207" s="161">
        <v>1</v>
      </c>
      <c r="D1207" s="158">
        <v>177777777.77777779</v>
      </c>
      <c r="E1207" s="26">
        <f>VLOOKUP(6124,季財報!$A:$H,8,0)</f>
        <v>3</v>
      </c>
      <c r="F1207" s="161">
        <v>3.8383333333333332E-2</v>
      </c>
      <c r="G1207" s="54">
        <v>4408888888.8888893</v>
      </c>
      <c r="H1207" s="54">
        <v>1837632000</v>
      </c>
      <c r="I1207" s="65">
        <v>2.3992229613376832</v>
      </c>
      <c r="J1207" s="163">
        <v>0</v>
      </c>
    </row>
    <row r="1208" spans="1:10" hidden="1">
      <c r="A1208" s="64">
        <v>3131</v>
      </c>
      <c r="B1208" s="151">
        <v>4.92</v>
      </c>
      <c r="C1208" s="160">
        <v>1</v>
      </c>
      <c r="D1208" s="153">
        <v>24593495.934959348</v>
      </c>
      <c r="E1208" s="26">
        <f>VLOOKUP(3131,季財報!$A:$H,8,0)</f>
        <v>1</v>
      </c>
      <c r="F1208" s="160">
        <v>5.4316666666666652E-2</v>
      </c>
      <c r="G1208" s="153">
        <v>4598983739.8373985</v>
      </c>
      <c r="H1208" s="153">
        <v>1913087000</v>
      </c>
      <c r="I1208" s="151">
        <v>2.4039595375627969</v>
      </c>
      <c r="J1208" s="153">
        <v>9.5020325203252032</v>
      </c>
    </row>
    <row r="1209" spans="1:10" hidden="1">
      <c r="A1209" s="64">
        <v>5490</v>
      </c>
      <c r="B1209" s="52">
        <v>0.82</v>
      </c>
      <c r="C1209" s="161">
        <v>0.92700729927007297</v>
      </c>
      <c r="D1209" s="158">
        <v>95121951.219512194</v>
      </c>
      <c r="E1209" s="26">
        <f>VLOOKUP(5490,季財報!$A:$H,8,0)</f>
        <v>3</v>
      </c>
      <c r="F1209" s="161">
        <v>0.17689999999999997</v>
      </c>
      <c r="G1209" s="54">
        <v>7333902439.0243893</v>
      </c>
      <c r="H1209" s="54">
        <v>3041892000</v>
      </c>
      <c r="I1209" s="65">
        <v>2.4109673976013579</v>
      </c>
      <c r="J1209" s="163">
        <v>25.356971384674477</v>
      </c>
    </row>
    <row r="1210" spans="1:10" hidden="1">
      <c r="A1210" s="64">
        <v>3518</v>
      </c>
      <c r="B1210" s="151">
        <v>-0.51</v>
      </c>
      <c r="C1210" s="160">
        <v>1</v>
      </c>
      <c r="D1210" s="153">
        <v>86274509.803921565</v>
      </c>
      <c r="E1210" s="26">
        <f>VLOOKUP(3518,季財報!$A:$H,8,0)</f>
        <v>1</v>
      </c>
      <c r="F1210" s="160">
        <v>2.3941666666666667E-2</v>
      </c>
      <c r="G1210" s="153">
        <v>2976470588.2352939</v>
      </c>
      <c r="H1210" s="153">
        <v>1234101000</v>
      </c>
      <c r="I1210" s="151">
        <v>2.4118533152758923</v>
      </c>
      <c r="J1210" s="153">
        <v>0</v>
      </c>
    </row>
    <row r="1211" spans="1:10" hidden="1">
      <c r="A1211" s="64">
        <v>1227</v>
      </c>
      <c r="B1211" s="151">
        <v>1.08</v>
      </c>
      <c r="C1211" s="160">
        <v>0.91809991809991809</v>
      </c>
      <c r="D1211" s="153">
        <v>783333333.33333325</v>
      </c>
      <c r="E1211" s="26">
        <f>VLOOKUP(1227,季財報!$A:$H,8,0)</f>
        <v>4</v>
      </c>
      <c r="F1211" s="160">
        <v>4.5083333333333329E-2</v>
      </c>
      <c r="G1211" s="153">
        <v>61334999999.999992</v>
      </c>
      <c r="H1211" s="153">
        <v>25339280000</v>
      </c>
      <c r="I1211" s="151">
        <v>2.4205502287357805</v>
      </c>
      <c r="J1211" s="153">
        <v>19.74185994647636</v>
      </c>
    </row>
    <row r="1212" spans="1:10" hidden="1">
      <c r="A1212" s="64">
        <v>8255</v>
      </c>
      <c r="B1212" s="52">
        <v>2.36</v>
      </c>
      <c r="C1212" s="161">
        <v>0.95138888888888884</v>
      </c>
      <c r="D1212" s="158">
        <v>75000000</v>
      </c>
      <c r="E1212" s="26">
        <f>VLOOKUP(8255,季財報!$A:$H,8,0)</f>
        <v>3</v>
      </c>
      <c r="F1212" s="161">
        <v>3.4916666666666672E-3</v>
      </c>
      <c r="G1212" s="54">
        <v>8475000000</v>
      </c>
      <c r="H1212" s="54">
        <v>3474579000</v>
      </c>
      <c r="I1212" s="65">
        <v>2.4391444258426702</v>
      </c>
      <c r="J1212" s="163">
        <v>12.581962142768775</v>
      </c>
    </row>
    <row r="1213" spans="1:10" hidden="1">
      <c r="A1213" s="64">
        <v>3587</v>
      </c>
      <c r="B1213" s="151">
        <v>1.33</v>
      </c>
      <c r="C1213" s="160">
        <v>0.93877551020408168</v>
      </c>
      <c r="D1213" s="153">
        <v>45864661.654135339</v>
      </c>
      <c r="E1213" s="26">
        <f>VLOOKUP(3587,季財報!$A:$H,8,0)</f>
        <v>4</v>
      </c>
      <c r="F1213" s="160">
        <v>1.4466666666666671E-2</v>
      </c>
      <c r="G1213" s="153">
        <v>2586766917.2932329</v>
      </c>
      <c r="H1213" s="153">
        <v>1059203000</v>
      </c>
      <c r="I1213" s="151">
        <v>2.442182393075957</v>
      </c>
      <c r="J1213" s="153">
        <v>11.292906178489702</v>
      </c>
    </row>
    <row r="1214" spans="1:10" hidden="1">
      <c r="A1214" s="64">
        <v>4746</v>
      </c>
      <c r="B1214" s="52">
        <v>1.34</v>
      </c>
      <c r="C1214" s="161">
        <v>0.74045801526717558</v>
      </c>
      <c r="D1214" s="158">
        <v>85074626.865671635</v>
      </c>
      <c r="E1214" s="26">
        <f>VLOOKUP(4746,季財報!$A:$H,8,0)</f>
        <v>5</v>
      </c>
      <c r="F1214" s="161">
        <v>0.12566666666666668</v>
      </c>
      <c r="G1214" s="54">
        <v>5793582089.5522375</v>
      </c>
      <c r="H1214" s="54">
        <v>2368238000</v>
      </c>
      <c r="I1214" s="65">
        <v>2.4463681815561769</v>
      </c>
      <c r="J1214" s="163">
        <v>17.1586013232805</v>
      </c>
    </row>
    <row r="1215" spans="1:10">
      <c r="A1215" s="64">
        <v>3234</v>
      </c>
      <c r="B1215" s="151">
        <v>3</v>
      </c>
      <c r="C1215" s="160">
        <v>0.94836956521739135</v>
      </c>
      <c r="D1215" s="153">
        <v>97666666.666666672</v>
      </c>
      <c r="E1215" s="26">
        <f>VLOOKUP(3234,季財報!$A:$H,8,0)</f>
        <v>6</v>
      </c>
      <c r="F1215" s="160">
        <v>8.4116666666666673E-2</v>
      </c>
      <c r="G1215" s="153">
        <v>9815500000</v>
      </c>
      <c r="H1215" s="153">
        <v>4010147000</v>
      </c>
      <c r="I1215" s="151">
        <v>2.4476658835698544</v>
      </c>
      <c r="J1215" s="153">
        <v>8.8309455587392556</v>
      </c>
    </row>
    <row r="1216" spans="1:10" hidden="1">
      <c r="A1216" s="64">
        <v>3118</v>
      </c>
      <c r="B1216" s="151">
        <v>0.62</v>
      </c>
      <c r="C1216" s="160">
        <v>0.85365853658536583</v>
      </c>
      <c r="D1216" s="153">
        <v>32258064.516129032</v>
      </c>
      <c r="E1216" s="26">
        <f>VLOOKUP(3118,季財報!$A:$H,8,0)</f>
        <v>3</v>
      </c>
      <c r="F1216" s="160">
        <v>6.5350000000000005E-2</v>
      </c>
      <c r="G1216" s="153">
        <v>1329032258.0645163</v>
      </c>
      <c r="H1216" s="153">
        <v>541704000</v>
      </c>
      <c r="I1216" s="151">
        <v>2.453428917018365</v>
      </c>
      <c r="J1216" s="153">
        <v>19.460829493087559</v>
      </c>
    </row>
    <row r="1217" spans="1:10" hidden="1">
      <c r="A1217" s="64">
        <v>1446</v>
      </c>
      <c r="B1217" s="151">
        <v>-0.01</v>
      </c>
      <c r="C1217" s="160">
        <v>1</v>
      </c>
      <c r="D1217" s="153">
        <v>100000000</v>
      </c>
      <c r="E1217" s="26">
        <f>VLOOKUP(1446,季財報!$A:$H,8,0)</f>
        <v>4</v>
      </c>
      <c r="F1217" s="160">
        <v>7.6516666666666663E-2</v>
      </c>
      <c r="G1217" s="153">
        <v>2075000000</v>
      </c>
      <c r="H1217" s="153">
        <v>844729000</v>
      </c>
      <c r="I1217" s="151">
        <v>2.4564090968819587</v>
      </c>
      <c r="J1217" s="153">
        <v>0</v>
      </c>
    </row>
    <row r="1218" spans="1:10" hidden="1">
      <c r="A1218" s="64">
        <v>1339</v>
      </c>
      <c r="B1218" s="151">
        <v>1.55</v>
      </c>
      <c r="C1218" s="160">
        <v>0.6506024096385542</v>
      </c>
      <c r="D1218" s="153">
        <v>74838709.67741935</v>
      </c>
      <c r="E1218" s="26">
        <f>VLOOKUP(1339,季財報!$A:$H,8,0)</f>
        <v>3</v>
      </c>
      <c r="F1218" s="160">
        <v>5.5891666666666673E-2</v>
      </c>
      <c r="G1218" s="153">
        <v>4789677419.3548384</v>
      </c>
      <c r="H1218" s="153">
        <v>1936845000</v>
      </c>
      <c r="I1218" s="151">
        <v>2.4729275803457882</v>
      </c>
      <c r="J1218" s="153">
        <v>15.866188769414578</v>
      </c>
    </row>
    <row r="1219" spans="1:10" hidden="1">
      <c r="A1219" s="64">
        <v>9908</v>
      </c>
      <c r="B1219" s="52">
        <v>0.49</v>
      </c>
      <c r="C1219" s="161">
        <v>0.45121951219512196</v>
      </c>
      <c r="D1219" s="158">
        <v>502040816.32653064</v>
      </c>
      <c r="E1219" s="26">
        <f>VLOOKUP(9908,季財報!$A:$H,8,0)</f>
        <v>4</v>
      </c>
      <c r="F1219" s="161">
        <v>-2.2749999999999992E-2</v>
      </c>
      <c r="G1219" s="54">
        <v>11095102040.816328</v>
      </c>
      <c r="H1219" s="54">
        <v>4484240000</v>
      </c>
      <c r="I1219" s="65">
        <v>2.4742435821491107</v>
      </c>
      <c r="J1219" s="163">
        <v>24.988968560397133</v>
      </c>
    </row>
    <row r="1220" spans="1:10" hidden="1">
      <c r="A1220" s="64">
        <v>5432</v>
      </c>
      <c r="B1220" s="52">
        <v>0.43</v>
      </c>
      <c r="C1220" s="161">
        <v>1</v>
      </c>
      <c r="D1220" s="158">
        <v>20930232.558139537</v>
      </c>
      <c r="E1220" s="26">
        <f>VLOOKUP(5432,季財報!$A:$H,8,0)</f>
        <v>3</v>
      </c>
      <c r="F1220" s="161">
        <v>-5.4166666666666712E-3</v>
      </c>
      <c r="G1220" s="54">
        <v>316046511.62790698</v>
      </c>
      <c r="H1220" s="54">
        <v>127694000</v>
      </c>
      <c r="I1220" s="65">
        <v>2.4750302412635441</v>
      </c>
      <c r="J1220" s="163">
        <v>8.779069767441861</v>
      </c>
    </row>
    <row r="1221" spans="1:10" hidden="1">
      <c r="A1221" s="64">
        <v>3188</v>
      </c>
      <c r="B1221" s="151">
        <v>0.17</v>
      </c>
      <c r="C1221" s="160">
        <v>0</v>
      </c>
      <c r="D1221" s="153">
        <v>47058823.529411763</v>
      </c>
      <c r="E1221" s="26">
        <f>VLOOKUP(3188,季財報!$A:$H,8,0)</f>
        <v>5</v>
      </c>
      <c r="F1221" s="160">
        <v>1.6683333333333331E-2</v>
      </c>
      <c r="G1221" s="153">
        <v>477647058.82352942</v>
      </c>
      <c r="H1221" s="153">
        <v>192976000</v>
      </c>
      <c r="I1221" s="151">
        <v>2.4751630193574821</v>
      </c>
      <c r="J1221" s="153">
        <v>0</v>
      </c>
    </row>
    <row r="1222" spans="1:10" hidden="1">
      <c r="A1222" s="64">
        <v>1301</v>
      </c>
      <c r="B1222" s="151">
        <v>1.65</v>
      </c>
      <c r="C1222" s="160">
        <v>0.16750035061474453</v>
      </c>
      <c r="D1222" s="153">
        <v>6381818181.818182</v>
      </c>
      <c r="E1222" s="26">
        <f>VLOOKUP(1301,季財報!$A:$H,8,0)</f>
        <v>2</v>
      </c>
      <c r="F1222" s="160">
        <v>8.2749999999999994E-3</v>
      </c>
      <c r="G1222" s="153">
        <v>485018181818.18182</v>
      </c>
      <c r="H1222" s="153">
        <v>195480013000</v>
      </c>
      <c r="I1222" s="151">
        <v>2.4811650785913435</v>
      </c>
      <c r="J1222" s="153">
        <v>50</v>
      </c>
    </row>
    <row r="1223" spans="1:10" hidden="1">
      <c r="A1223" s="64">
        <v>9918</v>
      </c>
      <c r="B1223" s="52">
        <v>0.06</v>
      </c>
      <c r="C1223" s="161">
        <v>0.59183673469387754</v>
      </c>
      <c r="D1223" s="158">
        <v>183333333.33333334</v>
      </c>
      <c r="E1223" s="26">
        <f>VLOOKUP(9918,季財報!$A:$H,8,0)</f>
        <v>2</v>
      </c>
      <c r="F1223" s="161">
        <v>-8.783333333333334E-3</v>
      </c>
      <c r="G1223" s="54">
        <v>5683333333.333334</v>
      </c>
      <c r="H1223" s="54">
        <v>2273851000</v>
      </c>
      <c r="I1223" s="65">
        <v>2.4994308480781431</v>
      </c>
      <c r="J1223" s="163">
        <v>50</v>
      </c>
    </row>
    <row r="1224" spans="1:10" hidden="1">
      <c r="A1224" s="64">
        <v>3376</v>
      </c>
      <c r="B1224" s="151">
        <v>2.73</v>
      </c>
      <c r="C1224" s="160">
        <v>0.8584070796460177</v>
      </c>
      <c r="D1224" s="153">
        <v>178754578.75457877</v>
      </c>
      <c r="E1224" s="26">
        <f>VLOOKUP(3376,季財報!$A:$H,8,0)</f>
        <v>3</v>
      </c>
      <c r="F1224" s="160">
        <v>1.4883333333333333E-2</v>
      </c>
      <c r="G1224" s="153">
        <v>20646153846.153847</v>
      </c>
      <c r="H1224" s="153">
        <v>8254143000</v>
      </c>
      <c r="I1224" s="151">
        <v>2.5013079911692646</v>
      </c>
      <c r="J1224" s="153">
        <v>12.321570182394925</v>
      </c>
    </row>
    <row r="1225" spans="1:10" hidden="1">
      <c r="A1225" s="64">
        <v>4966</v>
      </c>
      <c r="B1225" s="52">
        <v>4.28</v>
      </c>
      <c r="C1225" s="161">
        <v>0.95439189189189189</v>
      </c>
      <c r="D1225" s="158">
        <v>75000000</v>
      </c>
      <c r="E1225" s="26">
        <f>VLOOKUP(4966,季財報!$A:$H,8,0)</f>
        <v>2</v>
      </c>
      <c r="F1225" s="161">
        <v>3.1658333333333337E-2</v>
      </c>
      <c r="G1225" s="54">
        <v>17175000000</v>
      </c>
      <c r="H1225" s="54">
        <v>6845015000</v>
      </c>
      <c r="I1225" s="65">
        <v>2.5091252539256672</v>
      </c>
      <c r="J1225" s="163">
        <v>14.015383342982382</v>
      </c>
    </row>
    <row r="1226" spans="1:10" hidden="1">
      <c r="A1226" s="64">
        <v>6451</v>
      </c>
      <c r="B1226" s="52">
        <v>3.36</v>
      </c>
      <c r="C1226" s="161">
        <v>0.64814814814814814</v>
      </c>
      <c r="D1226" s="158">
        <v>105357142.85714287</v>
      </c>
      <c r="E1226" s="26">
        <f>VLOOKUP(6451,季財報!$A:$H,8,0)</f>
        <v>1</v>
      </c>
      <c r="F1226" s="161">
        <v>-9.1466666666666654E-2</v>
      </c>
      <c r="G1226" s="54">
        <v>13907142857.142859</v>
      </c>
      <c r="H1226" s="54">
        <v>5520871000</v>
      </c>
      <c r="I1226" s="65">
        <v>2.519012463276693</v>
      </c>
      <c r="J1226" s="163">
        <v>15.153061224489797</v>
      </c>
    </row>
    <row r="1227" spans="1:10" hidden="1">
      <c r="A1227" s="64">
        <v>4109</v>
      </c>
      <c r="B1227" s="52">
        <v>0.1</v>
      </c>
      <c r="C1227" s="161">
        <v>1</v>
      </c>
      <c r="D1227" s="158">
        <v>70000000</v>
      </c>
      <c r="E1227" s="26">
        <f>VLOOKUP(4109,季財報!$A:$H,8,0)</f>
        <v>2</v>
      </c>
      <c r="F1227" s="161">
        <v>2.4083333333333328E-2</v>
      </c>
      <c r="G1227" s="54">
        <v>1781500000</v>
      </c>
      <c r="H1227" s="54">
        <v>703356000</v>
      </c>
      <c r="I1227" s="65">
        <v>2.5328567610143371</v>
      </c>
      <c r="J1227" s="163">
        <v>50</v>
      </c>
    </row>
    <row r="1228" spans="1:10" hidden="1">
      <c r="A1228" s="64">
        <v>6241</v>
      </c>
      <c r="B1228" s="52">
        <v>0.12</v>
      </c>
      <c r="C1228" s="161">
        <v>1</v>
      </c>
      <c r="D1228" s="158">
        <v>25000000</v>
      </c>
      <c r="E1228" s="26">
        <f>VLOOKUP(6241,季財報!$A:$H,8,0)</f>
        <v>1</v>
      </c>
      <c r="F1228" s="161">
        <v>0.51536666666666675</v>
      </c>
      <c r="G1228" s="54">
        <v>357500000</v>
      </c>
      <c r="H1228" s="54">
        <v>140108000</v>
      </c>
      <c r="I1228" s="65">
        <v>2.5516030490764265</v>
      </c>
      <c r="J1228" s="163">
        <v>29.791666666666668</v>
      </c>
    </row>
    <row r="1229" spans="1:10" hidden="1">
      <c r="A1229" s="64">
        <v>3030</v>
      </c>
      <c r="B1229" s="151">
        <v>1.81</v>
      </c>
      <c r="C1229" s="160">
        <v>0.84626647144948752</v>
      </c>
      <c r="D1229" s="153">
        <v>236464088.39779004</v>
      </c>
      <c r="E1229" s="26">
        <f>VLOOKUP(3030,季財報!$A:$H,8,0)</f>
        <v>1</v>
      </c>
      <c r="F1229" s="160">
        <v>0.13988333333333339</v>
      </c>
      <c r="G1229" s="153">
        <v>12461657458.563536</v>
      </c>
      <c r="H1229" s="153">
        <v>4824247000</v>
      </c>
      <c r="I1229" s="151">
        <v>2.5831300633163137</v>
      </c>
      <c r="J1229" s="153">
        <v>8.6013162170945741</v>
      </c>
    </row>
    <row r="1230" spans="1:10" hidden="1">
      <c r="A1230" s="64">
        <v>4991</v>
      </c>
      <c r="B1230" s="52">
        <v>1.94</v>
      </c>
      <c r="C1230" s="161">
        <v>0.88198757763975155</v>
      </c>
      <c r="D1230" s="158">
        <v>56185567.010309279</v>
      </c>
      <c r="E1230" s="26">
        <f>VLOOKUP(4991,季財報!$A:$H,8,0)</f>
        <v>4</v>
      </c>
      <c r="F1230" s="161">
        <v>4.3991666666666672E-2</v>
      </c>
      <c r="G1230" s="54">
        <v>4073453608.2474227</v>
      </c>
      <c r="H1230" s="54">
        <v>1575323000</v>
      </c>
      <c r="I1230" s="65">
        <v>2.5857894592076818</v>
      </c>
      <c r="J1230" s="163">
        <v>10.592874255844345</v>
      </c>
    </row>
    <row r="1231" spans="1:10" hidden="1">
      <c r="A1231" s="64">
        <v>2443</v>
      </c>
      <c r="B1231" s="156">
        <v>-0.5</v>
      </c>
      <c r="C1231" s="160">
        <v>1</v>
      </c>
      <c r="D1231" s="157">
        <v>146000000</v>
      </c>
      <c r="E1231" s="26">
        <f>VLOOKUP(2443,季財報!$A:$H,8,0)</f>
        <v>2</v>
      </c>
      <c r="F1231" s="160">
        <v>0.22244166666666665</v>
      </c>
      <c r="G1231" s="157">
        <v>1115440000</v>
      </c>
      <c r="H1231" s="157">
        <v>430145000</v>
      </c>
      <c r="I1231" s="156">
        <v>2.5931720698834115</v>
      </c>
      <c r="J1231" s="157">
        <v>0</v>
      </c>
    </row>
    <row r="1232" spans="1:10" hidden="1">
      <c r="A1232" s="64">
        <v>4401</v>
      </c>
      <c r="B1232" s="52">
        <v>1.1200000000000001</v>
      </c>
      <c r="C1232" s="161">
        <v>1</v>
      </c>
      <c r="D1232" s="158">
        <v>119642857.14285713</v>
      </c>
      <c r="E1232" s="26">
        <f>VLOOKUP(4401,季財報!$A:$H,8,0)</f>
        <v>2</v>
      </c>
      <c r="F1232" s="161">
        <v>2.3408333333333333E-2</v>
      </c>
      <c r="G1232" s="54">
        <v>11820714285.714285</v>
      </c>
      <c r="H1232" s="54">
        <v>4556485000</v>
      </c>
      <c r="I1232" s="65">
        <v>2.5942616481156606</v>
      </c>
      <c r="J1232" s="163">
        <v>22.053571428571427</v>
      </c>
    </row>
    <row r="1233" spans="1:10" hidden="1">
      <c r="A1233" s="64">
        <v>3105</v>
      </c>
      <c r="B1233" s="151">
        <v>1.32</v>
      </c>
      <c r="C1233" s="160">
        <v>0.94187779433681074</v>
      </c>
      <c r="D1233" s="153">
        <v>609848484.84848487</v>
      </c>
      <c r="E1233" s="26">
        <f>VLOOKUP(3105,季財報!$A:$H,8,0)</f>
        <v>4</v>
      </c>
      <c r="F1233" s="160">
        <v>5.6999999999999993E-3</v>
      </c>
      <c r="G1233" s="153">
        <v>30187500000</v>
      </c>
      <c r="H1233" s="153">
        <v>11561294000</v>
      </c>
      <c r="I1233" s="151">
        <v>2.6110831538407377</v>
      </c>
      <c r="J1233" s="153">
        <v>9.9535205696202524</v>
      </c>
    </row>
    <row r="1234" spans="1:10" hidden="1">
      <c r="A1234" s="64">
        <v>5314</v>
      </c>
      <c r="B1234" s="52">
        <v>-0.22</v>
      </c>
      <c r="C1234" s="161">
        <v>0.93103448275862066</v>
      </c>
      <c r="D1234" s="158">
        <v>59090909.090909094</v>
      </c>
      <c r="E1234" s="26">
        <f>VLOOKUP(5314,季財報!$A:$H,8,0)</f>
        <v>1</v>
      </c>
      <c r="F1234" s="161">
        <v>1.6749999999999959E-3</v>
      </c>
      <c r="G1234" s="54">
        <v>404181818.18181819</v>
      </c>
      <c r="H1234" s="54">
        <v>154736000</v>
      </c>
      <c r="I1234" s="65">
        <v>2.6120735845686731</v>
      </c>
      <c r="J1234" s="163">
        <v>0</v>
      </c>
    </row>
    <row r="1235" spans="1:10" hidden="1">
      <c r="A1235" s="64">
        <v>4114</v>
      </c>
      <c r="B1235" s="52">
        <v>0.1</v>
      </c>
      <c r="C1235" s="161">
        <v>1</v>
      </c>
      <c r="D1235" s="158">
        <v>130000000</v>
      </c>
      <c r="E1235" s="26">
        <f>VLOOKUP(4114,季財報!$A:$H,8,0)</f>
        <v>3</v>
      </c>
      <c r="F1235" s="161">
        <v>2.1983333333333337E-2</v>
      </c>
      <c r="G1235" s="54">
        <v>4556500000</v>
      </c>
      <c r="H1235" s="54">
        <v>1733803000</v>
      </c>
      <c r="I1235" s="65">
        <v>2.6280379028067204</v>
      </c>
      <c r="J1235" s="163">
        <v>50</v>
      </c>
    </row>
    <row r="1236" spans="1:10">
      <c r="A1236" s="64">
        <v>1589</v>
      </c>
      <c r="B1236" s="151">
        <v>3.29</v>
      </c>
      <c r="C1236" s="160">
        <v>0.74631268436578169</v>
      </c>
      <c r="D1236" s="153">
        <v>112158054.71124619</v>
      </c>
      <c r="E1236" s="26">
        <f>VLOOKUP(1589,季財報!$A:$H,8,0)</f>
        <v>4</v>
      </c>
      <c r="F1236" s="160">
        <v>2.3158333333333336E-2</v>
      </c>
      <c r="G1236" s="153">
        <v>21197872340.425529</v>
      </c>
      <c r="H1236" s="153">
        <v>8062401000</v>
      </c>
      <c r="I1236" s="151">
        <v>2.6292257530263665</v>
      </c>
      <c r="J1236" s="153">
        <v>19.243545538642671</v>
      </c>
    </row>
    <row r="1237" spans="1:10" hidden="1">
      <c r="A1237" s="64">
        <v>3169</v>
      </c>
      <c r="B1237" s="151">
        <v>0.42</v>
      </c>
      <c r="C1237" s="160">
        <v>0.84615384615384615</v>
      </c>
      <c r="D1237" s="153">
        <v>52380952.380952381</v>
      </c>
      <c r="E1237" s="26">
        <f>VLOOKUP(3169,季財報!$A:$H,8,0)</f>
        <v>1</v>
      </c>
      <c r="F1237" s="160">
        <v>4.1591666666666659E-2</v>
      </c>
      <c r="G1237" s="153">
        <v>1550476190.4761906</v>
      </c>
      <c r="H1237" s="153">
        <v>584770000</v>
      </c>
      <c r="I1237" s="151">
        <v>2.6514290925939954</v>
      </c>
      <c r="J1237" s="153">
        <v>20.822510822510825</v>
      </c>
    </row>
    <row r="1238" spans="1:10" hidden="1">
      <c r="A1238" s="64">
        <v>6803</v>
      </c>
      <c r="B1238" s="52">
        <v>3.2</v>
      </c>
      <c r="C1238" s="161">
        <v>0.84745762711864403</v>
      </c>
      <c r="D1238" s="158">
        <v>65625000</v>
      </c>
      <c r="E1238" s="26">
        <f>VLOOKUP(6803,季財報!$A:$H,8,0)</f>
        <v>3</v>
      </c>
      <c r="F1238" s="161">
        <v>4.8416666666666669E-3</v>
      </c>
      <c r="G1238" s="54">
        <v>10828125000</v>
      </c>
      <c r="H1238" s="54">
        <v>4053851000</v>
      </c>
      <c r="I1238" s="65">
        <v>2.6710712850570975</v>
      </c>
      <c r="J1238" s="163">
        <v>15.2109375</v>
      </c>
    </row>
    <row r="1239" spans="1:10" hidden="1">
      <c r="A1239" s="64">
        <v>9943</v>
      </c>
      <c r="B1239" s="52">
        <v>1.49</v>
      </c>
      <c r="C1239" s="161">
        <v>0.43204868154158216</v>
      </c>
      <c r="D1239" s="158">
        <v>146979865.77181208</v>
      </c>
      <c r="E1239" s="26">
        <f>VLOOKUP(9943,季財報!$A:$H,8,0)</f>
        <v>2</v>
      </c>
      <c r="F1239" s="161">
        <v>3.4166666666666664E-3</v>
      </c>
      <c r="G1239" s="54">
        <v>8451342281.8791943</v>
      </c>
      <c r="H1239" s="54">
        <v>3148219000</v>
      </c>
      <c r="I1239" s="65">
        <v>2.6844836022777305</v>
      </c>
      <c r="J1239" s="163">
        <v>22.330009137599646</v>
      </c>
    </row>
    <row r="1240" spans="1:10" hidden="1">
      <c r="A1240" s="64">
        <v>2114</v>
      </c>
      <c r="B1240" s="151">
        <v>2.17</v>
      </c>
      <c r="C1240" s="160">
        <v>0.76724137931034486</v>
      </c>
      <c r="D1240" s="153">
        <v>67281105.990783408</v>
      </c>
      <c r="E1240" s="26">
        <f>VLOOKUP(2114,季財報!$A:$H,8,0)</f>
        <v>4</v>
      </c>
      <c r="F1240" s="160">
        <v>-2.3758333333333336E-2</v>
      </c>
      <c r="G1240" s="153">
        <v>5234470046.0829487</v>
      </c>
      <c r="H1240" s="153">
        <v>1948652000</v>
      </c>
      <c r="I1240" s="151">
        <v>2.6862005355922705</v>
      </c>
      <c r="J1240" s="153">
        <v>11.682286542743229</v>
      </c>
    </row>
    <row r="1241" spans="1:10" hidden="1">
      <c r="A1241" s="64">
        <v>8086</v>
      </c>
      <c r="B1241" s="52">
        <v>2.25</v>
      </c>
      <c r="C1241" s="161">
        <v>0.94991364421416236</v>
      </c>
      <c r="D1241" s="158">
        <v>139555555.55555555</v>
      </c>
      <c r="E1241" s="26">
        <f>VLOOKUP(8086,季財報!$A:$H,8,0)</f>
        <v>5</v>
      </c>
      <c r="F1241" s="161">
        <v>7.5916666666666658E-3</v>
      </c>
      <c r="G1241" s="54">
        <v>11736622222.222221</v>
      </c>
      <c r="H1241" s="54">
        <v>4366552000</v>
      </c>
      <c r="I1241" s="65">
        <v>2.6878466630472331</v>
      </c>
      <c r="J1241" s="163">
        <v>9.8371515151515148</v>
      </c>
    </row>
    <row r="1242" spans="1:10" hidden="1">
      <c r="A1242" s="64">
        <v>5604</v>
      </c>
      <c r="B1242" s="52">
        <v>0.28000000000000003</v>
      </c>
      <c r="C1242" s="161">
        <v>0.96969696969696972</v>
      </c>
      <c r="D1242" s="158">
        <v>110714285.7142857</v>
      </c>
      <c r="E1242" s="26">
        <f>VLOOKUP(5604,季財報!$A:$H,8,0)</f>
        <v>1</v>
      </c>
      <c r="F1242" s="161">
        <v>4.3416666666666699E-3</v>
      </c>
      <c r="G1242" s="54">
        <v>3941428571.4285712</v>
      </c>
      <c r="H1242" s="54">
        <v>1462638000</v>
      </c>
      <c r="I1242" s="65">
        <v>2.6947396221269866</v>
      </c>
      <c r="J1242" s="163">
        <v>32.779017857142854</v>
      </c>
    </row>
    <row r="1243" spans="1:10" hidden="1">
      <c r="A1243" s="64">
        <v>1410</v>
      </c>
      <c r="B1243" s="151">
        <v>0.47</v>
      </c>
      <c r="C1243" s="160">
        <v>0.88732394366197187</v>
      </c>
      <c r="D1243" s="153">
        <v>72340425.531914905</v>
      </c>
      <c r="E1243" s="26">
        <f>VLOOKUP(1410,季財報!$A:$H,8,0)</f>
        <v>2</v>
      </c>
      <c r="F1243" s="160">
        <v>2.0308333333333334E-2</v>
      </c>
      <c r="G1243" s="153">
        <v>1700000000.0000002</v>
      </c>
      <c r="H1243" s="153">
        <v>627366000</v>
      </c>
      <c r="I1243" s="151">
        <v>2.7097420006822177</v>
      </c>
      <c r="J1243" s="153">
        <v>14.087301587301587</v>
      </c>
    </row>
    <row r="1244" spans="1:10" hidden="1">
      <c r="A1244" s="64">
        <v>1340</v>
      </c>
      <c r="B1244" s="151">
        <v>2.2999999999999998</v>
      </c>
      <c r="C1244" s="160">
        <v>0.85390946502057619</v>
      </c>
      <c r="D1244" s="153">
        <v>114782608.69565219</v>
      </c>
      <c r="E1244" s="26">
        <f>VLOOKUP(1340,季財報!$A:$H,8,0)</f>
        <v>2</v>
      </c>
      <c r="F1244" s="160">
        <v>5.6324999999999993E-2</v>
      </c>
      <c r="G1244" s="153">
        <v>8700521739.1304359</v>
      </c>
      <c r="H1244" s="153">
        <v>3210353000</v>
      </c>
      <c r="I1244" s="151">
        <v>2.7101448778780513</v>
      </c>
      <c r="J1244" s="153">
        <v>9.6487166055526448</v>
      </c>
    </row>
    <row r="1245" spans="1:10" hidden="1">
      <c r="A1245" s="64">
        <v>3532</v>
      </c>
      <c r="B1245" s="151">
        <v>0.53</v>
      </c>
      <c r="C1245" s="160">
        <v>0.93565683646112596</v>
      </c>
      <c r="D1245" s="153">
        <v>781132075.47169805</v>
      </c>
      <c r="E1245" s="26">
        <f>VLOOKUP(3532,季財報!$A:$H,8,0)</f>
        <v>3</v>
      </c>
      <c r="F1245" s="160">
        <v>-5.0833333333333286E-4</v>
      </c>
      <c r="G1245" s="153">
        <v>29526792452.830185</v>
      </c>
      <c r="H1245" s="153">
        <v>10870307000</v>
      </c>
      <c r="I1245" s="151">
        <v>2.7162795358797305</v>
      </c>
      <c r="J1245" s="153">
        <v>19.056333459479912</v>
      </c>
    </row>
    <row r="1246" spans="1:10" hidden="1">
      <c r="A1246" s="64">
        <v>3682</v>
      </c>
      <c r="B1246" s="151">
        <v>-0.24</v>
      </c>
      <c r="C1246" s="160">
        <v>1</v>
      </c>
      <c r="D1246" s="153">
        <v>3808333333.3333335</v>
      </c>
      <c r="E1246" s="26">
        <f>VLOOKUP(3682,季財報!$A:$H,8,0)</f>
        <v>0</v>
      </c>
      <c r="F1246" s="160">
        <v>1.0841666666666668E-2</v>
      </c>
      <c r="G1246" s="153">
        <v>41320416666.666664</v>
      </c>
      <c r="H1246" s="153">
        <v>15204047000</v>
      </c>
      <c r="I1246" s="151">
        <v>2.717724870665466</v>
      </c>
      <c r="J1246" s="153">
        <v>0</v>
      </c>
    </row>
    <row r="1247" spans="1:10">
      <c r="A1247" s="64">
        <v>1733</v>
      </c>
      <c r="B1247" s="151">
        <v>1.1100000000000001</v>
      </c>
      <c r="C1247" s="160">
        <v>0.73333333333333328</v>
      </c>
      <c r="D1247" s="153">
        <v>98198198.198198184</v>
      </c>
      <c r="E1247" s="26">
        <f>VLOOKUP(1733,季財報!$A:$H,8,0)</f>
        <v>4</v>
      </c>
      <c r="F1247" s="160">
        <v>1.6749999999999991E-2</v>
      </c>
      <c r="G1247" s="153">
        <v>5106306306.3063059</v>
      </c>
      <c r="H1247" s="153">
        <v>1875341000</v>
      </c>
      <c r="I1247" s="151">
        <v>2.7228681644065298</v>
      </c>
      <c r="J1247" s="153">
        <v>15.970515970515969</v>
      </c>
    </row>
    <row r="1248" spans="1:10" hidden="1">
      <c r="A1248" s="64">
        <v>1104</v>
      </c>
      <c r="B1248" s="151">
        <v>0.48</v>
      </c>
      <c r="C1248" s="160">
        <v>1.9877675840978593E-2</v>
      </c>
      <c r="D1248" s="153">
        <v>627083333.33333337</v>
      </c>
      <c r="E1248" s="26">
        <f>VLOOKUP(1104,季財報!$A:$H,8,0)</f>
        <v>2</v>
      </c>
      <c r="F1248" s="160">
        <v>3.8666666666666654E-3</v>
      </c>
      <c r="G1248" s="153">
        <v>14391562500</v>
      </c>
      <c r="H1248" s="153">
        <v>5270039000</v>
      </c>
      <c r="I1248" s="151">
        <v>2.7308265650406001</v>
      </c>
      <c r="J1248" s="153">
        <v>50</v>
      </c>
    </row>
    <row r="1249" spans="1:10" hidden="1">
      <c r="A1249" s="64">
        <v>1468</v>
      </c>
      <c r="B1249" s="151">
        <v>-0.08</v>
      </c>
      <c r="C1249" s="160">
        <v>1</v>
      </c>
      <c r="D1249" s="153">
        <v>162500000</v>
      </c>
      <c r="E1249" s="26">
        <f>VLOOKUP(1468,季財報!$A:$H,8,0)</f>
        <v>1</v>
      </c>
      <c r="F1249" s="160">
        <v>3.6150000000000002E-2</v>
      </c>
      <c r="G1249" s="153">
        <v>1499875000</v>
      </c>
      <c r="H1249" s="153">
        <v>544702000</v>
      </c>
      <c r="I1249" s="151">
        <v>2.753569841858484</v>
      </c>
      <c r="J1249" s="153">
        <v>0</v>
      </c>
    </row>
    <row r="1250" spans="1:10" hidden="1">
      <c r="A1250" s="64">
        <v>5211</v>
      </c>
      <c r="B1250" s="52">
        <v>0.19</v>
      </c>
      <c r="C1250" s="161">
        <v>0.5</v>
      </c>
      <c r="D1250" s="158">
        <v>31578947.368421052</v>
      </c>
      <c r="E1250" s="26">
        <f>VLOOKUP(5211,季財報!$A:$H,8,0)</f>
        <v>3</v>
      </c>
      <c r="F1250" s="161">
        <v>-5.4749999999999998E-3</v>
      </c>
      <c r="G1250" s="54">
        <v>732631578.94736838</v>
      </c>
      <c r="H1250" s="54">
        <v>265842000</v>
      </c>
      <c r="I1250" s="65">
        <v>2.7558910140134683</v>
      </c>
      <c r="J1250" s="163">
        <v>50</v>
      </c>
    </row>
    <row r="1251" spans="1:10" hidden="1">
      <c r="A1251" s="64">
        <v>2049</v>
      </c>
      <c r="B1251" s="151">
        <v>2.21</v>
      </c>
      <c r="C1251" s="160">
        <v>0.8447265625</v>
      </c>
      <c r="D1251" s="153">
        <v>269683257.91855204</v>
      </c>
      <c r="E1251" s="26">
        <f>VLOOKUP(2049,季財報!$A:$H,8,0)</f>
        <v>3</v>
      </c>
      <c r="F1251" s="160">
        <v>-8.0916666666666654E-3</v>
      </c>
      <c r="G1251" s="153">
        <v>43419004524.886879</v>
      </c>
      <c r="H1251" s="153">
        <v>15749515000</v>
      </c>
      <c r="I1251" s="151">
        <v>2.7568470854427503</v>
      </c>
      <c r="J1251" s="153">
        <v>21.56043208746371</v>
      </c>
    </row>
    <row r="1252" spans="1:10" hidden="1">
      <c r="A1252" s="64">
        <v>3691</v>
      </c>
      <c r="B1252" s="151">
        <v>15.25</v>
      </c>
      <c r="C1252" s="160">
        <v>0.8652694610778443</v>
      </c>
      <c r="D1252" s="153">
        <v>60918032.786885247</v>
      </c>
      <c r="E1252" s="26">
        <f>VLOOKUP(3691,季財報!$A:$H,8,0)</f>
        <v>3</v>
      </c>
      <c r="F1252" s="160">
        <v>4.6550000000000015E-2</v>
      </c>
      <c r="G1252" s="153">
        <v>40266819672.131149</v>
      </c>
      <c r="H1252" s="153">
        <v>14543081000</v>
      </c>
      <c r="I1252" s="151">
        <v>2.7687956679971149</v>
      </c>
      <c r="J1252" s="153">
        <v>12.523342220205343</v>
      </c>
    </row>
    <row r="1253" spans="1:10" hidden="1">
      <c r="A1253" s="64">
        <v>3266</v>
      </c>
      <c r="B1253" s="151">
        <v>-1.03</v>
      </c>
      <c r="C1253" s="160">
        <v>0.94339622641509435</v>
      </c>
      <c r="D1253" s="153">
        <v>351456310.67961162</v>
      </c>
      <c r="E1253" s="26">
        <f>VLOOKUP(3266,季財報!$A:$H,8,0)</f>
        <v>3</v>
      </c>
      <c r="F1253" s="160">
        <v>1.1795333333333333</v>
      </c>
      <c r="G1253" s="153">
        <v>4586504854.3689318</v>
      </c>
      <c r="H1253" s="153">
        <v>1651621000</v>
      </c>
      <c r="I1253" s="151">
        <v>2.7769717473735995</v>
      </c>
      <c r="J1253" s="153">
        <v>0</v>
      </c>
    </row>
    <row r="1254" spans="1:10" hidden="1">
      <c r="A1254" s="64">
        <v>3356</v>
      </c>
      <c r="B1254" s="151">
        <v>1.67</v>
      </c>
      <c r="C1254" s="160">
        <v>0.589622641509434</v>
      </c>
      <c r="D1254" s="153">
        <v>77245508.982035935</v>
      </c>
      <c r="E1254" s="26">
        <f>VLOOKUP(3356,季財報!$A:$H,8,0)</f>
        <v>4</v>
      </c>
      <c r="F1254" s="160">
        <v>-1.0916666666666661E-3</v>
      </c>
      <c r="G1254" s="153">
        <v>5924730538.9221563</v>
      </c>
      <c r="H1254" s="153">
        <v>2127826000</v>
      </c>
      <c r="I1254" s="151">
        <v>2.784405557090738</v>
      </c>
      <c r="J1254" s="153">
        <v>19.473532934131736</v>
      </c>
    </row>
    <row r="1255" spans="1:10" hidden="1">
      <c r="A1255" s="64">
        <v>3631</v>
      </c>
      <c r="B1255" s="151">
        <v>-0.69</v>
      </c>
      <c r="C1255" s="160">
        <v>0.4157303370786517</v>
      </c>
      <c r="D1255" s="153">
        <v>79710144.927536234</v>
      </c>
      <c r="E1255" s="26">
        <f>VLOOKUP(3631,季財報!$A:$H,8,0)</f>
        <v>2</v>
      </c>
      <c r="F1255" s="160">
        <v>-1.1191666666666669E-2</v>
      </c>
      <c r="G1255" s="153">
        <v>1932971014.4927537</v>
      </c>
      <c r="H1255" s="153">
        <v>693219000</v>
      </c>
      <c r="I1255" s="151">
        <v>2.7883987808942825</v>
      </c>
      <c r="J1255" s="153">
        <v>0</v>
      </c>
    </row>
    <row r="1256" spans="1:10" hidden="1">
      <c r="A1256" s="64">
        <v>5007</v>
      </c>
      <c r="B1256" s="52">
        <v>0.78</v>
      </c>
      <c r="C1256" s="161">
        <v>0.81880733944954132</v>
      </c>
      <c r="D1256" s="158">
        <v>296153846.15384614</v>
      </c>
      <c r="E1256" s="26">
        <f>VLOOKUP(5007,季財報!$A:$H,8,0)</f>
        <v>2</v>
      </c>
      <c r="F1256" s="161">
        <v>-3.0083333333333329E-3</v>
      </c>
      <c r="G1256" s="54">
        <v>18894615384.615383</v>
      </c>
      <c r="H1256" s="54">
        <v>6772366000</v>
      </c>
      <c r="I1256" s="65">
        <v>2.7899578056790468</v>
      </c>
      <c r="J1256" s="163">
        <v>24.973784385549092</v>
      </c>
    </row>
    <row r="1257" spans="1:10" hidden="1">
      <c r="A1257" s="64">
        <v>5347</v>
      </c>
      <c r="B1257" s="52">
        <v>0.52</v>
      </c>
      <c r="C1257" s="161">
        <v>0.88087774294670851</v>
      </c>
      <c r="D1257" s="158">
        <v>1636538461.5384614</v>
      </c>
      <c r="E1257" s="26">
        <f>VLOOKUP(5347,季財報!$A:$H,8,0)</f>
        <v>1</v>
      </c>
      <c r="F1257" s="161">
        <v>-6.8499999999999993E-3</v>
      </c>
      <c r="G1257" s="54">
        <v>67016250000</v>
      </c>
      <c r="H1257" s="54">
        <v>24001444000</v>
      </c>
      <c r="I1257" s="65">
        <v>2.7921757540921286</v>
      </c>
      <c r="J1257" s="163">
        <v>22.349866548042705</v>
      </c>
    </row>
    <row r="1258" spans="1:10" hidden="1">
      <c r="A1258" s="64">
        <v>3491</v>
      </c>
      <c r="B1258" s="151">
        <v>1.49</v>
      </c>
      <c r="C1258" s="160">
        <v>0.78014184397163122</v>
      </c>
      <c r="D1258" s="153">
        <v>51677852.348993286</v>
      </c>
      <c r="E1258" s="26">
        <f>VLOOKUP(3491,季財報!$A:$H,8,0)</f>
        <v>5</v>
      </c>
      <c r="F1258" s="160">
        <v>2.1966666666666666E-2</v>
      </c>
      <c r="G1258" s="153">
        <v>3886174496.6442952</v>
      </c>
      <c r="H1258" s="153">
        <v>1389656000</v>
      </c>
      <c r="I1258" s="151">
        <v>2.79650107411064</v>
      </c>
      <c r="J1258" s="153">
        <v>16.17327638804149</v>
      </c>
    </row>
    <row r="1259" spans="1:10" hidden="1">
      <c r="A1259" s="64">
        <v>6238</v>
      </c>
      <c r="B1259" s="52">
        <v>3.12</v>
      </c>
      <c r="C1259" s="161">
        <v>1</v>
      </c>
      <c r="D1259" s="158">
        <v>40064102.56410256</v>
      </c>
      <c r="E1259" s="26">
        <f>VLOOKUP(6238,季財報!$A:$H,8,0)</f>
        <v>4</v>
      </c>
      <c r="F1259" s="161">
        <v>0.12621666666666667</v>
      </c>
      <c r="G1259" s="54">
        <v>6470352564.1025639</v>
      </c>
      <c r="H1259" s="54">
        <v>2313401000</v>
      </c>
      <c r="I1259" s="65">
        <v>2.7969005650566259</v>
      </c>
      <c r="J1259" s="163">
        <v>12.940705128205128</v>
      </c>
    </row>
    <row r="1260" spans="1:10" hidden="1">
      <c r="A1260" s="64">
        <v>3035</v>
      </c>
      <c r="B1260" s="151">
        <v>0.43</v>
      </c>
      <c r="C1260" s="160">
        <v>0.9193083573487032</v>
      </c>
      <c r="D1260" s="153">
        <v>390697674.41860467</v>
      </c>
      <c r="E1260" s="26">
        <f>VLOOKUP(3035,季財報!$A:$H,8,0)</f>
        <v>1</v>
      </c>
      <c r="F1260" s="160">
        <v>6.3833333333333346E-3</v>
      </c>
      <c r="G1260" s="153">
        <v>18050232558.139538</v>
      </c>
      <c r="H1260" s="153">
        <v>6443651000</v>
      </c>
      <c r="I1260" s="151">
        <v>2.8012430465491596</v>
      </c>
      <c r="J1260" s="153">
        <v>29.218123496391343</v>
      </c>
    </row>
    <row r="1261" spans="1:10" hidden="1">
      <c r="A1261" s="64">
        <v>2704</v>
      </c>
      <c r="B1261" s="151">
        <v>0.43</v>
      </c>
      <c r="C1261" s="160">
        <v>0.49557522123893805</v>
      </c>
      <c r="D1261" s="153">
        <v>362790697.67441863</v>
      </c>
      <c r="E1261" s="26">
        <f>VLOOKUP(2704,季財報!$A:$H,8,0)</f>
        <v>2</v>
      </c>
      <c r="F1261" s="160">
        <v>1.2974999999999999E-2</v>
      </c>
      <c r="G1261" s="153">
        <v>10103720930.232559</v>
      </c>
      <c r="H1261" s="153">
        <v>3599141000</v>
      </c>
      <c r="I1261" s="151">
        <v>2.8072589904737155</v>
      </c>
      <c r="J1261" s="153">
        <v>32.672861295681066</v>
      </c>
    </row>
    <row r="1262" spans="1:10" hidden="1">
      <c r="A1262" s="64">
        <v>5245</v>
      </c>
      <c r="B1262" s="52">
        <v>1.43</v>
      </c>
      <c r="C1262" s="161">
        <v>1</v>
      </c>
      <c r="D1262" s="158">
        <v>38461538.461538464</v>
      </c>
      <c r="E1262" s="26">
        <f>VLOOKUP(5245,季財報!$A:$H,8,0)</f>
        <v>6</v>
      </c>
      <c r="F1262" s="161">
        <v>5.1683333333333324E-2</v>
      </c>
      <c r="G1262" s="54">
        <v>3257692307.6923079</v>
      </c>
      <c r="H1262" s="54">
        <v>1159779000</v>
      </c>
      <c r="I1262" s="65">
        <v>2.8088905797503729</v>
      </c>
      <c r="J1262" s="163">
        <v>14.807692307692308</v>
      </c>
    </row>
    <row r="1263" spans="1:10" hidden="1">
      <c r="A1263" s="64">
        <v>5202</v>
      </c>
      <c r="B1263" s="52">
        <v>0.09</v>
      </c>
      <c r="C1263" s="161">
        <v>0</v>
      </c>
      <c r="D1263" s="158">
        <v>55555555.55555556</v>
      </c>
      <c r="E1263" s="26">
        <f>VLOOKUP(5202,季財報!$A:$H,8,0)</f>
        <v>2</v>
      </c>
      <c r="F1263" s="161">
        <v>5.944166666666665E-2</v>
      </c>
      <c r="G1263" s="54">
        <v>791666666.66666675</v>
      </c>
      <c r="H1263" s="54">
        <v>280261000</v>
      </c>
      <c r="I1263" s="65">
        <v>2.8247478838178224</v>
      </c>
      <c r="J1263" s="163">
        <v>0</v>
      </c>
    </row>
    <row r="1264" spans="1:10" hidden="1">
      <c r="A1264" s="64">
        <v>4736</v>
      </c>
      <c r="B1264" s="52">
        <v>3.25</v>
      </c>
      <c r="C1264" s="161">
        <v>0.60691823899371067</v>
      </c>
      <c r="D1264" s="158">
        <v>68923076.923076928</v>
      </c>
      <c r="E1264" s="26">
        <f>VLOOKUP(4736,季財報!$A:$H,8,0)</f>
        <v>5</v>
      </c>
      <c r="F1264" s="161">
        <v>3.7791666666666668E-2</v>
      </c>
      <c r="G1264" s="54">
        <v>7512615384.6153851</v>
      </c>
      <c r="H1264" s="54">
        <v>2657127000</v>
      </c>
      <c r="I1264" s="65">
        <v>2.8273452434209525</v>
      </c>
      <c r="J1264" s="163">
        <v>13.815065763252292</v>
      </c>
    </row>
    <row r="1265" spans="1:10" hidden="1">
      <c r="A1265" s="64">
        <v>1762</v>
      </c>
      <c r="B1265" s="151">
        <v>0.41</v>
      </c>
      <c r="C1265" s="160">
        <v>0.66666666666666663</v>
      </c>
      <c r="D1265" s="153">
        <v>78048780.48780489</v>
      </c>
      <c r="E1265" s="26">
        <f>VLOOKUP(1762,季財報!$A:$H,8,0)</f>
        <v>2</v>
      </c>
      <c r="F1265" s="160">
        <v>0.16319166666666668</v>
      </c>
      <c r="G1265" s="153">
        <v>3125853658.5365858</v>
      </c>
      <c r="H1265" s="153">
        <v>1102399000</v>
      </c>
      <c r="I1265" s="151">
        <v>2.8355011738368647</v>
      </c>
      <c r="J1265" s="153">
        <v>36.631097560975611</v>
      </c>
    </row>
    <row r="1266" spans="1:10" hidden="1">
      <c r="A1266" s="64">
        <v>8431</v>
      </c>
      <c r="B1266" s="52">
        <v>-0.99</v>
      </c>
      <c r="C1266" s="161">
        <v>1</v>
      </c>
      <c r="D1266" s="158">
        <v>41414141.414141417</v>
      </c>
      <c r="E1266" s="26">
        <f>VLOOKUP(8431,季財報!$A:$H,8,0)</f>
        <v>1</v>
      </c>
      <c r="F1266" s="161">
        <v>-3.1300000000000001E-2</v>
      </c>
      <c r="G1266" s="54">
        <v>2513838383.8383842</v>
      </c>
      <c r="H1266" s="54">
        <v>884274000</v>
      </c>
      <c r="I1266" s="65">
        <v>2.8428274311337711</v>
      </c>
      <c r="J1266" s="163">
        <v>0</v>
      </c>
    </row>
    <row r="1267" spans="1:10" hidden="1">
      <c r="A1267" s="64">
        <v>6206</v>
      </c>
      <c r="B1267" s="52">
        <v>1.98</v>
      </c>
      <c r="C1267" s="161">
        <v>0.88037383177570094</v>
      </c>
      <c r="D1267" s="158">
        <v>145959595.95959595</v>
      </c>
      <c r="E1267" s="26">
        <f>VLOOKUP(6206,季財報!$A:$H,8,0)</f>
        <v>2</v>
      </c>
      <c r="F1267" s="161">
        <v>6.5916666666666667E-3</v>
      </c>
      <c r="G1267" s="54">
        <v>14479191919.191919</v>
      </c>
      <c r="H1267" s="54">
        <v>5078350000</v>
      </c>
      <c r="I1267" s="65">
        <v>2.8511606957361977</v>
      </c>
      <c r="J1267" s="163">
        <v>14.227197666688113</v>
      </c>
    </row>
    <row r="1268" spans="1:10" hidden="1">
      <c r="A1268" s="64">
        <v>6202</v>
      </c>
      <c r="B1268" s="52">
        <v>0.97</v>
      </c>
      <c r="C1268" s="161">
        <v>0.82045454545454544</v>
      </c>
      <c r="D1268" s="158">
        <v>226804123.71134022</v>
      </c>
      <c r="E1268" s="26">
        <f>VLOOKUP(6202,季財報!$A:$H,8,0)</f>
        <v>4</v>
      </c>
      <c r="F1268" s="161">
        <v>2.5874999999999995E-2</v>
      </c>
      <c r="G1268" s="54">
        <v>11328865979.381445</v>
      </c>
      <c r="H1268" s="54">
        <v>3953785000</v>
      </c>
      <c r="I1268" s="65">
        <v>2.8653217055002851</v>
      </c>
      <c r="J1268" s="163">
        <v>15.690950109946598</v>
      </c>
    </row>
    <row r="1269" spans="1:10" hidden="1">
      <c r="A1269" s="64">
        <v>2923</v>
      </c>
      <c r="B1269" s="151">
        <v>0.45</v>
      </c>
      <c r="C1269" s="160">
        <v>1</v>
      </c>
      <c r="D1269" s="153">
        <v>1722222222.2222221</v>
      </c>
      <c r="E1269" s="26">
        <f>VLOOKUP(2923,季財報!$A:$H,8,0)</f>
        <v>4</v>
      </c>
      <c r="F1269" s="160">
        <v>0.60717499999999991</v>
      </c>
      <c r="G1269" s="153">
        <v>41419444444.444443</v>
      </c>
      <c r="H1269" s="153">
        <v>14401838000</v>
      </c>
      <c r="I1269" s="151">
        <v>2.8759832213391405</v>
      </c>
      <c r="J1269" s="153">
        <v>13.361111111111111</v>
      </c>
    </row>
    <row r="1270" spans="1:10" hidden="1">
      <c r="A1270" s="64">
        <v>3252</v>
      </c>
      <c r="B1270" s="151">
        <v>-0.98</v>
      </c>
      <c r="C1270" s="160">
        <v>0.12121212121212122</v>
      </c>
      <c r="D1270" s="153">
        <v>21428571.428571429</v>
      </c>
      <c r="E1270" s="26">
        <f>VLOOKUP(3252,季財報!$A:$H,8,0)</f>
        <v>1</v>
      </c>
      <c r="F1270" s="160">
        <v>-4.3266666666666655E-2</v>
      </c>
      <c r="G1270" s="153">
        <v>445714285.71428573</v>
      </c>
      <c r="H1270" s="153">
        <v>154764000</v>
      </c>
      <c r="I1270" s="151">
        <v>2.8799610097586372</v>
      </c>
      <c r="J1270" s="153">
        <v>0</v>
      </c>
    </row>
    <row r="1271" spans="1:10" hidden="1">
      <c r="A1271" s="64">
        <v>2718</v>
      </c>
      <c r="B1271" s="151">
        <v>0.26</v>
      </c>
      <c r="C1271" s="160">
        <v>0.83333333333333337</v>
      </c>
      <c r="D1271" s="153">
        <v>23076923.076923076</v>
      </c>
      <c r="E1271" s="26">
        <f>VLOOKUP(2718,季財報!$A:$H,8,0)</f>
        <v>3</v>
      </c>
      <c r="F1271" s="160">
        <v>3.2433333333333321E-2</v>
      </c>
      <c r="G1271" s="153">
        <v>814615384.61538458</v>
      </c>
      <c r="H1271" s="153">
        <v>281988000</v>
      </c>
      <c r="I1271" s="151">
        <v>2.8888299665779558</v>
      </c>
      <c r="J1271" s="153">
        <v>40.730769230769226</v>
      </c>
    </row>
    <row r="1272" spans="1:10" hidden="1">
      <c r="A1272" s="64">
        <v>1527</v>
      </c>
      <c r="B1272" s="151">
        <v>4.43</v>
      </c>
      <c r="C1272" s="160">
        <v>0.20089285714285715</v>
      </c>
      <c r="D1272" s="153">
        <v>145372460.49661401</v>
      </c>
      <c r="E1272" s="26">
        <f>VLOOKUP(1527,季財報!$A:$H,8,0)</f>
        <v>3</v>
      </c>
      <c r="F1272" s="160">
        <v>3.6274999999999995E-2</v>
      </c>
      <c r="G1272" s="153">
        <v>9769029345.3724613</v>
      </c>
      <c r="H1272" s="153">
        <v>3358959000</v>
      </c>
      <c r="I1272" s="151">
        <v>2.9083502791705591</v>
      </c>
      <c r="J1272" s="153">
        <v>18.877351392024078</v>
      </c>
    </row>
    <row r="1273" spans="1:10" hidden="1">
      <c r="A1273" s="64">
        <v>9926</v>
      </c>
      <c r="B1273" s="52">
        <v>0.49</v>
      </c>
      <c r="C1273" s="161">
        <v>0.81097560975609762</v>
      </c>
      <c r="D1273" s="158">
        <v>171428571.42857143</v>
      </c>
      <c r="E1273" s="26">
        <f>VLOOKUP(9926,季財報!$A:$H,8,0)</f>
        <v>2</v>
      </c>
      <c r="F1273" s="161">
        <v>-9.8249999999999935E-3</v>
      </c>
      <c r="G1273" s="54">
        <v>6942857142.8571434</v>
      </c>
      <c r="H1273" s="54">
        <v>2381082000</v>
      </c>
      <c r="I1273" s="65">
        <v>2.9158412616017184</v>
      </c>
      <c r="J1273" s="163">
        <v>25.479515114316403</v>
      </c>
    </row>
    <row r="1274" spans="1:10" hidden="1">
      <c r="A1274" s="64">
        <v>2434</v>
      </c>
      <c r="B1274" s="151">
        <v>-1.58</v>
      </c>
      <c r="C1274" s="160">
        <v>1</v>
      </c>
      <c r="D1274" s="153">
        <v>110759493.67088607</v>
      </c>
      <c r="E1274" s="26">
        <f>VLOOKUP(2434,季財報!$A:$H,8,0)</f>
        <v>3</v>
      </c>
      <c r="F1274" s="160">
        <v>5.1908333333333313E-2</v>
      </c>
      <c r="G1274" s="153">
        <v>634651898.73417723</v>
      </c>
      <c r="H1274" s="153">
        <v>217406000</v>
      </c>
      <c r="I1274" s="151">
        <v>2.9192013961628347</v>
      </c>
      <c r="J1274" s="153">
        <v>0</v>
      </c>
    </row>
    <row r="1275" spans="1:10" hidden="1">
      <c r="A1275" s="64">
        <v>6183</v>
      </c>
      <c r="B1275" s="52">
        <v>0.41</v>
      </c>
      <c r="C1275" s="161">
        <v>0.93846153846153846</v>
      </c>
      <c r="D1275" s="158">
        <v>151219512.19512197</v>
      </c>
      <c r="E1275" s="26">
        <f>VLOOKUP(6183,季財報!$A:$H,8,0)</f>
        <v>1</v>
      </c>
      <c r="F1275" s="161">
        <v>7.1349999999999983E-2</v>
      </c>
      <c r="G1275" s="54">
        <v>3939268292.6829276</v>
      </c>
      <c r="H1275" s="54">
        <v>1345779000</v>
      </c>
      <c r="I1275" s="65">
        <v>2.9271286687360463</v>
      </c>
      <c r="J1275" s="163">
        <v>16.925729708116755</v>
      </c>
    </row>
    <row r="1276" spans="1:10" hidden="1">
      <c r="A1276" s="64">
        <v>8942</v>
      </c>
      <c r="B1276" s="52">
        <v>2.4700000000000002</v>
      </c>
      <c r="C1276" s="161">
        <v>0.70336391437308865</v>
      </c>
      <c r="D1276" s="158">
        <v>154655870.44534412</v>
      </c>
      <c r="E1276" s="26">
        <f>VLOOKUP(8942,季財報!$A:$H,8,0)</f>
        <v>3</v>
      </c>
      <c r="F1276" s="161">
        <v>5.3149999999999996E-2</v>
      </c>
      <c r="G1276" s="54">
        <v>14259271255.060728</v>
      </c>
      <c r="H1276" s="54">
        <v>4848581000</v>
      </c>
      <c r="I1276" s="65">
        <v>2.940916374308427</v>
      </c>
      <c r="J1276" s="163">
        <v>13.267646541101918</v>
      </c>
    </row>
    <row r="1277" spans="1:10" hidden="1">
      <c r="A1277" s="64">
        <v>3257</v>
      </c>
      <c r="B1277" s="151">
        <v>0.89</v>
      </c>
      <c r="C1277" s="160">
        <v>0.63291139240506333</v>
      </c>
      <c r="D1277" s="153">
        <v>59550561.797752805</v>
      </c>
      <c r="E1277" s="26">
        <f>VLOOKUP(3257,季財報!$A:$H,8,0)</f>
        <v>2</v>
      </c>
      <c r="F1277" s="160">
        <v>-1.6716666666666668E-2</v>
      </c>
      <c r="G1277" s="153">
        <v>2432640449.4382024</v>
      </c>
      <c r="H1277" s="153">
        <v>827032000</v>
      </c>
      <c r="I1277" s="151">
        <v>2.9414103075070885</v>
      </c>
      <c r="J1277" s="153">
        <v>18.130056179775281</v>
      </c>
    </row>
    <row r="1278" spans="1:10" hidden="1">
      <c r="A1278" s="64">
        <v>4139</v>
      </c>
      <c r="B1278" s="52">
        <v>-0.42</v>
      </c>
      <c r="C1278" s="161">
        <v>0.6</v>
      </c>
      <c r="D1278" s="158">
        <v>35714285.714285716</v>
      </c>
      <c r="E1278" s="26">
        <f>VLOOKUP(4139,季財報!$A:$H,8,0)</f>
        <v>2</v>
      </c>
      <c r="F1278" s="161">
        <v>5.2466666666666668E-2</v>
      </c>
      <c r="G1278" s="54">
        <v>2625000000</v>
      </c>
      <c r="H1278" s="54">
        <v>890843000</v>
      </c>
      <c r="I1278" s="65">
        <v>2.9466471645396553</v>
      </c>
      <c r="J1278" s="163">
        <v>0</v>
      </c>
    </row>
    <row r="1279" spans="1:10" hidden="1">
      <c r="A1279" s="64">
        <v>3687</v>
      </c>
      <c r="B1279" s="151">
        <v>-1</v>
      </c>
      <c r="C1279" s="160">
        <v>1</v>
      </c>
      <c r="D1279" s="153">
        <v>30000000</v>
      </c>
      <c r="E1279" s="26">
        <f>VLOOKUP(3687,季財報!$A:$H,8,0)</f>
        <v>3</v>
      </c>
      <c r="F1279" s="160">
        <v>9.3474999999999989E-2</v>
      </c>
      <c r="G1279" s="153">
        <v>1997999999.9999998</v>
      </c>
      <c r="H1279" s="153">
        <v>677588000</v>
      </c>
      <c r="I1279" s="151">
        <v>2.9486944869153522</v>
      </c>
      <c r="J1279" s="153">
        <v>0</v>
      </c>
    </row>
    <row r="1280" spans="1:10" hidden="1">
      <c r="A1280" s="64">
        <v>4702</v>
      </c>
      <c r="B1280" s="52">
        <v>0.05</v>
      </c>
      <c r="C1280" s="161">
        <v>0</v>
      </c>
      <c r="D1280" s="158">
        <v>220000000</v>
      </c>
      <c r="E1280" s="26">
        <f>VLOOKUP(4702,季財報!$A:$H,8,0)</f>
        <v>1</v>
      </c>
      <c r="F1280" s="161">
        <v>1.1174999999999997E-2</v>
      </c>
      <c r="G1280" s="54">
        <v>3157000000</v>
      </c>
      <c r="H1280" s="54">
        <v>1070052000</v>
      </c>
      <c r="I1280" s="65">
        <v>2.9503239094922491</v>
      </c>
      <c r="J1280" s="163">
        <v>0</v>
      </c>
    </row>
    <row r="1281" spans="1:10" hidden="1">
      <c r="A1281" s="64">
        <v>1437</v>
      </c>
      <c r="B1281" s="151">
        <v>0.11</v>
      </c>
      <c r="C1281" s="160">
        <v>0.81578947368421051</v>
      </c>
      <c r="D1281" s="153">
        <v>200000000</v>
      </c>
      <c r="E1281" s="26">
        <f>VLOOKUP(1437,季財報!$A:$H,8,0)</f>
        <v>4</v>
      </c>
      <c r="F1281" s="160">
        <v>-1.4199999999999999E-2</v>
      </c>
      <c r="G1281" s="153">
        <v>2420000000</v>
      </c>
      <c r="H1281" s="153">
        <v>817265000</v>
      </c>
      <c r="I1281" s="151">
        <v>2.961095850183233</v>
      </c>
      <c r="J1281" s="153">
        <v>33.70967741935484</v>
      </c>
    </row>
    <row r="1282" spans="1:10" hidden="1">
      <c r="A1282" s="64">
        <v>4163</v>
      </c>
      <c r="B1282" s="52">
        <v>2.61</v>
      </c>
      <c r="C1282" s="161">
        <v>0.69230769230769229</v>
      </c>
      <c r="D1282" s="158">
        <v>40229885.057471268</v>
      </c>
      <c r="E1282" s="26">
        <f>VLOOKUP(4163,季財報!$A:$H,8,0)</f>
        <v>3</v>
      </c>
      <c r="F1282" s="161">
        <v>-1.2833333333333308E-3</v>
      </c>
      <c r="G1282" s="54">
        <v>5451149425.2873564</v>
      </c>
      <c r="H1282" s="54">
        <v>1824136000</v>
      </c>
      <c r="I1282" s="65">
        <v>2.988345948595585</v>
      </c>
      <c r="J1282" s="163">
        <v>18.747339293316305</v>
      </c>
    </row>
    <row r="1283" spans="1:10" hidden="1">
      <c r="A1283" s="64">
        <v>1752</v>
      </c>
      <c r="B1283" s="151">
        <v>0.69</v>
      </c>
      <c r="C1283" s="160">
        <v>1</v>
      </c>
      <c r="D1283" s="153">
        <v>91304347.826086968</v>
      </c>
      <c r="E1283" s="26">
        <f>VLOOKUP(1752,季財報!$A:$H,8,0)</f>
        <v>3</v>
      </c>
      <c r="F1283" s="160">
        <v>2.643333333333334E-2</v>
      </c>
      <c r="G1283" s="153">
        <v>4437391304.347827</v>
      </c>
      <c r="H1283" s="153">
        <v>1480361000</v>
      </c>
      <c r="I1283" s="151">
        <v>2.9975062193261151</v>
      </c>
      <c r="J1283" s="153">
        <v>17.608695652173914</v>
      </c>
    </row>
    <row r="1284" spans="1:10">
      <c r="A1284" s="64">
        <v>2228</v>
      </c>
      <c r="B1284" s="151">
        <v>2.7</v>
      </c>
      <c r="C1284" s="160">
        <v>0.75570032573289903</v>
      </c>
      <c r="D1284" s="153">
        <v>71851851.851851851</v>
      </c>
      <c r="E1284" s="26">
        <f>VLOOKUP(2228,季財報!$A:$H,8,0)</f>
        <v>4</v>
      </c>
      <c r="F1284" s="160">
        <v>2.1725000000000005E-2</v>
      </c>
      <c r="G1284" s="153">
        <v>11496296296.296295</v>
      </c>
      <c r="H1284" s="153">
        <v>3823998000</v>
      </c>
      <c r="I1284" s="151">
        <v>3.0063552063302059</v>
      </c>
      <c r="J1284" s="153">
        <v>19.604086845466156</v>
      </c>
    </row>
    <row r="1285" spans="1:10" hidden="1">
      <c r="A1285" s="64">
        <v>3563</v>
      </c>
      <c r="B1285" s="151">
        <v>1.51</v>
      </c>
      <c r="C1285" s="160">
        <v>0.83653846153846156</v>
      </c>
      <c r="D1285" s="153">
        <v>42384105.960264899</v>
      </c>
      <c r="E1285" s="26">
        <f>VLOOKUP(3563,季財報!$A:$H,8,0)</f>
        <v>2</v>
      </c>
      <c r="F1285" s="160">
        <v>2.1000000000000012E-3</v>
      </c>
      <c r="G1285" s="153">
        <v>1843708609.271523</v>
      </c>
      <c r="H1285" s="153">
        <v>611442000</v>
      </c>
      <c r="I1285" s="151">
        <v>3.015345051977985</v>
      </c>
      <c r="J1285" s="153">
        <v>8.6092715231788084</v>
      </c>
    </row>
    <row r="1286" spans="1:10" hidden="1">
      <c r="A1286" s="64">
        <v>1784</v>
      </c>
      <c r="B1286" s="151">
        <v>0.1</v>
      </c>
      <c r="C1286" s="160">
        <v>0.5</v>
      </c>
      <c r="D1286" s="153">
        <v>50000000</v>
      </c>
      <c r="E1286" s="26">
        <f>VLOOKUP(1784,季財報!$A:$H,8,0)</f>
        <v>0</v>
      </c>
      <c r="F1286" s="160">
        <v>1.3058333333333332E-2</v>
      </c>
      <c r="G1286" s="153">
        <v>1914999999.9999998</v>
      </c>
      <c r="H1286" s="153">
        <v>633628000</v>
      </c>
      <c r="I1286" s="151">
        <v>3.0222780558939943</v>
      </c>
      <c r="J1286" s="153">
        <v>50</v>
      </c>
    </row>
    <row r="1287" spans="1:10" hidden="1">
      <c r="A1287" s="64">
        <v>5904</v>
      </c>
      <c r="B1287" s="52">
        <v>2.93</v>
      </c>
      <c r="C1287" s="161">
        <v>0.97736625514403297</v>
      </c>
      <c r="D1287" s="158">
        <v>95221843.003412962</v>
      </c>
      <c r="E1287" s="26">
        <f>VLOOKUP(5904,季財報!$A:$H,8,0)</f>
        <v>4</v>
      </c>
      <c r="F1287" s="161">
        <v>1.5941666666666666E-2</v>
      </c>
      <c r="G1287" s="54">
        <v>31851706484.641636</v>
      </c>
      <c r="H1287" s="54">
        <v>10531782000</v>
      </c>
      <c r="I1287" s="65">
        <v>3.0243416056885373</v>
      </c>
      <c r="J1287" s="163">
        <v>29.20190407760014</v>
      </c>
    </row>
    <row r="1288" spans="1:10" hidden="1">
      <c r="A1288" s="64">
        <v>2606</v>
      </c>
      <c r="B1288" s="151">
        <v>0.5</v>
      </c>
      <c r="C1288" s="160">
        <v>0</v>
      </c>
      <c r="D1288" s="153">
        <v>856000000</v>
      </c>
      <c r="E1288" s="26">
        <f>VLOOKUP(2606,季財報!$A:$H,8,0)</f>
        <v>3</v>
      </c>
      <c r="F1288" s="160">
        <v>2.9583333333333371E-3</v>
      </c>
      <c r="G1288" s="153">
        <v>24995200000</v>
      </c>
      <c r="H1288" s="153">
        <v>8192291000</v>
      </c>
      <c r="I1288" s="151">
        <v>3.0510634937162266</v>
      </c>
      <c r="J1288" s="153">
        <v>0</v>
      </c>
    </row>
    <row r="1289" spans="1:10" hidden="1">
      <c r="A1289" s="64">
        <v>5398</v>
      </c>
      <c r="B1289" s="52">
        <v>-0.41</v>
      </c>
      <c r="C1289" s="161">
        <v>0.54545454545454541</v>
      </c>
      <c r="D1289" s="158">
        <v>41463414.634146348</v>
      </c>
      <c r="E1289" s="26">
        <f>VLOOKUP(5398,季財報!$A:$H,8,0)</f>
        <v>2</v>
      </c>
      <c r="F1289" s="161">
        <v>2.8408333333333331E-2</v>
      </c>
      <c r="G1289" s="54">
        <v>709024390.24390256</v>
      </c>
      <c r="H1289" s="54">
        <v>232039000</v>
      </c>
      <c r="I1289" s="65">
        <v>3.0556259518611206</v>
      </c>
      <c r="J1289" s="163">
        <v>0</v>
      </c>
    </row>
    <row r="1290" spans="1:10" hidden="1">
      <c r="A1290" s="64">
        <v>4950</v>
      </c>
      <c r="B1290" s="52">
        <v>1.65</v>
      </c>
      <c r="C1290" s="161">
        <v>0</v>
      </c>
      <c r="D1290" s="158">
        <v>52121212.121212125</v>
      </c>
      <c r="E1290" s="26">
        <f>VLOOKUP(4950,季財報!$A:$H,8,0)</f>
        <v>5</v>
      </c>
      <c r="F1290" s="161">
        <v>0.24828333333333333</v>
      </c>
      <c r="G1290" s="54">
        <v>953818181.81818187</v>
      </c>
      <c r="H1290" s="54">
        <v>310493000</v>
      </c>
      <c r="I1290" s="65">
        <v>3.0719474571670919</v>
      </c>
      <c r="J1290" s="163">
        <v>0</v>
      </c>
    </row>
    <row r="1291" spans="1:10" hidden="1">
      <c r="A1291" s="64">
        <v>8416</v>
      </c>
      <c r="B1291" s="52">
        <v>0.99</v>
      </c>
      <c r="C1291" s="161">
        <v>0.97333333333333338</v>
      </c>
      <c r="D1291" s="158">
        <v>25252525.252525251</v>
      </c>
      <c r="E1291" s="26">
        <f>VLOOKUP(8416,季財報!$A:$H,8,0)</f>
        <v>1</v>
      </c>
      <c r="F1291" s="161">
        <v>5.6891666666666667E-2</v>
      </c>
      <c r="G1291" s="54">
        <v>2525252525.2525253</v>
      </c>
      <c r="H1291" s="54">
        <v>821257000</v>
      </c>
      <c r="I1291" s="65">
        <v>3.0748627107623134</v>
      </c>
      <c r="J1291" s="163">
        <v>25.944375259443753</v>
      </c>
    </row>
    <row r="1292" spans="1:10" hidden="1">
      <c r="A1292" s="64">
        <v>4947</v>
      </c>
      <c r="B1292" s="52">
        <v>4.32</v>
      </c>
      <c r="C1292" s="161">
        <v>0.83333333333333337</v>
      </c>
      <c r="D1292" s="158">
        <v>44444444.44444444</v>
      </c>
      <c r="E1292" s="26">
        <f>VLOOKUP(4947,季財報!$A:$H,8,0)</f>
        <v>4</v>
      </c>
      <c r="F1292" s="161">
        <v>3.5741666666666665E-2</v>
      </c>
      <c r="G1292" s="54">
        <v>9311111111.1111107</v>
      </c>
      <c r="H1292" s="54">
        <v>3009799000</v>
      </c>
      <c r="I1292" s="65">
        <v>3.0935989782411086</v>
      </c>
      <c r="J1292" s="163">
        <v>14.548611111111109</v>
      </c>
    </row>
    <row r="1293" spans="1:10" hidden="1">
      <c r="A1293" s="64">
        <v>3556</v>
      </c>
      <c r="B1293" s="151">
        <v>0.88</v>
      </c>
      <c r="C1293" s="160">
        <v>0.88709677419354838</v>
      </c>
      <c r="D1293" s="153">
        <v>54545454.545454547</v>
      </c>
      <c r="E1293" s="26">
        <f>VLOOKUP(3556,季財報!$A:$H,8,0)</f>
        <v>1</v>
      </c>
      <c r="F1293" s="160">
        <v>4.5808333333333333E-2</v>
      </c>
      <c r="G1293" s="153">
        <v>3032727272.727273</v>
      </c>
      <c r="H1293" s="153">
        <v>976536000</v>
      </c>
      <c r="I1293" s="151">
        <v>3.1055970007529399</v>
      </c>
      <c r="J1293" s="153">
        <v>17.805785123966942</v>
      </c>
    </row>
    <row r="1294" spans="1:10" hidden="1">
      <c r="A1294" s="64">
        <v>4420</v>
      </c>
      <c r="B1294" s="52">
        <v>0.15</v>
      </c>
      <c r="C1294" s="161">
        <v>9.3333333333333338E-2</v>
      </c>
      <c r="D1294" s="158">
        <v>33333333.333333336</v>
      </c>
      <c r="E1294" s="26">
        <f>VLOOKUP(4420,季財報!$A:$H,8,0)</f>
        <v>1</v>
      </c>
      <c r="F1294" s="161">
        <v>9.2058333333333311E-2</v>
      </c>
      <c r="G1294" s="54">
        <v>1623333333.3333335</v>
      </c>
      <c r="H1294" s="54">
        <v>519776000</v>
      </c>
      <c r="I1294" s="65">
        <v>3.1231402245069675</v>
      </c>
      <c r="J1294" s="163">
        <v>50</v>
      </c>
    </row>
    <row r="1295" spans="1:10" hidden="1">
      <c r="A1295" s="64">
        <v>2474</v>
      </c>
      <c r="B1295" s="151">
        <v>10.58</v>
      </c>
      <c r="C1295" s="160">
        <v>0.70091784195209317</v>
      </c>
      <c r="D1295" s="153">
        <v>770699432.89224946</v>
      </c>
      <c r="E1295" s="26">
        <f>VLOOKUP(2474,季財報!$A:$H,8,0)</f>
        <v>3</v>
      </c>
      <c r="F1295" s="160">
        <v>4.9116666666666663E-2</v>
      </c>
      <c r="G1295" s="153">
        <v>246623818525.51984</v>
      </c>
      <c r="H1295" s="153">
        <v>78757042000</v>
      </c>
      <c r="I1295" s="151">
        <v>3.1314510075876116</v>
      </c>
      <c r="J1295" s="153">
        <v>10.787907255875901</v>
      </c>
    </row>
    <row r="1296" spans="1:10" hidden="1">
      <c r="A1296" s="64">
        <v>1590</v>
      </c>
      <c r="B1296" s="151">
        <v>1.45</v>
      </c>
      <c r="C1296" s="160">
        <v>1</v>
      </c>
      <c r="D1296" s="153">
        <v>178620689.65517241</v>
      </c>
      <c r="E1296" s="26">
        <f>VLOOKUP(1590,季財報!$A:$H,8,0)</f>
        <v>1</v>
      </c>
      <c r="F1296" s="160">
        <v>5.1841666666666668E-2</v>
      </c>
      <c r="G1296" s="153">
        <v>27239655172.413792</v>
      </c>
      <c r="H1296" s="153">
        <v>8688005000</v>
      </c>
      <c r="I1296" s="151">
        <v>3.1353176215268972</v>
      </c>
      <c r="J1296" s="153">
        <v>26.293103448275861</v>
      </c>
    </row>
    <row r="1297" spans="1:10" hidden="1">
      <c r="A1297" s="64">
        <v>8433</v>
      </c>
      <c r="B1297" s="52">
        <v>2.15</v>
      </c>
      <c r="C1297" s="161">
        <v>0.83597883597883593</v>
      </c>
      <c r="D1297" s="158">
        <v>52558139.534883723</v>
      </c>
      <c r="E1297" s="26">
        <f>VLOOKUP(8433,季財報!$A:$H,8,0)</f>
        <v>4</v>
      </c>
      <c r="F1297" s="161">
        <v>3.625833333333333E-2</v>
      </c>
      <c r="G1297" s="54">
        <v>7620930232.5581398</v>
      </c>
      <c r="H1297" s="54">
        <v>2430566000</v>
      </c>
      <c r="I1297" s="65">
        <v>3.135454965040299</v>
      </c>
      <c r="J1297" s="163">
        <v>20.168531056814839</v>
      </c>
    </row>
    <row r="1298" spans="1:10" hidden="1">
      <c r="A1298" s="64">
        <v>5704</v>
      </c>
      <c r="B1298" s="52">
        <v>0.26</v>
      </c>
      <c r="C1298" s="161">
        <v>0.83333333333333337</v>
      </c>
      <c r="D1298" s="158">
        <v>38461538.461538464</v>
      </c>
      <c r="E1298" s="26">
        <f>VLOOKUP(5704,季財報!$A:$H,8,0)</f>
        <v>1</v>
      </c>
      <c r="F1298" s="161">
        <v>4.4874999999999998E-2</v>
      </c>
      <c r="G1298" s="54">
        <v>1042307692.3076924</v>
      </c>
      <c r="H1298" s="54">
        <v>330788000</v>
      </c>
      <c r="I1298" s="65">
        <v>3.1509839906758783</v>
      </c>
      <c r="J1298" s="163">
        <v>31.26923076923077</v>
      </c>
    </row>
    <row r="1299" spans="1:10" hidden="1">
      <c r="A1299" s="64">
        <v>1262</v>
      </c>
      <c r="B1299" s="151">
        <v>2.73</v>
      </c>
      <c r="C1299" s="160">
        <v>1</v>
      </c>
      <c r="D1299" s="153">
        <v>148351648.35164836</v>
      </c>
      <c r="E1299" s="26">
        <f>VLOOKUP(1262,季財報!$A:$H,8,0)</f>
        <v>3</v>
      </c>
      <c r="F1299" s="160">
        <v>9.4166666666666823E-4</v>
      </c>
      <c r="G1299" s="153">
        <v>19508241758.24176</v>
      </c>
      <c r="H1299" s="153">
        <v>6175954000</v>
      </c>
      <c r="I1299" s="151">
        <v>3.1587414281650674</v>
      </c>
      <c r="J1299" s="153">
        <v>12.042124542124542</v>
      </c>
    </row>
    <row r="1300" spans="1:10" hidden="1">
      <c r="A1300" s="64">
        <v>5508</v>
      </c>
      <c r="B1300" s="52">
        <v>0.56000000000000005</v>
      </c>
      <c r="C1300" s="161">
        <v>1</v>
      </c>
      <c r="D1300" s="158">
        <v>216071428.57142854</v>
      </c>
      <c r="E1300" s="26">
        <f>VLOOKUP(5508,季財報!$A:$H,8,0)</f>
        <v>1</v>
      </c>
      <c r="F1300" s="161">
        <v>0.2784416666666667</v>
      </c>
      <c r="G1300" s="54">
        <v>6125624999.999999</v>
      </c>
      <c r="H1300" s="54">
        <v>1931471000</v>
      </c>
      <c r="I1300" s="65">
        <v>3.1714817359411551</v>
      </c>
      <c r="J1300" s="163">
        <v>12.65625</v>
      </c>
    </row>
    <row r="1301" spans="1:10" hidden="1">
      <c r="A1301" s="64">
        <v>4160</v>
      </c>
      <c r="B1301" s="52">
        <v>-0.13</v>
      </c>
      <c r="C1301" s="161">
        <v>0</v>
      </c>
      <c r="D1301" s="158">
        <v>23076923.076923076</v>
      </c>
      <c r="E1301" s="26">
        <f>VLOOKUP(4160,季財報!$A:$H,8,0)</f>
        <v>1</v>
      </c>
      <c r="F1301" s="161">
        <v>9.2933333333333354E-2</v>
      </c>
      <c r="G1301" s="54">
        <v>822692307.69230759</v>
      </c>
      <c r="H1301" s="54">
        <v>258272000</v>
      </c>
      <c r="I1301" s="65">
        <v>3.1853716534982794</v>
      </c>
      <c r="J1301" s="163">
        <v>0</v>
      </c>
    </row>
    <row r="1302" spans="1:10" hidden="1">
      <c r="A1302" s="64">
        <v>9951</v>
      </c>
      <c r="B1302" s="52">
        <v>2.65</v>
      </c>
      <c r="C1302" s="161">
        <v>0.86290322580645162</v>
      </c>
      <c r="D1302" s="158">
        <v>74716981.132075474</v>
      </c>
      <c r="E1302" s="26">
        <f>VLOOKUP(9951,季財報!$A:$H,8,0)</f>
        <v>3</v>
      </c>
      <c r="F1302" s="161">
        <v>2.0625000000000001E-2</v>
      </c>
      <c r="G1302" s="54">
        <v>11469056603.773584</v>
      </c>
      <c r="H1302" s="54">
        <v>3599703000</v>
      </c>
      <c r="I1302" s="65">
        <v>3.1861119108364173</v>
      </c>
      <c r="J1302" s="163">
        <v>16.78187268559337</v>
      </c>
    </row>
    <row r="1303" spans="1:10" hidden="1">
      <c r="A1303" s="64">
        <v>5272</v>
      </c>
      <c r="B1303" s="52">
        <v>0.14000000000000001</v>
      </c>
      <c r="C1303" s="161">
        <v>0.66666666666666663</v>
      </c>
      <c r="D1303" s="158">
        <v>49999999.999999993</v>
      </c>
      <c r="E1303" s="26">
        <f>VLOOKUP(5272,季財報!$A:$H,8,0)</f>
        <v>1</v>
      </c>
      <c r="F1303" s="161">
        <v>-6.9166666666666638E-3</v>
      </c>
      <c r="G1303" s="54">
        <v>2009999999.9999998</v>
      </c>
      <c r="H1303" s="54">
        <v>630126000</v>
      </c>
      <c r="I1303" s="65">
        <v>3.1898382228316238</v>
      </c>
      <c r="J1303" s="163">
        <v>50</v>
      </c>
    </row>
    <row r="1304" spans="1:10" hidden="1">
      <c r="A1304" s="64">
        <v>3310</v>
      </c>
      <c r="B1304" s="151">
        <v>0.24</v>
      </c>
      <c r="C1304" s="160">
        <v>0.5641025641025641</v>
      </c>
      <c r="D1304" s="153">
        <v>112500000</v>
      </c>
      <c r="E1304" s="26">
        <f>VLOOKUP(3310,季財報!$A:$H,8,0)</f>
        <v>2</v>
      </c>
      <c r="F1304" s="160">
        <v>4.31666666666667E-3</v>
      </c>
      <c r="G1304" s="153">
        <v>1462500000</v>
      </c>
      <c r="H1304" s="153">
        <v>457315000</v>
      </c>
      <c r="I1304" s="151">
        <v>3.1980144976657225</v>
      </c>
      <c r="J1304" s="153">
        <v>24.00568181818182</v>
      </c>
    </row>
    <row r="1305" spans="1:10" hidden="1">
      <c r="A1305" s="64">
        <v>6225</v>
      </c>
      <c r="B1305" s="52">
        <v>-0.11</v>
      </c>
      <c r="C1305" s="161">
        <v>1</v>
      </c>
      <c r="D1305" s="158">
        <v>90909090.909090906</v>
      </c>
      <c r="E1305" s="26">
        <f>VLOOKUP(6225,季財報!$A:$H,8,0)</f>
        <v>3</v>
      </c>
      <c r="F1305" s="161">
        <v>-3.805833333333334E-2</v>
      </c>
      <c r="G1305" s="54">
        <v>332727272.72727275</v>
      </c>
      <c r="H1305" s="54">
        <v>103790000</v>
      </c>
      <c r="I1305" s="65">
        <v>3.2057738965918947</v>
      </c>
      <c r="J1305" s="163">
        <v>0</v>
      </c>
    </row>
    <row r="1306" spans="1:10" hidden="1">
      <c r="A1306" s="64">
        <v>1229</v>
      </c>
      <c r="B1306" s="151">
        <v>0.37</v>
      </c>
      <c r="C1306" s="160">
        <v>0.10268714011516315</v>
      </c>
      <c r="D1306" s="153">
        <v>883783783.78378379</v>
      </c>
      <c r="E1306" s="26">
        <f>VLOOKUP(1229,季財報!$A:$H,8,0)</f>
        <v>1</v>
      </c>
      <c r="F1306" s="160">
        <v>3.0833333333333333E-3</v>
      </c>
      <c r="G1306" s="153">
        <v>17101216216.216217</v>
      </c>
      <c r="H1306" s="153">
        <v>5304233000</v>
      </c>
      <c r="I1306" s="151">
        <v>3.2240695716451779</v>
      </c>
      <c r="J1306" s="153">
        <v>50</v>
      </c>
    </row>
    <row r="1307" spans="1:10" hidden="1">
      <c r="A1307" s="64">
        <v>8436</v>
      </c>
      <c r="B1307" s="52">
        <v>1.1299999999999999</v>
      </c>
      <c r="C1307" s="161">
        <v>0.76865671641791045</v>
      </c>
      <c r="D1307" s="158">
        <v>61061946.902654871</v>
      </c>
      <c r="E1307" s="26">
        <f>VLOOKUP(8436,季財報!$A:$H,8,0)</f>
        <v>4</v>
      </c>
      <c r="F1307" s="161">
        <v>4.9408333333333339E-2</v>
      </c>
      <c r="G1307" s="54">
        <v>6289380530.9734516</v>
      </c>
      <c r="H1307" s="54">
        <v>1946274000</v>
      </c>
      <c r="I1307" s="65">
        <v>3.231497996157505</v>
      </c>
      <c r="J1307" s="163">
        <v>29.646017699115049</v>
      </c>
    </row>
    <row r="1308" spans="1:10" hidden="1">
      <c r="A1308" s="64">
        <v>2066</v>
      </c>
      <c r="B1308" s="151">
        <v>2.62</v>
      </c>
      <c r="C1308" s="160">
        <v>0.64539007092198586</v>
      </c>
      <c r="D1308" s="153">
        <v>35877862.595419846</v>
      </c>
      <c r="E1308" s="26">
        <f>VLOOKUP(2066,季財報!$A:$H,8,0)</f>
        <v>3</v>
      </c>
      <c r="F1308" s="160">
        <v>2.2633333333333335E-2</v>
      </c>
      <c r="G1308" s="153">
        <v>4269465648.8549619</v>
      </c>
      <c r="H1308" s="153">
        <v>1312249000</v>
      </c>
      <c r="I1308" s="151">
        <v>3.2535484110522943</v>
      </c>
      <c r="J1308" s="153">
        <v>17.593951849677037</v>
      </c>
    </row>
    <row r="1309" spans="1:10" hidden="1">
      <c r="A1309" s="64">
        <v>1713</v>
      </c>
      <c r="B1309" s="151">
        <v>0.12</v>
      </c>
      <c r="C1309" s="160">
        <v>0.5714285714285714</v>
      </c>
      <c r="D1309" s="153">
        <v>150000000</v>
      </c>
      <c r="E1309" s="26">
        <f>VLOOKUP(1713,季財報!$A:$H,8,0)</f>
        <v>1</v>
      </c>
      <c r="F1309" s="160">
        <v>7.5499999999999986E-3</v>
      </c>
      <c r="G1309" s="153">
        <v>2302500000</v>
      </c>
      <c r="H1309" s="153">
        <v>706648000</v>
      </c>
      <c r="I1309" s="151">
        <v>3.2583407863603946</v>
      </c>
      <c r="J1309" s="153">
        <v>50</v>
      </c>
    </row>
    <row r="1310" spans="1:10" hidden="1">
      <c r="A1310" s="64">
        <v>9917</v>
      </c>
      <c r="B1310" s="52">
        <v>1.22</v>
      </c>
      <c r="C1310" s="161">
        <v>0.87939221272554602</v>
      </c>
      <c r="D1310" s="158">
        <v>440983606.55737704</v>
      </c>
      <c r="E1310" s="26">
        <f>VLOOKUP(9917,季財報!$A:$H,8,0)</f>
        <v>2</v>
      </c>
      <c r="F1310" s="161">
        <v>2.3666666666666684E-3</v>
      </c>
      <c r="G1310" s="54">
        <v>43613278688.52459</v>
      </c>
      <c r="H1310" s="54">
        <v>13363345000</v>
      </c>
      <c r="I1310" s="65">
        <v>3.2636498338196454</v>
      </c>
      <c r="J1310" s="163">
        <v>23.045909605920052</v>
      </c>
    </row>
    <row r="1311" spans="1:10" hidden="1">
      <c r="A1311" s="64">
        <v>8409</v>
      </c>
      <c r="B1311" s="52">
        <v>-0.39</v>
      </c>
      <c r="C1311" s="161">
        <v>1</v>
      </c>
      <c r="D1311" s="158">
        <v>28205128.205128204</v>
      </c>
      <c r="E1311" s="26">
        <f>VLOOKUP(8409,季財報!$A:$H,8,0)</f>
        <v>2</v>
      </c>
      <c r="F1311" s="161">
        <v>0.38276666666666664</v>
      </c>
      <c r="G1311" s="54">
        <v>888461538.46153843</v>
      </c>
      <c r="H1311" s="54">
        <v>272054000</v>
      </c>
      <c r="I1311" s="65">
        <v>3.2657543666387499</v>
      </c>
      <c r="J1311" s="163">
        <v>0</v>
      </c>
    </row>
    <row r="1312" spans="1:10" hidden="1">
      <c r="A1312" s="64">
        <v>4503</v>
      </c>
      <c r="B1312" s="52">
        <v>0.04</v>
      </c>
      <c r="C1312" s="161">
        <v>1</v>
      </c>
      <c r="D1312" s="158">
        <v>50000000</v>
      </c>
      <c r="E1312" s="26">
        <f>VLOOKUP(4503,季財報!$A:$H,8,0)</f>
        <v>3</v>
      </c>
      <c r="F1312" s="161">
        <v>0.98405833333333348</v>
      </c>
      <c r="G1312" s="54">
        <v>630000000</v>
      </c>
      <c r="H1312" s="54">
        <v>192680000</v>
      </c>
      <c r="I1312" s="65">
        <v>3.2696699190367449</v>
      </c>
      <c r="J1312" s="163">
        <v>50</v>
      </c>
    </row>
    <row r="1313" spans="1:11">
      <c r="A1313" s="64">
        <v>3293</v>
      </c>
      <c r="B1313" s="151">
        <v>1.36</v>
      </c>
      <c r="C1313" s="160">
        <v>0.90697674418604646</v>
      </c>
      <c r="D1313" s="153">
        <v>69852941.176470578</v>
      </c>
      <c r="E1313" s="26">
        <f>VLOOKUP(3293,季財報!$A:$H,8,0)</f>
        <v>5</v>
      </c>
      <c r="F1313" s="160">
        <v>2.8525000000000005E-2</v>
      </c>
      <c r="G1313" s="153">
        <v>5839705882.3529396</v>
      </c>
      <c r="H1313" s="153">
        <v>1775661000</v>
      </c>
      <c r="I1313" s="151">
        <v>3.288750432854548</v>
      </c>
      <c r="J1313" s="153">
        <v>16.943815987933636</v>
      </c>
    </row>
    <row r="1314" spans="1:11" hidden="1">
      <c r="A1314" s="64">
        <v>1906</v>
      </c>
      <c r="B1314" s="151">
        <v>-0.04</v>
      </c>
      <c r="C1314" s="160">
        <v>0</v>
      </c>
      <c r="D1314" s="153">
        <v>150000000</v>
      </c>
      <c r="E1314" s="26">
        <f>VLOOKUP(1906,季財報!$A:$H,8,0)</f>
        <v>3</v>
      </c>
      <c r="F1314" s="160">
        <v>5.4575000000000019E-2</v>
      </c>
      <c r="G1314" s="153">
        <v>1120500000</v>
      </c>
      <c r="H1314" s="153">
        <v>337389000</v>
      </c>
      <c r="I1314" s="151">
        <v>3.3210922703466919</v>
      </c>
      <c r="J1314" s="153">
        <v>0</v>
      </c>
    </row>
    <row r="1315" spans="1:11" hidden="1">
      <c r="A1315" s="64">
        <v>5534</v>
      </c>
      <c r="B1315" s="52">
        <v>1.28</v>
      </c>
      <c r="C1315" s="161">
        <v>1</v>
      </c>
      <c r="D1315" s="158">
        <v>273437500</v>
      </c>
      <c r="E1315" s="26">
        <f>VLOOKUP(5534,季財報!$A:$H,8,0)</f>
        <v>2</v>
      </c>
      <c r="F1315" s="161">
        <v>0.1213166666666667</v>
      </c>
      <c r="G1315" s="54">
        <v>12099609375</v>
      </c>
      <c r="H1315" s="54">
        <v>3636459000</v>
      </c>
      <c r="I1315" s="65">
        <v>3.3273053195429951</v>
      </c>
      <c r="J1315" s="163">
        <v>8.642578125</v>
      </c>
    </row>
    <row r="1316" spans="1:11" hidden="1">
      <c r="A1316" s="64">
        <v>4126</v>
      </c>
      <c r="B1316" s="52">
        <v>1.84</v>
      </c>
      <c r="C1316" s="161">
        <v>0.86390532544378695</v>
      </c>
      <c r="D1316" s="158">
        <v>66304347.826086953</v>
      </c>
      <c r="E1316" s="26">
        <f>VLOOKUP(4126,季財報!$A:$H,8,0)</f>
        <v>4</v>
      </c>
      <c r="F1316" s="161">
        <v>1.458333333333333E-2</v>
      </c>
      <c r="G1316" s="54">
        <v>5204891304.347826</v>
      </c>
      <c r="H1316" s="54">
        <v>1557354000</v>
      </c>
      <c r="I1316" s="65">
        <v>3.3421375643224507</v>
      </c>
      <c r="J1316" s="163">
        <v>12.345983472304944</v>
      </c>
    </row>
    <row r="1317" spans="1:11" hidden="1">
      <c r="A1317" s="64">
        <v>2412</v>
      </c>
      <c r="B1317" s="151">
        <v>1.52</v>
      </c>
      <c r="C1317" s="160">
        <v>0.97623719206453019</v>
      </c>
      <c r="D1317" s="153">
        <v>7763815789.4736843</v>
      </c>
      <c r="E1317" s="26">
        <f>VLOOKUP(2412,季財報!$A:$H,8,0)</f>
        <v>3</v>
      </c>
      <c r="F1317" s="160">
        <v>6.7666666666666665E-3</v>
      </c>
      <c r="G1317" s="153">
        <v>771723289473.6842</v>
      </c>
      <c r="H1317" s="153">
        <v>230599939000</v>
      </c>
      <c r="I1317" s="151">
        <v>3.3465893044910313</v>
      </c>
      <c r="J1317" s="153">
        <v>16.746631191086248</v>
      </c>
    </row>
    <row r="1318" spans="1:11" hidden="1">
      <c r="A1318" s="64">
        <v>4129</v>
      </c>
      <c r="B1318" s="52">
        <v>0.7</v>
      </c>
      <c r="C1318" s="161">
        <v>0.92307692307692313</v>
      </c>
      <c r="D1318" s="158">
        <v>57142857.142857149</v>
      </c>
      <c r="E1318" s="26">
        <f>VLOOKUP(4129,季財報!$A:$H,8,0)</f>
        <v>3</v>
      </c>
      <c r="F1318" s="161">
        <v>3.8925000000000001E-2</v>
      </c>
      <c r="G1318" s="54">
        <v>4502857142.8571434</v>
      </c>
      <c r="H1318" s="54">
        <v>1342603000</v>
      </c>
      <c r="I1318" s="65">
        <v>3.353826218813114</v>
      </c>
      <c r="J1318" s="163">
        <v>30.488095238095234</v>
      </c>
    </row>
    <row r="1319" spans="1:11" hidden="1">
      <c r="A1319" s="64">
        <v>5345</v>
      </c>
      <c r="B1319" s="52">
        <v>0.47</v>
      </c>
      <c r="C1319" s="161">
        <v>0</v>
      </c>
      <c r="D1319" s="158">
        <v>48936170.212765962</v>
      </c>
      <c r="E1319" s="26">
        <f>VLOOKUP(5345,季財報!$A:$H,8,0)</f>
        <v>3</v>
      </c>
      <c r="F1319" s="161">
        <v>0.2017916666666667</v>
      </c>
      <c r="G1319" s="54">
        <v>491808510.63829798</v>
      </c>
      <c r="H1319" s="54">
        <v>146039000</v>
      </c>
      <c r="I1319" s="65">
        <v>3.3676518644902935</v>
      </c>
      <c r="J1319" s="163">
        <v>0</v>
      </c>
      <c r="K1319" s="32"/>
    </row>
    <row r="1320" spans="1:11" hidden="1">
      <c r="A1320" s="64">
        <v>6224</v>
      </c>
      <c r="B1320" s="52">
        <v>1.6</v>
      </c>
      <c r="C1320" s="161">
        <v>0.88505747126436785</v>
      </c>
      <c r="D1320" s="158">
        <v>80000000</v>
      </c>
      <c r="E1320" s="26">
        <f>VLOOKUP(6224,季財報!$A:$H,8,0)</f>
        <v>2</v>
      </c>
      <c r="F1320" s="161">
        <v>1.7524999999999999E-2</v>
      </c>
      <c r="G1320" s="54">
        <v>5592000000</v>
      </c>
      <c r="H1320" s="54">
        <v>1648588000</v>
      </c>
      <c r="I1320" s="65">
        <v>3.3919936333395611</v>
      </c>
      <c r="J1320" s="163">
        <v>12.340300324675324</v>
      </c>
    </row>
    <row r="1321" spans="1:11" hidden="1">
      <c r="A1321" s="64">
        <v>4164</v>
      </c>
      <c r="B1321" s="52">
        <v>0.52</v>
      </c>
      <c r="C1321" s="161">
        <v>1</v>
      </c>
      <c r="D1321" s="158">
        <v>130769230.76923077</v>
      </c>
      <c r="E1321" s="26">
        <f>VLOOKUP(4164,季財報!$A:$H,8,0)</f>
        <v>2</v>
      </c>
      <c r="F1321" s="161">
        <v>0.31891666666666668</v>
      </c>
      <c r="G1321" s="54">
        <v>8813846153.8461552</v>
      </c>
      <c r="H1321" s="54">
        <v>2549169000</v>
      </c>
      <c r="I1321" s="65">
        <v>3.4575370067053832</v>
      </c>
      <c r="J1321" s="163">
        <v>32.403846153846153</v>
      </c>
    </row>
    <row r="1322" spans="1:11" hidden="1">
      <c r="A1322" s="64">
        <v>2466</v>
      </c>
      <c r="B1322" s="151">
        <v>0.09</v>
      </c>
      <c r="C1322" s="160">
        <v>1</v>
      </c>
      <c r="D1322" s="153">
        <v>144444444.44444445</v>
      </c>
      <c r="E1322" s="26">
        <f>VLOOKUP(2466,季財報!$A:$H,8,0)</f>
        <v>3</v>
      </c>
      <c r="F1322" s="160">
        <v>3.9441666666666653E-2</v>
      </c>
      <c r="G1322" s="153">
        <v>4391111111.1111107</v>
      </c>
      <c r="H1322" s="153">
        <v>1253529000</v>
      </c>
      <c r="I1322" s="151">
        <v>3.5029992214867871</v>
      </c>
      <c r="J1322" s="153">
        <v>50</v>
      </c>
    </row>
    <row r="1323" spans="1:11" hidden="1">
      <c r="A1323" s="64">
        <v>2904</v>
      </c>
      <c r="B1323" s="151">
        <v>0.56999999999999995</v>
      </c>
      <c r="C1323" s="160">
        <v>0.72941176470588232</v>
      </c>
      <c r="D1323" s="153">
        <v>70175438.596491233</v>
      </c>
      <c r="E1323" s="26">
        <f>VLOOKUP(2904,季財報!$A:$H,8,0)</f>
        <v>3</v>
      </c>
      <c r="F1323" s="160">
        <v>6.8000000000000005E-3</v>
      </c>
      <c r="G1323" s="153">
        <v>1807017543.8596492</v>
      </c>
      <c r="H1323" s="153">
        <v>515400000</v>
      </c>
      <c r="I1323" s="151">
        <v>3.5060487851370765</v>
      </c>
      <c r="J1323" s="153">
        <v>15.483517260894173</v>
      </c>
    </row>
    <row r="1324" spans="1:11" hidden="1">
      <c r="A1324" s="64">
        <v>1707</v>
      </c>
      <c r="B1324" s="151">
        <v>2.0099999999999998</v>
      </c>
      <c r="C1324" s="160">
        <v>0.93083003952569165</v>
      </c>
      <c r="D1324" s="153">
        <v>130348258.70646767</v>
      </c>
      <c r="E1324" s="26">
        <f>VLOOKUP(1707,季財報!$A:$H,8,0)</f>
        <v>2</v>
      </c>
      <c r="F1324" s="160">
        <v>2.0575000000000006E-2</v>
      </c>
      <c r="G1324" s="153">
        <v>24896517412.935326</v>
      </c>
      <c r="H1324" s="153">
        <v>7064287000</v>
      </c>
      <c r="I1324" s="151">
        <v>3.5242788710219908</v>
      </c>
      <c r="J1324" s="153">
        <v>25.521543027959989</v>
      </c>
    </row>
    <row r="1325" spans="1:11" hidden="1">
      <c r="A1325" s="64">
        <v>4119</v>
      </c>
      <c r="B1325" s="52">
        <v>1.34</v>
      </c>
      <c r="C1325" s="161">
        <v>0.9363636363636364</v>
      </c>
      <c r="D1325" s="158">
        <v>70895522.388059691</v>
      </c>
      <c r="E1325" s="26">
        <f>VLOOKUP(4119,季財報!$A:$H,8,0)</f>
        <v>2</v>
      </c>
      <c r="F1325" s="161">
        <v>9.8508333333333323E-2</v>
      </c>
      <c r="G1325" s="54">
        <v>6564925373.1343269</v>
      </c>
      <c r="H1325" s="54">
        <v>1853488000</v>
      </c>
      <c r="I1325" s="65">
        <v>3.5419303352027782</v>
      </c>
      <c r="J1325" s="163">
        <v>18.450224605129687</v>
      </c>
    </row>
    <row r="1326" spans="1:11" hidden="1">
      <c r="A1326" s="64">
        <v>4555</v>
      </c>
      <c r="B1326" s="52">
        <v>1.6</v>
      </c>
      <c r="C1326" s="161">
        <v>0.94791666666666663</v>
      </c>
      <c r="D1326" s="158">
        <v>61250000</v>
      </c>
      <c r="E1326" s="26">
        <f>VLOOKUP(4555,季財報!$A:$H,8,0)</f>
        <v>2</v>
      </c>
      <c r="F1326" s="161">
        <v>8.6833333333333328E-3</v>
      </c>
      <c r="G1326" s="54">
        <v>4893875000</v>
      </c>
      <c r="H1326" s="54">
        <v>1368501000</v>
      </c>
      <c r="I1326" s="65">
        <v>3.5760843433800926</v>
      </c>
      <c r="J1326" s="163">
        <v>13.170329670329672</v>
      </c>
    </row>
    <row r="1327" spans="1:11" hidden="1">
      <c r="A1327" s="64">
        <v>1813</v>
      </c>
      <c r="B1327" s="151">
        <v>0.81</v>
      </c>
      <c r="C1327" s="160">
        <v>0.22807017543859648</v>
      </c>
      <c r="D1327" s="153">
        <v>46913580.246913575</v>
      </c>
      <c r="E1327" s="26">
        <f>VLOOKUP(1813,季財報!$A:$H,8,0)</f>
        <v>3</v>
      </c>
      <c r="F1327" s="160">
        <v>3.843333333333334E-2</v>
      </c>
      <c r="G1327" s="153">
        <v>1407407407.4074073</v>
      </c>
      <c r="H1327" s="153">
        <v>390931000</v>
      </c>
      <c r="I1327" s="151">
        <v>3.6001427551343008</v>
      </c>
      <c r="J1327" s="153">
        <v>40.598290598290596</v>
      </c>
    </row>
    <row r="1328" spans="1:11" hidden="1">
      <c r="A1328" s="64">
        <v>2107</v>
      </c>
      <c r="B1328" s="151">
        <v>0.51</v>
      </c>
      <c r="C1328" s="160">
        <v>9.7560975609756101E-2</v>
      </c>
      <c r="D1328" s="153">
        <v>500000000</v>
      </c>
      <c r="E1328" s="26">
        <f>VLOOKUP(2107,季財報!$A:$H,8,0)</f>
        <v>2</v>
      </c>
      <c r="F1328" s="160">
        <v>0.41573333333333329</v>
      </c>
      <c r="G1328" s="153">
        <v>8950000000</v>
      </c>
      <c r="H1328" s="153">
        <v>2485942000</v>
      </c>
      <c r="I1328" s="151">
        <v>3.6002448971054033</v>
      </c>
      <c r="J1328" s="153">
        <v>50</v>
      </c>
    </row>
    <row r="1329" spans="1:10" hidden="1">
      <c r="A1329" s="64">
        <v>4747</v>
      </c>
      <c r="B1329" s="52">
        <v>0.48</v>
      </c>
      <c r="C1329" s="161">
        <v>0.9285714285714286</v>
      </c>
      <c r="D1329" s="158">
        <v>29166666.666666668</v>
      </c>
      <c r="E1329" s="26">
        <f>VLOOKUP(4747,季財報!$A:$H,8,0)</f>
        <v>2</v>
      </c>
      <c r="F1329" s="161">
        <v>1.35E-2</v>
      </c>
      <c r="G1329" s="54">
        <v>1324166666.6666667</v>
      </c>
      <c r="H1329" s="54">
        <v>366184000</v>
      </c>
      <c r="I1329" s="65">
        <v>3.6161237701993172</v>
      </c>
      <c r="J1329" s="163">
        <v>25.464743589743588</v>
      </c>
    </row>
    <row r="1330" spans="1:10" hidden="1">
      <c r="A1330" s="64">
        <v>1795</v>
      </c>
      <c r="B1330" s="151">
        <v>0.06</v>
      </c>
      <c r="C1330" s="160">
        <v>1</v>
      </c>
      <c r="D1330" s="153">
        <v>250000000</v>
      </c>
      <c r="E1330" s="26">
        <f>VLOOKUP(1795,季財報!$A:$H,8,0)</f>
        <v>4</v>
      </c>
      <c r="F1330" s="160">
        <v>9.2758333333333345E-2</v>
      </c>
      <c r="G1330" s="153">
        <v>18200000000</v>
      </c>
      <c r="H1330" s="153">
        <v>4981857000</v>
      </c>
      <c r="I1330" s="151">
        <v>3.6532562054671582</v>
      </c>
      <c r="J1330" s="153">
        <v>50</v>
      </c>
    </row>
    <row r="1331" spans="1:10" hidden="1">
      <c r="A1331" s="64">
        <v>5203</v>
      </c>
      <c r="B1331" s="52">
        <v>1.66</v>
      </c>
      <c r="C1331" s="161">
        <v>0.67123287671232879</v>
      </c>
      <c r="D1331" s="158">
        <v>100000000</v>
      </c>
      <c r="E1331" s="26">
        <f>VLOOKUP(5203,季財報!$A:$H,8,0)</f>
        <v>3</v>
      </c>
      <c r="F1331" s="161">
        <v>7.5933333333333339E-2</v>
      </c>
      <c r="G1331" s="54">
        <v>7180000000</v>
      </c>
      <c r="H1331" s="54">
        <v>1961033000</v>
      </c>
      <c r="I1331" s="65">
        <v>3.6613356328016917</v>
      </c>
      <c r="J1331" s="163">
        <v>16.109540201622817</v>
      </c>
    </row>
    <row r="1332" spans="1:10" hidden="1">
      <c r="A1332" s="64">
        <v>3226</v>
      </c>
      <c r="B1332" s="151">
        <v>1.1100000000000001</v>
      </c>
      <c r="C1332" s="160">
        <v>0.68181818181818177</v>
      </c>
      <c r="D1332" s="153">
        <v>64864864.864864856</v>
      </c>
      <c r="E1332" s="26">
        <f>VLOOKUP(3226,季財報!$A:$H,8,0)</f>
        <v>3</v>
      </c>
      <c r="F1332" s="160">
        <v>5.4191666666666666E-2</v>
      </c>
      <c r="G1332" s="153">
        <v>3762162162.1621618</v>
      </c>
      <c r="H1332" s="153">
        <v>1027528000</v>
      </c>
      <c r="I1332" s="151">
        <v>3.6613719160569462</v>
      </c>
      <c r="J1332" s="153">
        <v>19.159159159159159</v>
      </c>
    </row>
    <row r="1333" spans="1:10" hidden="1">
      <c r="A1333" s="64">
        <v>4549</v>
      </c>
      <c r="B1333" s="52">
        <v>0.98</v>
      </c>
      <c r="C1333" s="161">
        <v>0.6</v>
      </c>
      <c r="D1333" s="158">
        <v>37755102.040816329</v>
      </c>
      <c r="E1333" s="26">
        <f>VLOOKUP(4549,季財報!$A:$H,8,0)</f>
        <v>4</v>
      </c>
      <c r="F1333" s="161">
        <v>-9.5166666666666663E-3</v>
      </c>
      <c r="G1333" s="54">
        <v>3114795918.3673472</v>
      </c>
      <c r="H1333" s="54">
        <v>845854000</v>
      </c>
      <c r="I1333" s="65">
        <v>3.6824273673321248</v>
      </c>
      <c r="J1333" s="163">
        <v>35.076530612244902</v>
      </c>
    </row>
    <row r="1334" spans="1:10" hidden="1">
      <c r="A1334" s="64">
        <v>4123</v>
      </c>
      <c r="B1334" s="52">
        <v>-0.04</v>
      </c>
      <c r="C1334" s="161">
        <v>0.35087719298245612</v>
      </c>
      <c r="D1334" s="158">
        <v>200000000</v>
      </c>
      <c r="E1334" s="26">
        <f>VLOOKUP(4123,季財報!$A:$H,8,0)</f>
        <v>3</v>
      </c>
      <c r="F1334" s="161">
        <v>0.88048333333333328</v>
      </c>
      <c r="G1334" s="54">
        <v>14340000000</v>
      </c>
      <c r="H1334" s="54">
        <v>3879430000</v>
      </c>
      <c r="I1334" s="65">
        <v>3.6964193193329948</v>
      </c>
      <c r="J1334" s="163">
        <v>0</v>
      </c>
    </row>
    <row r="1335" spans="1:10" hidden="1">
      <c r="A1335" s="64">
        <v>5512</v>
      </c>
      <c r="B1335" s="52">
        <v>-0.06</v>
      </c>
      <c r="C1335" s="161">
        <v>0.60447761194029848</v>
      </c>
      <c r="D1335" s="158">
        <v>750000000</v>
      </c>
      <c r="E1335" s="26">
        <f>VLOOKUP(5512,季財報!$A:$H,8,0)</f>
        <v>0</v>
      </c>
      <c r="F1335" s="161">
        <v>-3.9166666666666283E-4</v>
      </c>
      <c r="G1335" s="54">
        <v>7020000000</v>
      </c>
      <c r="H1335" s="54">
        <v>1880627000</v>
      </c>
      <c r="I1335" s="65">
        <v>3.7327976254727813</v>
      </c>
      <c r="J1335" s="163">
        <v>0</v>
      </c>
    </row>
    <row r="1336" spans="1:10" hidden="1">
      <c r="A1336" s="64">
        <v>8083</v>
      </c>
      <c r="B1336" s="52">
        <v>2.4500000000000002</v>
      </c>
      <c r="C1336" s="161">
        <v>0.86250000000000004</v>
      </c>
      <c r="D1336" s="158">
        <v>35102040.816326529</v>
      </c>
      <c r="E1336" s="26">
        <f>VLOOKUP(8083,季財報!$A:$H,8,0)</f>
        <v>3</v>
      </c>
      <c r="F1336" s="161">
        <v>3.7916666666666606E-3</v>
      </c>
      <c r="G1336" s="54">
        <v>4756326530.6122446</v>
      </c>
      <c r="H1336" s="54">
        <v>1273007000</v>
      </c>
      <c r="I1336" s="65">
        <v>3.7362925189038587</v>
      </c>
      <c r="J1336" s="163">
        <v>16.030760130139011</v>
      </c>
    </row>
    <row r="1337" spans="1:10" hidden="1">
      <c r="A1337" s="64">
        <v>6136</v>
      </c>
      <c r="B1337" s="52">
        <v>1.1200000000000001</v>
      </c>
      <c r="C1337" s="161">
        <v>0</v>
      </c>
      <c r="D1337" s="158">
        <v>116071428.57142857</v>
      </c>
      <c r="E1337" s="26">
        <f>VLOOKUP(6136,季財報!$A:$H,8,0)</f>
        <v>4</v>
      </c>
      <c r="F1337" s="161">
        <v>2.4000000000000004E-2</v>
      </c>
      <c r="G1337" s="54">
        <v>2797321428.5714288</v>
      </c>
      <c r="H1337" s="54">
        <v>746464000</v>
      </c>
      <c r="I1337" s="65">
        <v>3.7474297870646525</v>
      </c>
      <c r="J1337" s="163">
        <v>0</v>
      </c>
    </row>
    <row r="1338" spans="1:10" hidden="1">
      <c r="A1338" s="64">
        <v>2395</v>
      </c>
      <c r="B1338" s="151">
        <v>1.94</v>
      </c>
      <c r="C1338" s="160">
        <v>0.92723004694835676</v>
      </c>
      <c r="D1338" s="153">
        <v>632989690.72164953</v>
      </c>
      <c r="E1338" s="26">
        <f>VLOOKUP(2395,季財報!$A:$H,8,0)</f>
        <v>1</v>
      </c>
      <c r="F1338" s="160">
        <v>1.7316666666666668E-2</v>
      </c>
      <c r="G1338" s="153">
        <v>141473195876.28867</v>
      </c>
      <c r="H1338" s="153">
        <v>37633254000</v>
      </c>
      <c r="I1338" s="151">
        <v>3.759260250954878</v>
      </c>
      <c r="J1338" s="153">
        <v>31.061920918700249</v>
      </c>
    </row>
    <row r="1339" spans="1:10" hidden="1">
      <c r="A1339" s="64">
        <v>3552</v>
      </c>
      <c r="B1339" s="151">
        <v>2.65</v>
      </c>
      <c r="C1339" s="160">
        <v>0.92346938775510201</v>
      </c>
      <c r="D1339" s="153">
        <v>84150943.396226421</v>
      </c>
      <c r="E1339" s="26">
        <f>VLOOKUP(3552,季財報!$A:$H,8,0)</f>
        <v>3</v>
      </c>
      <c r="F1339" s="160">
        <v>4.775833333333334E-2</v>
      </c>
      <c r="G1339" s="153">
        <v>23983018867.92453</v>
      </c>
      <c r="H1339" s="153">
        <v>6366961000</v>
      </c>
      <c r="I1339" s="151">
        <v>3.7667921741509849</v>
      </c>
      <c r="J1339" s="153">
        <v>29.114979672677997</v>
      </c>
    </row>
    <row r="1340" spans="1:10" hidden="1">
      <c r="A1340" s="64">
        <v>8114</v>
      </c>
      <c r="B1340" s="52">
        <v>3.01</v>
      </c>
      <c r="C1340" s="161">
        <v>0.89196675900277012</v>
      </c>
      <c r="D1340" s="158">
        <v>67774086.378737539</v>
      </c>
      <c r="E1340" s="26">
        <f>VLOOKUP(8114,季財報!$A:$H,8,0)</f>
        <v>4</v>
      </c>
      <c r="F1340" s="161">
        <v>3.2616666666666662E-2</v>
      </c>
      <c r="G1340" s="54">
        <v>11114950166.112957</v>
      </c>
      <c r="H1340" s="54">
        <v>2939638000</v>
      </c>
      <c r="I1340" s="65">
        <v>3.7810608537898056</v>
      </c>
      <c r="J1340" s="163">
        <v>15.271042694125173</v>
      </c>
    </row>
    <row r="1341" spans="1:10" hidden="1">
      <c r="A1341" s="64">
        <v>5302</v>
      </c>
      <c r="B1341" s="52">
        <v>-0.02</v>
      </c>
      <c r="C1341" s="161">
        <v>1</v>
      </c>
      <c r="D1341" s="158">
        <v>150000000</v>
      </c>
      <c r="E1341" s="26">
        <f>VLOOKUP(5302,季財報!$A:$H,8,0)</f>
        <v>2</v>
      </c>
      <c r="F1341" s="161">
        <v>0.34401666666666664</v>
      </c>
      <c r="G1341" s="54">
        <v>817500000</v>
      </c>
      <c r="H1341" s="54">
        <v>213596000</v>
      </c>
      <c r="I1341" s="65">
        <v>3.8273188636491322</v>
      </c>
      <c r="J1341" s="163">
        <v>0</v>
      </c>
    </row>
    <row r="1342" spans="1:10" hidden="1">
      <c r="A1342" s="64">
        <v>5344</v>
      </c>
      <c r="B1342" s="52">
        <v>-0.25</v>
      </c>
      <c r="C1342" s="161">
        <v>1</v>
      </c>
      <c r="D1342" s="158">
        <v>80000000</v>
      </c>
      <c r="E1342" s="26">
        <f>VLOOKUP(5344,季財報!$A:$H,8,0)</f>
        <v>4</v>
      </c>
      <c r="F1342" s="161">
        <v>1.3675E-2</v>
      </c>
      <c r="G1342" s="54">
        <v>490400000</v>
      </c>
      <c r="H1342" s="54">
        <v>127523000</v>
      </c>
      <c r="I1342" s="65">
        <v>3.8455807971895264</v>
      </c>
      <c r="J1342" s="163">
        <v>0</v>
      </c>
    </row>
    <row r="1343" spans="1:10" hidden="1">
      <c r="A1343" s="64">
        <v>6131</v>
      </c>
      <c r="B1343" s="52">
        <v>-0.27</v>
      </c>
      <c r="C1343" s="161">
        <v>0.98529411764705888</v>
      </c>
      <c r="D1343" s="158">
        <v>103703703.7037037</v>
      </c>
      <c r="E1343" s="26">
        <f>VLOOKUP(6131,季財報!$A:$H,8,0)</f>
        <v>3</v>
      </c>
      <c r="F1343" s="161">
        <v>0.11420833333333331</v>
      </c>
      <c r="G1343" s="54">
        <v>1022518518.5185184</v>
      </c>
      <c r="H1343" s="54">
        <v>260350000</v>
      </c>
      <c r="I1343" s="65">
        <v>3.927476545106658</v>
      </c>
      <c r="J1343" s="163">
        <v>0</v>
      </c>
    </row>
    <row r="1344" spans="1:10" hidden="1">
      <c r="A1344" s="64">
        <v>1805</v>
      </c>
      <c r="B1344" s="151">
        <v>-0.25</v>
      </c>
      <c r="C1344" s="160">
        <v>1</v>
      </c>
      <c r="D1344" s="153">
        <v>80000000</v>
      </c>
      <c r="E1344" s="26">
        <f>VLOOKUP(1805,季財報!$A:$H,8,0)</f>
        <v>1</v>
      </c>
      <c r="F1344" s="160">
        <v>9.8266666666666669E-2</v>
      </c>
      <c r="G1344" s="153">
        <v>604000000</v>
      </c>
      <c r="H1344" s="153">
        <v>150024000</v>
      </c>
      <c r="I1344" s="151">
        <v>4.0260225030661765</v>
      </c>
      <c r="J1344" s="153">
        <v>0</v>
      </c>
    </row>
    <row r="1345" spans="1:11" hidden="1">
      <c r="A1345" s="64">
        <v>2455</v>
      </c>
      <c r="B1345" s="151">
        <v>0.69</v>
      </c>
      <c r="C1345" s="160">
        <v>0.86337209302325579</v>
      </c>
      <c r="D1345" s="153">
        <v>247826086.95652175</v>
      </c>
      <c r="E1345" s="26">
        <f>VLOOKUP(2455,季財報!$A:$H,8,0)</f>
        <v>2</v>
      </c>
      <c r="F1345" s="160">
        <v>8.3333333333333523E-4</v>
      </c>
      <c r="G1345" s="153">
        <v>9355434782.608696</v>
      </c>
      <c r="H1345" s="153">
        <v>2305514000</v>
      </c>
      <c r="I1345" s="151">
        <v>4.0578520809713998</v>
      </c>
      <c r="J1345" s="153">
        <v>15.841994827502075</v>
      </c>
    </row>
    <row r="1346" spans="1:11" hidden="1">
      <c r="A1346" s="64">
        <v>4102</v>
      </c>
      <c r="B1346" s="52">
        <v>0.13</v>
      </c>
      <c r="C1346" s="161">
        <v>1</v>
      </c>
      <c r="D1346" s="158">
        <v>46153846.153846152</v>
      </c>
      <c r="E1346" s="26">
        <f>VLOOKUP(4102,季財報!$A:$H,8,0)</f>
        <v>3</v>
      </c>
      <c r="F1346" s="161">
        <v>6.5441666666666662E-2</v>
      </c>
      <c r="G1346" s="54">
        <v>1292307692.3076923</v>
      </c>
      <c r="H1346" s="54">
        <v>313599000</v>
      </c>
      <c r="I1346" s="65">
        <v>4.1208922614794448</v>
      </c>
      <c r="J1346" s="163">
        <v>50</v>
      </c>
    </row>
    <row r="1347" spans="1:11" hidden="1">
      <c r="A1347" s="64">
        <v>8109</v>
      </c>
      <c r="B1347" s="52">
        <v>2.65</v>
      </c>
      <c r="C1347" s="161">
        <v>0.5321100917431193</v>
      </c>
      <c r="D1347" s="158">
        <v>59622641.509433962</v>
      </c>
      <c r="E1347" s="26">
        <f>VLOOKUP(8109,季財報!$A:$H,8,0)</f>
        <v>5</v>
      </c>
      <c r="F1347" s="161">
        <v>5.2666666666666652E-3</v>
      </c>
      <c r="G1347" s="54">
        <v>3756226415.0943398</v>
      </c>
      <c r="H1347" s="54">
        <v>908685000</v>
      </c>
      <c r="I1347" s="65">
        <v>4.1336947513102338</v>
      </c>
      <c r="J1347" s="163">
        <v>11.169486011711125</v>
      </c>
    </row>
    <row r="1348" spans="1:11" hidden="1">
      <c r="A1348" s="64">
        <v>4113</v>
      </c>
      <c r="B1348" s="52">
        <v>0.49</v>
      </c>
      <c r="C1348" s="161">
        <v>0.24647887323943662</v>
      </c>
      <c r="D1348" s="158">
        <v>240816326.53061226</v>
      </c>
      <c r="E1348" s="26">
        <f>VLOOKUP(4113,季財報!$A:$H,8,0)</f>
        <v>2</v>
      </c>
      <c r="F1348" s="161">
        <v>4.7910083333333331</v>
      </c>
      <c r="G1348" s="54">
        <v>2564693877.5510206</v>
      </c>
      <c r="H1348" s="54">
        <v>618603000</v>
      </c>
      <c r="I1348" s="65">
        <v>4.1459447780741776</v>
      </c>
      <c r="J1348" s="163">
        <v>22.045189504373177</v>
      </c>
    </row>
    <row r="1349" spans="1:11" hidden="1">
      <c r="A1349" s="64">
        <v>5531</v>
      </c>
      <c r="B1349" s="52">
        <v>0.08</v>
      </c>
      <c r="C1349" s="161">
        <v>1</v>
      </c>
      <c r="D1349" s="158">
        <v>912500000</v>
      </c>
      <c r="E1349" s="26">
        <f>VLOOKUP(5531,季財報!$A:$H,8,0)</f>
        <v>1</v>
      </c>
      <c r="F1349" s="161">
        <v>0.34552500000000003</v>
      </c>
      <c r="G1349" s="54">
        <v>10493750000</v>
      </c>
      <c r="H1349" s="54">
        <v>2529983000</v>
      </c>
      <c r="I1349" s="65">
        <v>4.1477551430187471</v>
      </c>
      <c r="J1349" s="163">
        <v>35.9375</v>
      </c>
    </row>
    <row r="1350" spans="1:11" hidden="1">
      <c r="A1350" s="64">
        <v>3089</v>
      </c>
      <c r="B1350" s="151">
        <v>-0.98</v>
      </c>
      <c r="C1350" s="160">
        <v>0.77333333333333332</v>
      </c>
      <c r="D1350" s="153">
        <v>70408163.26530613</v>
      </c>
      <c r="E1350" s="26">
        <f>VLOOKUP(3089,季財報!$A:$H,8,0)</f>
        <v>1</v>
      </c>
      <c r="F1350" s="160">
        <v>7.2466666666666693E-2</v>
      </c>
      <c r="G1350" s="153">
        <v>1450408163.2653065</v>
      </c>
      <c r="H1350" s="153">
        <v>348641000</v>
      </c>
      <c r="I1350" s="151">
        <v>4.1601766954124919</v>
      </c>
      <c r="J1350" s="153">
        <v>0</v>
      </c>
    </row>
    <row r="1351" spans="1:11">
      <c r="A1351" s="64">
        <v>1777</v>
      </c>
      <c r="B1351" s="151">
        <v>1.74</v>
      </c>
      <c r="C1351" s="160">
        <v>0.78666666666666663</v>
      </c>
      <c r="D1351" s="153">
        <v>29885057.47126437</v>
      </c>
      <c r="E1351" s="26">
        <f>VLOOKUP(1777,季財報!$A:$H,8,0)</f>
        <v>5</v>
      </c>
      <c r="F1351" s="160">
        <v>1.0966666666666666E-2</v>
      </c>
      <c r="G1351" s="153">
        <v>2737471264.367816</v>
      </c>
      <c r="H1351" s="153">
        <v>655116000</v>
      </c>
      <c r="I1351" s="151">
        <v>4.1786054139538891</v>
      </c>
      <c r="J1351" s="153">
        <v>16.729982466393921</v>
      </c>
    </row>
    <row r="1352" spans="1:11" hidden="1">
      <c r="A1352" s="64">
        <v>8446</v>
      </c>
      <c r="B1352" s="52">
        <v>1.46</v>
      </c>
      <c r="C1352" s="161">
        <v>0.839622641509434</v>
      </c>
      <c r="D1352" s="158">
        <v>42465753.424657539</v>
      </c>
      <c r="E1352" s="26">
        <f>VLOOKUP(8446,季財報!$A:$H,8,0)</f>
        <v>2</v>
      </c>
      <c r="F1352" s="161">
        <v>0.11145000000000001</v>
      </c>
      <c r="G1352" s="54">
        <v>4289041095.8904114</v>
      </c>
      <c r="H1352" s="54">
        <v>1022286000</v>
      </c>
      <c r="I1352" s="65">
        <v>4.1955393068969071</v>
      </c>
      <c r="J1352" s="163">
        <v>20.597968293058333</v>
      </c>
    </row>
    <row r="1353" spans="1:11" hidden="1">
      <c r="A1353" s="64">
        <v>2330</v>
      </c>
      <c r="B1353" s="151">
        <v>2.91</v>
      </c>
      <c r="C1353" s="160">
        <v>0.83154439181373463</v>
      </c>
      <c r="D1353" s="153">
        <v>25886254295.532646</v>
      </c>
      <c r="E1353" s="26">
        <f>VLOOKUP(2330,季財報!$A:$H,8,0)</f>
        <v>2</v>
      </c>
      <c r="F1353" s="160">
        <v>1.8250000000000006E-2</v>
      </c>
      <c r="G1353" s="153">
        <v>3649961855670.103</v>
      </c>
      <c r="H1353" s="153">
        <v>863506922000</v>
      </c>
      <c r="I1353" s="151">
        <v>4.2269051500088644</v>
      </c>
      <c r="J1353" s="153">
        <v>14.567354648901368</v>
      </c>
    </row>
    <row r="1354" spans="1:11" hidden="1">
      <c r="A1354" s="64">
        <v>4971</v>
      </c>
      <c r="B1354" s="52">
        <v>0.48</v>
      </c>
      <c r="C1354" s="161">
        <v>1</v>
      </c>
      <c r="D1354" s="158">
        <v>33333333.333333336</v>
      </c>
      <c r="E1354" s="26">
        <f>VLOOKUP(4971,季財報!$A:$H,8,0)</f>
        <v>1</v>
      </c>
      <c r="F1354" s="161">
        <v>2.863333333333333E-2</v>
      </c>
      <c r="G1354" s="54">
        <v>3650000000.0000005</v>
      </c>
      <c r="H1354" s="54">
        <v>858267000</v>
      </c>
      <c r="I1354" s="65">
        <v>4.25275584404387</v>
      </c>
      <c r="J1354" s="163">
        <v>50</v>
      </c>
      <c r="K1354" s="32"/>
    </row>
    <row r="1355" spans="1:11" hidden="1">
      <c r="A1355" s="64">
        <v>2707</v>
      </c>
      <c r="B1355" s="151">
        <v>1.68</v>
      </c>
      <c r="C1355" s="160">
        <v>1</v>
      </c>
      <c r="D1355" s="153">
        <v>126785714.28571428</v>
      </c>
      <c r="E1355" s="26">
        <f>VLOOKUP(2707,季財報!$A:$H,8,0)</f>
        <v>1</v>
      </c>
      <c r="F1355" s="160">
        <v>2.8583333333333343E-3</v>
      </c>
      <c r="G1355" s="153">
        <v>28590178571.42857</v>
      </c>
      <c r="H1355" s="153">
        <v>6672968000</v>
      </c>
      <c r="I1355" s="151">
        <v>4.2844770979612923</v>
      </c>
      <c r="J1355" s="153">
        <v>33.55654761904762</v>
      </c>
    </row>
    <row r="1356" spans="1:11" hidden="1">
      <c r="A1356" s="64">
        <v>6184</v>
      </c>
      <c r="B1356" s="52">
        <v>0.47</v>
      </c>
      <c r="C1356" s="161">
        <v>0.7072072072072072</v>
      </c>
      <c r="D1356" s="158">
        <v>131914893.61702128</v>
      </c>
      <c r="E1356" s="26">
        <f>VLOOKUP(6184,季財報!$A:$H,8,0)</f>
        <v>1</v>
      </c>
      <c r="F1356" s="161">
        <v>7.6108333333333347E-2</v>
      </c>
      <c r="G1356" s="54">
        <v>6833191489.361702</v>
      </c>
      <c r="H1356" s="54">
        <v>1592200000</v>
      </c>
      <c r="I1356" s="65">
        <v>4.2916665553081907</v>
      </c>
      <c r="J1356" s="163">
        <v>38.960563762027377</v>
      </c>
    </row>
    <row r="1357" spans="1:11" hidden="1">
      <c r="A1357" s="64">
        <v>1799</v>
      </c>
      <c r="B1357" s="151">
        <v>-0.37</v>
      </c>
      <c r="C1357" s="160">
        <v>1</v>
      </c>
      <c r="D1357" s="153">
        <v>64864864.864864863</v>
      </c>
      <c r="E1357" s="26">
        <f>VLOOKUP(1799,季財報!$A:$H,8,0)</f>
        <v>3</v>
      </c>
      <c r="F1357" s="160">
        <v>0.22734999999999997</v>
      </c>
      <c r="G1357" s="153">
        <v>2257297297.297297</v>
      </c>
      <c r="H1357" s="153">
        <v>525008000</v>
      </c>
      <c r="I1357" s="151">
        <v>4.2995483826861625</v>
      </c>
      <c r="J1357" s="153">
        <v>0</v>
      </c>
    </row>
    <row r="1358" spans="1:11" hidden="1">
      <c r="A1358" s="64">
        <v>1723</v>
      </c>
      <c r="B1358" s="151">
        <v>1.3</v>
      </c>
      <c r="C1358" s="160">
        <v>0.81192660550458717</v>
      </c>
      <c r="D1358" s="153">
        <v>231538461.53846154</v>
      </c>
      <c r="E1358" s="26">
        <f>VLOOKUP(1723,季財報!$A:$H,8,0)</f>
        <v>1</v>
      </c>
      <c r="F1358" s="160">
        <v>-2.8175000000000002E-2</v>
      </c>
      <c r="G1358" s="153">
        <v>26511153846.153847</v>
      </c>
      <c r="H1358" s="153">
        <v>6137385000</v>
      </c>
      <c r="I1358" s="151">
        <v>4.3196172060501086</v>
      </c>
      <c r="J1358" s="153">
        <v>27.119730551933941</v>
      </c>
    </row>
    <row r="1359" spans="1:11" hidden="1">
      <c r="A1359" s="64">
        <v>6222</v>
      </c>
      <c r="B1359" s="52">
        <v>-0.62</v>
      </c>
      <c r="C1359" s="161">
        <v>0.95833333333333337</v>
      </c>
      <c r="D1359" s="158">
        <v>56451612.903225809</v>
      </c>
      <c r="E1359" s="26">
        <f>VLOOKUP(6222,季財報!$A:$H,8,0)</f>
        <v>0</v>
      </c>
      <c r="F1359" s="161">
        <v>0.51369166666666655</v>
      </c>
      <c r="G1359" s="54">
        <v>423387096.77419358</v>
      </c>
      <c r="H1359" s="54">
        <v>97757000</v>
      </c>
      <c r="I1359" s="65">
        <v>4.3310156487432465</v>
      </c>
      <c r="J1359" s="163">
        <v>0</v>
      </c>
    </row>
    <row r="1360" spans="1:11" hidden="1">
      <c r="A1360" s="64">
        <v>6279</v>
      </c>
      <c r="B1360" s="52">
        <v>2.0299999999999998</v>
      </c>
      <c r="C1360" s="161">
        <v>0.83783783783783783</v>
      </c>
      <c r="D1360" s="158">
        <v>97044334.975369468</v>
      </c>
      <c r="E1360" s="26">
        <f>VLOOKUP(6279,季財報!$A:$H,8,0)</f>
        <v>1</v>
      </c>
      <c r="F1360" s="161">
        <v>1.1749999999999997E-2</v>
      </c>
      <c r="G1360" s="54">
        <v>14508128078.817736</v>
      </c>
      <c r="H1360" s="54">
        <v>3349250000</v>
      </c>
      <c r="I1360" s="65">
        <v>4.3317542968777296</v>
      </c>
      <c r="J1360" s="163">
        <v>21.97481328460194</v>
      </c>
    </row>
    <row r="1361" spans="1:10" hidden="1">
      <c r="A1361" s="64">
        <v>1469</v>
      </c>
      <c r="B1361" s="156">
        <v>-0.02</v>
      </c>
      <c r="C1361" s="160">
        <v>1</v>
      </c>
      <c r="D1361" s="157">
        <v>150000000</v>
      </c>
      <c r="E1361" s="26">
        <f>VLOOKUP(1469,季財報!$A:$H,8,0)</f>
        <v>1</v>
      </c>
      <c r="F1361" s="160">
        <v>9.7016666666666682E-2</v>
      </c>
      <c r="G1361" s="157">
        <v>1860000000</v>
      </c>
      <c r="H1361" s="157">
        <v>429315000</v>
      </c>
      <c r="I1361" s="156">
        <v>4.3324831417490657</v>
      </c>
      <c r="J1361" s="157">
        <v>0</v>
      </c>
    </row>
    <row r="1362" spans="1:10" hidden="1">
      <c r="A1362" s="64">
        <v>6169</v>
      </c>
      <c r="B1362" s="52">
        <v>-1.08</v>
      </c>
      <c r="C1362" s="161">
        <v>0.95833333333333337</v>
      </c>
      <c r="D1362" s="158">
        <v>27777777.777777776</v>
      </c>
      <c r="E1362" s="26">
        <f>VLOOKUP(6169,季財報!$A:$H,8,0)</f>
        <v>4</v>
      </c>
      <c r="F1362" s="161">
        <v>5.8016666666666682E-2</v>
      </c>
      <c r="G1362" s="54">
        <v>784722222.22222221</v>
      </c>
      <c r="H1362" s="54">
        <v>181034000</v>
      </c>
      <c r="I1362" s="65">
        <v>4.3346676437698015</v>
      </c>
      <c r="J1362" s="163">
        <v>0</v>
      </c>
    </row>
    <row r="1363" spans="1:10" hidden="1">
      <c r="A1363" s="64">
        <v>9945</v>
      </c>
      <c r="B1363" s="52">
        <v>2.72</v>
      </c>
      <c r="C1363" s="161">
        <v>0.13764379214597383</v>
      </c>
      <c r="D1363" s="158">
        <v>1285294117.6470587</v>
      </c>
      <c r="E1363" s="26">
        <f>VLOOKUP(9945,季財報!$A:$H,8,0)</f>
        <v>5</v>
      </c>
      <c r="F1363" s="161">
        <v>0.15590000000000004</v>
      </c>
      <c r="G1363" s="54">
        <v>54882058823.529411</v>
      </c>
      <c r="H1363" s="54">
        <v>12454813000</v>
      </c>
      <c r="I1363" s="65">
        <v>4.406494005452303</v>
      </c>
      <c r="J1363" s="163">
        <v>28.512963002203762</v>
      </c>
    </row>
    <row r="1364" spans="1:10" hidden="1">
      <c r="A1364" s="64">
        <v>3259</v>
      </c>
      <c r="B1364" s="151">
        <v>-0.65</v>
      </c>
      <c r="C1364" s="160">
        <v>1</v>
      </c>
      <c r="D1364" s="153">
        <v>80000000</v>
      </c>
      <c r="E1364" s="26">
        <f>VLOOKUP(3259,季財報!$A:$H,8,0)</f>
        <v>1</v>
      </c>
      <c r="F1364" s="160">
        <v>5.8333333333335006E-5</v>
      </c>
      <c r="G1364" s="153">
        <v>2252000000</v>
      </c>
      <c r="H1364" s="153">
        <v>508977000</v>
      </c>
      <c r="I1364" s="151">
        <v>4.4245614241900908</v>
      </c>
      <c r="J1364" s="153">
        <v>0</v>
      </c>
    </row>
    <row r="1365" spans="1:10" hidden="1">
      <c r="A1365" s="64">
        <v>6198</v>
      </c>
      <c r="B1365" s="52">
        <v>-0.23</v>
      </c>
      <c r="C1365" s="161">
        <v>1</v>
      </c>
      <c r="D1365" s="158">
        <v>21739130.434782609</v>
      </c>
      <c r="E1365" s="26">
        <f>VLOOKUP(6198,季財報!$A:$H,8,0)</f>
        <v>3</v>
      </c>
      <c r="F1365" s="161">
        <v>-1.8191666666666662E-2</v>
      </c>
      <c r="G1365" s="54">
        <v>345652173.9130435</v>
      </c>
      <c r="H1365" s="54">
        <v>76684000</v>
      </c>
      <c r="I1365" s="65">
        <v>4.5074875321193923</v>
      </c>
      <c r="J1365" s="163">
        <v>0</v>
      </c>
    </row>
    <row r="1366" spans="1:10" hidden="1">
      <c r="A1366" s="64">
        <v>3611</v>
      </c>
      <c r="B1366" s="151">
        <v>4.6100000000000003</v>
      </c>
      <c r="C1366" s="160">
        <v>0.83236994219653182</v>
      </c>
      <c r="D1366" s="153">
        <v>38177874.186550975</v>
      </c>
      <c r="E1366" s="26">
        <f>VLOOKUP(3611,季財報!$A:$H,8,0)</f>
        <v>3</v>
      </c>
      <c r="F1366" s="160">
        <v>4.0433333333333335E-2</v>
      </c>
      <c r="G1366" s="153">
        <v>11987852494.577005</v>
      </c>
      <c r="H1366" s="153">
        <v>2656594000</v>
      </c>
      <c r="I1366" s="151">
        <v>4.5124894863788017</v>
      </c>
      <c r="J1366" s="153">
        <v>20.457489756567846</v>
      </c>
    </row>
    <row r="1367" spans="1:10" hidden="1">
      <c r="A1367" s="64">
        <v>6409</v>
      </c>
      <c r="B1367" s="52">
        <v>6.05</v>
      </c>
      <c r="C1367" s="161">
        <v>0.89808917197452232</v>
      </c>
      <c r="D1367" s="158">
        <v>74380165.2892562</v>
      </c>
      <c r="E1367" s="26">
        <f>VLOOKUP(6409,季財報!$A:$H,8,0)</f>
        <v>3</v>
      </c>
      <c r="F1367" s="161">
        <v>1.9033333333333336E-2</v>
      </c>
      <c r="G1367" s="54">
        <v>36148760330.578514</v>
      </c>
      <c r="H1367" s="54">
        <v>7922423000</v>
      </c>
      <c r="I1367" s="65">
        <v>4.5628414855630046</v>
      </c>
      <c r="J1367" s="163">
        <v>22.36152628802532</v>
      </c>
    </row>
    <row r="1368" spans="1:10" hidden="1">
      <c r="A1368" s="64">
        <v>1476</v>
      </c>
      <c r="B1368" s="151">
        <v>4.93</v>
      </c>
      <c r="C1368" s="160">
        <v>0.87845546292233434</v>
      </c>
      <c r="D1368" s="153">
        <v>261054766.73427993</v>
      </c>
      <c r="E1368" s="26">
        <f>VLOOKUP(1476,季財報!$A:$H,8,0)</f>
        <v>3</v>
      </c>
      <c r="F1368" s="160">
        <v>3.9024999999999997E-2</v>
      </c>
      <c r="G1368" s="153">
        <v>116430425963.48885</v>
      </c>
      <c r="H1368" s="153">
        <v>24806372000</v>
      </c>
      <c r="I1368" s="151">
        <v>4.6935692959651192</v>
      </c>
      <c r="J1368" s="153">
        <v>25.745907236779448</v>
      </c>
    </row>
    <row r="1369" spans="1:10" hidden="1">
      <c r="A1369" s="64">
        <v>5306</v>
      </c>
      <c r="B1369" s="52">
        <v>2</v>
      </c>
      <c r="C1369" s="161">
        <v>0.70422535211267601</v>
      </c>
      <c r="D1369" s="158">
        <v>112000000</v>
      </c>
      <c r="E1369" s="26">
        <f>VLOOKUP(5306,季財報!$A:$H,8,0)</f>
        <v>4</v>
      </c>
      <c r="F1369" s="161">
        <v>2.1175000000000003E-2</v>
      </c>
      <c r="G1369" s="54">
        <v>15456000000</v>
      </c>
      <c r="H1369" s="54">
        <v>3267856000</v>
      </c>
      <c r="I1369" s="65">
        <v>4.7297065721378173</v>
      </c>
      <c r="J1369" s="163">
        <v>24.495000000000001</v>
      </c>
    </row>
    <row r="1370" spans="1:10" hidden="1">
      <c r="A1370" s="64">
        <v>1110</v>
      </c>
      <c r="B1370" s="151">
        <v>0.1</v>
      </c>
      <c r="C1370" s="160">
        <v>0.36046511627906974</v>
      </c>
      <c r="D1370" s="153">
        <v>610000000</v>
      </c>
      <c r="E1370" s="26">
        <f>VLOOKUP(1110,季財報!$A:$H,8,0)</f>
        <v>2</v>
      </c>
      <c r="F1370" s="160">
        <v>-7.2916666666666659E-3</v>
      </c>
      <c r="G1370" s="153">
        <v>9089000000</v>
      </c>
      <c r="H1370" s="153">
        <v>1917575000</v>
      </c>
      <c r="I1370" s="151">
        <v>4.7398406841974889</v>
      </c>
      <c r="J1370" s="153">
        <v>50</v>
      </c>
    </row>
    <row r="1371" spans="1:10" hidden="1">
      <c r="A1371" s="64">
        <v>5310</v>
      </c>
      <c r="B1371" s="52">
        <v>-0.04</v>
      </c>
      <c r="C1371" s="161">
        <v>0.66666666666666663</v>
      </c>
      <c r="D1371" s="158">
        <v>50000000</v>
      </c>
      <c r="E1371" s="26">
        <f>VLOOKUP(5310,季財報!$A:$H,8,0)</f>
        <v>2</v>
      </c>
      <c r="F1371" s="161">
        <v>6.3625000000000029E-2</v>
      </c>
      <c r="G1371" s="54">
        <v>1335000000</v>
      </c>
      <c r="H1371" s="54">
        <v>281159000</v>
      </c>
      <c r="I1371" s="65">
        <v>4.7482029741178478</v>
      </c>
      <c r="J1371" s="163">
        <v>0</v>
      </c>
    </row>
    <row r="1372" spans="1:10" hidden="1">
      <c r="A1372" s="64">
        <v>1525</v>
      </c>
      <c r="B1372" s="151">
        <v>1.36</v>
      </c>
      <c r="C1372" s="160">
        <v>0</v>
      </c>
      <c r="D1372" s="153">
        <v>69852941.176470578</v>
      </c>
      <c r="E1372" s="26">
        <f>VLOOKUP(1525,季財報!$A:$H,8,0)</f>
        <v>1</v>
      </c>
      <c r="F1372" s="160">
        <v>2.8858333333333337E-2</v>
      </c>
      <c r="G1372" s="153">
        <v>6063235294.1176462</v>
      </c>
      <c r="H1372" s="153">
        <v>1238141000</v>
      </c>
      <c r="I1372" s="151">
        <v>4.8970475043776487</v>
      </c>
      <c r="J1372" s="153">
        <v>0</v>
      </c>
    </row>
    <row r="1373" spans="1:10" hidden="1">
      <c r="A1373" s="64">
        <v>1463</v>
      </c>
      <c r="B1373" s="151">
        <v>0.15</v>
      </c>
      <c r="C1373" s="160">
        <v>3.3333333333333333E-2</v>
      </c>
      <c r="D1373" s="153">
        <v>160000000</v>
      </c>
      <c r="E1373" s="26">
        <f>VLOOKUP(1463,季財報!$A:$H,8,0)</f>
        <v>2</v>
      </c>
      <c r="F1373" s="160">
        <v>5.3158333333333342E-2</v>
      </c>
      <c r="G1373" s="153">
        <v>2784000000</v>
      </c>
      <c r="H1373" s="153">
        <v>554762000</v>
      </c>
      <c r="I1373" s="151">
        <v>5.0183682371900025</v>
      </c>
      <c r="J1373" s="153">
        <v>50</v>
      </c>
    </row>
    <row r="1374" spans="1:10" hidden="1">
      <c r="A1374" s="64">
        <v>2235</v>
      </c>
      <c r="B1374" s="151">
        <v>2.02</v>
      </c>
      <c r="C1374" s="160">
        <v>0.79090909090909089</v>
      </c>
      <c r="D1374" s="153">
        <v>32178217.821782179</v>
      </c>
      <c r="E1374" s="26">
        <f>VLOOKUP(2235,季財報!$A:$H,8,0)</f>
        <v>3</v>
      </c>
      <c r="F1374" s="160">
        <v>2.3199999999999998E-2</v>
      </c>
      <c r="G1374" s="153">
        <v>4456683168.3168316</v>
      </c>
      <c r="H1374" s="153">
        <v>873160000</v>
      </c>
      <c r="I1374" s="151">
        <v>5.1040853547079932</v>
      </c>
      <c r="J1374" s="153">
        <v>21.672641402071243</v>
      </c>
    </row>
    <row r="1375" spans="1:10" hidden="1">
      <c r="A1375" s="64">
        <v>4167</v>
      </c>
      <c r="B1375" s="52">
        <v>-0.61</v>
      </c>
      <c r="C1375" s="161">
        <v>0.94392523364485981</v>
      </c>
      <c r="D1375" s="158">
        <v>190163934.42622951</v>
      </c>
      <c r="E1375" s="26">
        <f>VLOOKUP(4167,季財報!$A:$H,8,0)</f>
        <v>1</v>
      </c>
      <c r="F1375" s="161">
        <v>-5.3333333333333358E-4</v>
      </c>
      <c r="G1375" s="54">
        <v>6085245901.6393442</v>
      </c>
      <c r="H1375" s="54">
        <v>1184448000</v>
      </c>
      <c r="I1375" s="65">
        <v>5.1376218302866352</v>
      </c>
      <c r="J1375" s="163">
        <v>0</v>
      </c>
    </row>
    <row r="1376" spans="1:10" hidden="1">
      <c r="A1376" s="64">
        <v>4133</v>
      </c>
      <c r="B1376" s="52">
        <v>0.15</v>
      </c>
      <c r="C1376" s="161">
        <v>0.76470588235294112</v>
      </c>
      <c r="D1376" s="158">
        <v>60000000</v>
      </c>
      <c r="E1376" s="26">
        <f>VLOOKUP(4133,季財報!$A:$H,8,0)</f>
        <v>2</v>
      </c>
      <c r="F1376" s="161">
        <v>8.5083333333333296E-3</v>
      </c>
      <c r="G1376" s="54">
        <v>2328000000</v>
      </c>
      <c r="H1376" s="54">
        <v>450251000</v>
      </c>
      <c r="I1376" s="65">
        <v>5.1704493715727446</v>
      </c>
      <c r="J1376" s="163">
        <v>50</v>
      </c>
    </row>
    <row r="1377" spans="1:10" hidden="1">
      <c r="A1377" s="64">
        <v>3228</v>
      </c>
      <c r="B1377" s="156">
        <v>-0.33</v>
      </c>
      <c r="C1377" s="160">
        <v>1</v>
      </c>
      <c r="D1377" s="157">
        <v>63636363.636363633</v>
      </c>
      <c r="E1377" s="26">
        <f>VLOOKUP(3228,季財報!$A:$H,8,0)</f>
        <v>0</v>
      </c>
      <c r="F1377" s="160">
        <v>-1.2366666666666672E-2</v>
      </c>
      <c r="G1377" s="157">
        <v>1425454545.4545453</v>
      </c>
      <c r="H1377" s="157">
        <v>273771000</v>
      </c>
      <c r="I1377" s="156">
        <v>5.2067404708845908</v>
      </c>
      <c r="J1377" s="157">
        <v>0</v>
      </c>
    </row>
    <row r="1378" spans="1:10" hidden="1">
      <c r="A1378" s="64">
        <v>5227</v>
      </c>
      <c r="B1378" s="52">
        <v>-0.45</v>
      </c>
      <c r="C1378" s="161">
        <v>1</v>
      </c>
      <c r="D1378" s="158">
        <v>164444444.44444445</v>
      </c>
      <c r="E1378" s="26">
        <f>VLOOKUP(5227,季財報!$A:$H,8,0)</f>
        <v>4</v>
      </c>
      <c r="F1378" s="161">
        <v>4.0216666666666658E-2</v>
      </c>
      <c r="G1378" s="54">
        <v>5870666666.666667</v>
      </c>
      <c r="H1378" s="54">
        <v>1127307000</v>
      </c>
      <c r="I1378" s="65">
        <v>5.2076911317561825</v>
      </c>
      <c r="J1378" s="163">
        <v>0</v>
      </c>
    </row>
    <row r="1379" spans="1:10" hidden="1">
      <c r="A1379" s="64">
        <v>6146</v>
      </c>
      <c r="B1379" s="52">
        <v>2.4</v>
      </c>
      <c r="C1379" s="161">
        <v>0.98076923076923073</v>
      </c>
      <c r="D1379" s="158">
        <v>86666666.666666672</v>
      </c>
      <c r="E1379" s="26">
        <f>VLOOKUP(6146,季財報!$A:$H,8,0)</f>
        <v>2</v>
      </c>
      <c r="F1379" s="161">
        <v>-2.6666666666666657E-3</v>
      </c>
      <c r="G1379" s="54">
        <v>16553333333.333334</v>
      </c>
      <c r="H1379" s="54">
        <v>3166921000</v>
      </c>
      <c r="I1379" s="65">
        <v>5.2269486145481157</v>
      </c>
      <c r="J1379" s="163">
        <v>20.285947712418302</v>
      </c>
    </row>
    <row r="1380" spans="1:10" hidden="1">
      <c r="A1380" s="64">
        <v>2496</v>
      </c>
      <c r="B1380" s="151">
        <v>-0.04</v>
      </c>
      <c r="C1380" s="160">
        <v>1</v>
      </c>
      <c r="D1380" s="153">
        <v>50000000</v>
      </c>
      <c r="E1380" s="26">
        <f>VLOOKUP(2496,季財報!$A:$H,8,0)</f>
        <v>2</v>
      </c>
      <c r="F1380" s="160">
        <v>6.810833333333334E-2</v>
      </c>
      <c r="G1380" s="153">
        <v>642500000</v>
      </c>
      <c r="H1380" s="153">
        <v>120627000</v>
      </c>
      <c r="I1380" s="151">
        <v>5.3263365581503308</v>
      </c>
      <c r="J1380" s="153">
        <v>0</v>
      </c>
    </row>
    <row r="1381" spans="1:10" hidden="1">
      <c r="A1381" s="64">
        <v>3164</v>
      </c>
      <c r="B1381" s="151">
        <v>0.12</v>
      </c>
      <c r="C1381" s="160">
        <v>1</v>
      </c>
      <c r="D1381" s="153">
        <v>91666666.666666672</v>
      </c>
      <c r="E1381" s="26">
        <f>VLOOKUP(3164,季財報!$A:$H,8,0)</f>
        <v>3</v>
      </c>
      <c r="F1381" s="160">
        <v>6.4441666666666661E-2</v>
      </c>
      <c r="G1381" s="153">
        <v>2814166666.666667</v>
      </c>
      <c r="H1381" s="153">
        <v>528150000</v>
      </c>
      <c r="I1381" s="151">
        <v>5.3283473760610942</v>
      </c>
      <c r="J1381" s="153">
        <v>50</v>
      </c>
    </row>
    <row r="1382" spans="1:10" hidden="1">
      <c r="A1382" s="64">
        <v>3685</v>
      </c>
      <c r="B1382" s="151">
        <v>-0.7</v>
      </c>
      <c r="C1382" s="160">
        <v>0</v>
      </c>
      <c r="D1382" s="153">
        <v>80000000</v>
      </c>
      <c r="E1382" s="26">
        <f>VLOOKUP(3685,季財報!$A:$H,8,0)</f>
        <v>2</v>
      </c>
      <c r="F1382" s="160">
        <v>1.2891666666666662E-2</v>
      </c>
      <c r="G1382" s="153">
        <v>3320000000</v>
      </c>
      <c r="H1382" s="153">
        <v>616121000</v>
      </c>
      <c r="I1382" s="151">
        <v>5.3885519240538793</v>
      </c>
      <c r="J1382" s="153">
        <v>0</v>
      </c>
    </row>
    <row r="1383" spans="1:10">
      <c r="A1383" s="64">
        <v>1565</v>
      </c>
      <c r="B1383" s="151">
        <v>9.35</v>
      </c>
      <c r="C1383" s="160">
        <v>0.81027667984189722</v>
      </c>
      <c r="D1383" s="153">
        <v>50374331.550802141</v>
      </c>
      <c r="E1383" s="26">
        <f>VLOOKUP(1565,季財報!$A:$H,8,0)</f>
        <v>5</v>
      </c>
      <c r="F1383" s="160">
        <v>1.9774999999999997E-2</v>
      </c>
      <c r="G1383" s="153">
        <v>30929839572.192516</v>
      </c>
      <c r="H1383" s="153">
        <v>5676382000</v>
      </c>
      <c r="I1383" s="151">
        <v>5.4488650644358527</v>
      </c>
      <c r="J1383" s="153">
        <v>20.261119081779054</v>
      </c>
    </row>
    <row r="1384" spans="1:10" hidden="1">
      <c r="A1384" s="64">
        <v>3662</v>
      </c>
      <c r="B1384" s="151">
        <v>0.95</v>
      </c>
      <c r="C1384" s="160">
        <v>0.96678966789667897</v>
      </c>
      <c r="D1384" s="153">
        <v>118947368.42105263</v>
      </c>
      <c r="E1384" s="26">
        <f>VLOOKUP(3662,季財報!$A:$H,8,0)</f>
        <v>1</v>
      </c>
      <c r="F1384" s="160">
        <v>0.16364999999999999</v>
      </c>
      <c r="G1384" s="153">
        <v>11573578947.368422</v>
      </c>
      <c r="H1384" s="153">
        <v>2107302000</v>
      </c>
      <c r="I1384" s="151">
        <v>5.4921311455920518</v>
      </c>
      <c r="J1384" s="153">
        <v>26.484833266372036</v>
      </c>
    </row>
    <row r="1385" spans="1:10" hidden="1">
      <c r="A1385" s="64">
        <v>8432</v>
      </c>
      <c r="B1385" s="52">
        <v>0.35</v>
      </c>
      <c r="C1385" s="161">
        <v>0.82051282051282048</v>
      </c>
      <c r="D1385" s="158">
        <v>40000000</v>
      </c>
      <c r="E1385" s="26">
        <f>VLOOKUP(8432,季財報!$A:$H,8,0)</f>
        <v>1</v>
      </c>
      <c r="F1385" s="161">
        <v>6.5833333333333325E-3</v>
      </c>
      <c r="G1385" s="54">
        <v>2952000000</v>
      </c>
      <c r="H1385" s="54">
        <v>527713000</v>
      </c>
      <c r="I1385" s="65">
        <v>5.5939497416209187</v>
      </c>
      <c r="J1385" s="163">
        <v>50</v>
      </c>
    </row>
    <row r="1386" spans="1:10" hidden="1">
      <c r="A1386" s="64">
        <v>8450</v>
      </c>
      <c r="B1386" s="52">
        <v>1.1399999999999999</v>
      </c>
      <c r="C1386" s="161">
        <v>0.7558139534883721</v>
      </c>
      <c r="D1386" s="158">
        <v>43859649.122807018</v>
      </c>
      <c r="E1386" s="26">
        <f>VLOOKUP(8450,季財報!$A:$H,8,0)</f>
        <v>3</v>
      </c>
      <c r="F1386" s="161">
        <v>1.9683333333333337E-2</v>
      </c>
      <c r="G1386" s="54">
        <v>3631578947.3684211</v>
      </c>
      <c r="H1386" s="54">
        <v>635453000</v>
      </c>
      <c r="I1386" s="65">
        <v>5.7149450035933755</v>
      </c>
      <c r="J1386" s="163">
        <v>24.02429149797571</v>
      </c>
    </row>
    <row r="1387" spans="1:10" hidden="1">
      <c r="A1387" s="64">
        <v>2390</v>
      </c>
      <c r="B1387" s="151">
        <v>0.4</v>
      </c>
      <c r="C1387" s="160">
        <v>0</v>
      </c>
      <c r="D1387" s="153">
        <v>215000000</v>
      </c>
      <c r="E1387" s="26">
        <f>VLOOKUP(2390,季財報!$A:$H,8,0)</f>
        <v>3</v>
      </c>
      <c r="F1387" s="160">
        <v>-1.0966666666666671E-2</v>
      </c>
      <c r="G1387" s="153">
        <v>4751500000</v>
      </c>
      <c r="H1387" s="153">
        <v>827125000</v>
      </c>
      <c r="I1387" s="151">
        <v>5.7445972495088409</v>
      </c>
      <c r="J1387" s="153">
        <v>0</v>
      </c>
    </row>
    <row r="1388" spans="1:10" hidden="1">
      <c r="A1388" s="64">
        <v>5324</v>
      </c>
      <c r="B1388" s="52">
        <v>-0.59</v>
      </c>
      <c r="C1388" s="161">
        <v>0.797752808988764</v>
      </c>
      <c r="D1388" s="158">
        <v>76271186.440677971</v>
      </c>
      <c r="E1388" s="26">
        <f>VLOOKUP(5324,季財報!$A:$H,8,0)</f>
        <v>1</v>
      </c>
      <c r="F1388" s="161">
        <v>3.2666666666666664E-3</v>
      </c>
      <c r="G1388" s="54">
        <v>819915254.23728824</v>
      </c>
      <c r="H1388" s="54">
        <v>142274000</v>
      </c>
      <c r="I1388" s="65">
        <v>5.7629310642653486</v>
      </c>
      <c r="J1388" s="163">
        <v>0</v>
      </c>
    </row>
    <row r="1389" spans="1:10" hidden="1">
      <c r="A1389" s="64">
        <v>1536</v>
      </c>
      <c r="B1389" s="151">
        <v>1.49</v>
      </c>
      <c r="C1389" s="160">
        <v>0.84470989761092152</v>
      </c>
      <c r="D1389" s="153">
        <v>233557046.97986576</v>
      </c>
      <c r="E1389" s="26">
        <f>VLOOKUP(1536,季財報!$A:$H,8,0)</f>
        <v>4</v>
      </c>
      <c r="F1389" s="160">
        <v>2.9516666666666667E-2</v>
      </c>
      <c r="G1389" s="153">
        <v>29895302013.422817</v>
      </c>
      <c r="H1389" s="153">
        <v>5083667000</v>
      </c>
      <c r="I1389" s="151">
        <v>5.8806570165635978</v>
      </c>
      <c r="J1389" s="153">
        <v>25.424716968341126</v>
      </c>
    </row>
    <row r="1390" spans="1:10" hidden="1">
      <c r="A1390" s="64">
        <v>6111</v>
      </c>
      <c r="B1390" s="52">
        <v>2.2599999999999998</v>
      </c>
      <c r="C1390" s="161">
        <v>0.5757575757575758</v>
      </c>
      <c r="D1390" s="158">
        <v>45575221.238938056</v>
      </c>
      <c r="E1390" s="26">
        <f>VLOOKUP(6111,季財報!$A:$H,8,0)</f>
        <v>4</v>
      </c>
      <c r="F1390" s="161">
        <v>0.15049166666666672</v>
      </c>
      <c r="G1390" s="54">
        <v>4229380530.9734516</v>
      </c>
      <c r="H1390" s="54">
        <v>708846000</v>
      </c>
      <c r="I1390" s="65">
        <v>5.9665717673139884</v>
      </c>
      <c r="J1390" s="163">
        <v>17.829529576152769</v>
      </c>
    </row>
    <row r="1391" spans="1:10" hidden="1">
      <c r="A1391" s="64">
        <v>8097</v>
      </c>
      <c r="B1391" s="52">
        <v>-0.17</v>
      </c>
      <c r="C1391" s="161">
        <v>1</v>
      </c>
      <c r="D1391" s="158">
        <v>29411764.705882352</v>
      </c>
      <c r="E1391" s="26">
        <f>VLOOKUP(8097,季財報!$A:$H,8,0)</f>
        <v>5</v>
      </c>
      <c r="F1391" s="161">
        <v>0.93910833333333332</v>
      </c>
      <c r="G1391" s="54">
        <v>350000000</v>
      </c>
      <c r="H1391" s="54">
        <v>58277000</v>
      </c>
      <c r="I1391" s="65">
        <v>6.0057998867477735</v>
      </c>
      <c r="J1391" s="163">
        <v>0</v>
      </c>
    </row>
    <row r="1392" spans="1:10" hidden="1">
      <c r="A1392" s="64">
        <v>3073</v>
      </c>
      <c r="B1392" s="151">
        <v>-0.1</v>
      </c>
      <c r="C1392" s="160">
        <v>1</v>
      </c>
      <c r="D1392" s="153">
        <v>50000000</v>
      </c>
      <c r="E1392" s="26">
        <f>VLOOKUP(3073,季財報!$A:$H,8,0)</f>
        <v>1</v>
      </c>
      <c r="F1392" s="160">
        <v>9.6641666666666667E-2</v>
      </c>
      <c r="G1392" s="153">
        <v>296500000</v>
      </c>
      <c r="H1392" s="153">
        <v>49087000</v>
      </c>
      <c r="I1392" s="151">
        <v>6.040295801332328</v>
      </c>
      <c r="J1392" s="153">
        <v>0</v>
      </c>
    </row>
    <row r="1393" spans="1:10" hidden="1">
      <c r="A1393" s="64">
        <v>8406</v>
      </c>
      <c r="B1393" s="52">
        <v>4.38</v>
      </c>
      <c r="C1393" s="161">
        <v>1</v>
      </c>
      <c r="D1393" s="158">
        <v>92465753.424657539</v>
      </c>
      <c r="E1393" s="26">
        <f>VLOOKUP(8406,季財報!$A:$H,8,0)</f>
        <v>1</v>
      </c>
      <c r="F1393" s="161">
        <v>2.1549999999999996E-2</v>
      </c>
      <c r="G1393" s="54">
        <v>37217465753.42466</v>
      </c>
      <c r="H1393" s="54">
        <v>5977370000</v>
      </c>
      <c r="I1393" s="65">
        <v>6.2263948447937238</v>
      </c>
      <c r="J1393" s="163">
        <v>22.973744292237445</v>
      </c>
    </row>
    <row r="1394" spans="1:10" hidden="1">
      <c r="A1394" s="64">
        <v>6236</v>
      </c>
      <c r="B1394" s="52">
        <v>-0.35</v>
      </c>
      <c r="C1394" s="161">
        <v>1</v>
      </c>
      <c r="D1394" s="158">
        <v>31428571.428571429</v>
      </c>
      <c r="E1394" s="26">
        <f>VLOOKUP(6236,季財報!$A:$H,8,0)</f>
        <v>1</v>
      </c>
      <c r="F1394" s="161">
        <v>2.2699999999999998E-2</v>
      </c>
      <c r="G1394" s="54">
        <v>1030857142.8571428</v>
      </c>
      <c r="H1394" s="54">
        <v>165226000</v>
      </c>
      <c r="I1394" s="65">
        <v>6.2390734076788323</v>
      </c>
      <c r="J1394" s="163">
        <v>0</v>
      </c>
    </row>
    <row r="1395" spans="1:10" hidden="1">
      <c r="A1395" s="64">
        <v>5530</v>
      </c>
      <c r="B1395" s="52">
        <v>1.05</v>
      </c>
      <c r="C1395" s="161">
        <v>0.82440476190476186</v>
      </c>
      <c r="D1395" s="158">
        <v>400000000</v>
      </c>
      <c r="E1395" s="26">
        <f>VLOOKUP(5530,季財報!$A:$H,8,0)</f>
        <v>2</v>
      </c>
      <c r="F1395" s="161">
        <v>-4.3325000000000002E-2</v>
      </c>
      <c r="G1395" s="54">
        <v>25720000000</v>
      </c>
      <c r="H1395" s="54">
        <v>4067234000</v>
      </c>
      <c r="I1395" s="65">
        <v>6.323707954841054</v>
      </c>
      <c r="J1395" s="163">
        <v>18.570397111913358</v>
      </c>
    </row>
    <row r="1396" spans="1:10" hidden="1">
      <c r="A1396" s="64">
        <v>3008</v>
      </c>
      <c r="B1396" s="151">
        <v>61.17</v>
      </c>
      <c r="C1396" s="160">
        <v>0.87198772064466612</v>
      </c>
      <c r="D1396" s="153">
        <v>134150727.48079124</v>
      </c>
      <c r="E1396" s="26">
        <f>VLOOKUP(3008,季財報!$A:$H,8,0)</f>
        <v>3</v>
      </c>
      <c r="F1396" s="160">
        <v>2.5549999999999989E-2</v>
      </c>
      <c r="G1396" s="153">
        <v>364219225110.34821</v>
      </c>
      <c r="H1396" s="153">
        <v>57591938000</v>
      </c>
      <c r="I1396" s="151">
        <v>6.3241355953388512</v>
      </c>
      <c r="J1396" s="153">
        <v>12.725093816157884</v>
      </c>
    </row>
    <row r="1397" spans="1:10" hidden="1">
      <c r="A1397" s="64">
        <v>2915</v>
      </c>
      <c r="B1397" s="151">
        <v>3</v>
      </c>
      <c r="C1397" s="160">
        <v>0</v>
      </c>
      <c r="D1397" s="153">
        <v>889333333.33333337</v>
      </c>
      <c r="E1397" s="26">
        <f>VLOOKUP(2915,季財報!$A:$H,8,0)</f>
        <v>3</v>
      </c>
      <c r="F1397" s="160">
        <v>0.22055833333333333</v>
      </c>
      <c r="G1397" s="153">
        <v>53804666666.666672</v>
      </c>
      <c r="H1397" s="153">
        <v>8205234000</v>
      </c>
      <c r="I1397" s="151">
        <v>6.5573592010498025</v>
      </c>
      <c r="J1397" s="153">
        <v>0</v>
      </c>
    </row>
    <row r="1398" spans="1:10" hidden="1">
      <c r="A1398" s="64">
        <v>6415</v>
      </c>
      <c r="B1398" s="52">
        <v>3.68</v>
      </c>
      <c r="C1398" s="161">
        <v>0.90677966101694918</v>
      </c>
      <c r="D1398" s="158">
        <v>76902173.913043469</v>
      </c>
      <c r="E1398" s="26">
        <f>VLOOKUP(6415,季財報!$A:$H,8,0)</f>
        <v>2</v>
      </c>
      <c r="F1398" s="161">
        <v>4.5066666666666672E-2</v>
      </c>
      <c r="G1398" s="54">
        <v>29491983695.652172</v>
      </c>
      <c r="H1398" s="54">
        <v>4418332000</v>
      </c>
      <c r="I1398" s="65">
        <v>6.6749134505175647</v>
      </c>
      <c r="J1398" s="163">
        <v>28.731333807395366</v>
      </c>
    </row>
    <row r="1399" spans="1:10" hidden="1">
      <c r="A1399" s="64">
        <v>5269</v>
      </c>
      <c r="B1399" s="52">
        <v>1.62</v>
      </c>
      <c r="C1399" s="161">
        <v>0.66666666666666663</v>
      </c>
      <c r="D1399" s="158">
        <v>56790123.456790119</v>
      </c>
      <c r="E1399" s="26">
        <f>VLOOKUP(5269,季財報!$A:$H,8,0)</f>
        <v>6</v>
      </c>
      <c r="F1399" s="161">
        <v>5.0325000000000009E-2</v>
      </c>
      <c r="G1399" s="54">
        <v>10080246913.580246</v>
      </c>
      <c r="H1399" s="54">
        <v>1505959000</v>
      </c>
      <c r="I1399" s="65">
        <v>6.6935732736284628</v>
      </c>
      <c r="J1399" s="163">
        <v>41.087962962962962</v>
      </c>
    </row>
    <row r="1400" spans="1:10" hidden="1">
      <c r="A1400" s="64">
        <v>6194</v>
      </c>
      <c r="B1400" s="52">
        <v>-0.2</v>
      </c>
      <c r="C1400" s="161">
        <v>1</v>
      </c>
      <c r="D1400" s="158">
        <v>90000000</v>
      </c>
      <c r="E1400" s="26">
        <f>VLOOKUP(6194,季財報!$A:$H,8,0)</f>
        <v>3</v>
      </c>
      <c r="F1400" s="161">
        <v>8.1183333333333316E-2</v>
      </c>
      <c r="G1400" s="54">
        <v>1804500000</v>
      </c>
      <c r="H1400" s="54">
        <v>266280000</v>
      </c>
      <c r="I1400" s="65">
        <v>6.7767012167643079</v>
      </c>
      <c r="J1400" s="163">
        <v>0</v>
      </c>
    </row>
    <row r="1401" spans="1:10" hidden="1">
      <c r="A1401" s="64">
        <v>3094</v>
      </c>
      <c r="B1401" s="151">
        <v>0.34</v>
      </c>
      <c r="C1401" s="160">
        <v>0.36363636363636365</v>
      </c>
      <c r="D1401" s="153">
        <v>82352941.176470578</v>
      </c>
      <c r="E1401" s="26">
        <f>VLOOKUP(3094,季財報!$A:$H,8,0)</f>
        <v>4</v>
      </c>
      <c r="F1401" s="160">
        <v>3.6583333333333336E-2</v>
      </c>
      <c r="G1401" s="153">
        <v>2198823529.4117641</v>
      </c>
      <c r="H1401" s="153">
        <v>321929000</v>
      </c>
      <c r="I1401" s="151">
        <v>6.8301505282586037</v>
      </c>
      <c r="J1401" s="153">
        <v>50</v>
      </c>
    </row>
    <row r="1402" spans="1:10" hidden="1">
      <c r="A1402" s="64">
        <v>4994</v>
      </c>
      <c r="B1402" s="52">
        <v>0.43</v>
      </c>
      <c r="C1402" s="161">
        <v>0</v>
      </c>
      <c r="D1402" s="158">
        <v>111627906.97674419</v>
      </c>
      <c r="E1402" s="26">
        <f>VLOOKUP(4994,季財報!$A:$H,8,0)</f>
        <v>4</v>
      </c>
      <c r="F1402" s="161">
        <v>4.000000000000001E-3</v>
      </c>
      <c r="G1402" s="54">
        <v>9209302325.5813961</v>
      </c>
      <c r="H1402" s="54">
        <v>1308583000</v>
      </c>
      <c r="I1402" s="65">
        <v>7.0376142175019822</v>
      </c>
      <c r="J1402" s="163">
        <v>0</v>
      </c>
    </row>
    <row r="1403" spans="1:10" hidden="1">
      <c r="A1403" s="64">
        <v>6452</v>
      </c>
      <c r="B1403" s="52">
        <v>4.03</v>
      </c>
      <c r="C1403" s="161">
        <v>0.89419087136929465</v>
      </c>
      <c r="D1403" s="158">
        <v>63771712.158808932</v>
      </c>
      <c r="E1403" s="26">
        <f>VLOOKUP(6452,季財報!$A:$H,8,0)</f>
        <v>2</v>
      </c>
      <c r="F1403" s="161">
        <v>-6.2949999999999992E-2</v>
      </c>
      <c r="G1403" s="54">
        <v>25189826302.729527</v>
      </c>
      <c r="H1403" s="54">
        <v>3578258000</v>
      </c>
      <c r="I1403" s="65">
        <v>7.0396897883633676</v>
      </c>
      <c r="J1403" s="163">
        <v>27.403234442378217</v>
      </c>
    </row>
    <row r="1404" spans="1:10" hidden="1">
      <c r="A1404" s="64">
        <v>4137</v>
      </c>
      <c r="B1404" s="52">
        <v>4.1100000000000003</v>
      </c>
      <c r="C1404" s="161">
        <v>0.87588652482269502</v>
      </c>
      <c r="D1404" s="158">
        <v>79562043.795620427</v>
      </c>
      <c r="E1404" s="26">
        <f>VLOOKUP(4137,季財報!$A:$H,8,0)</f>
        <v>2</v>
      </c>
      <c r="F1404" s="161">
        <v>0.13947500000000002</v>
      </c>
      <c r="G1404" s="54">
        <v>29000364963.503647</v>
      </c>
      <c r="H1404" s="54">
        <v>4109483000</v>
      </c>
      <c r="I1404" s="65">
        <v>7.0569375669649066</v>
      </c>
      <c r="J1404" s="163">
        <v>25.313248027423974</v>
      </c>
    </row>
    <row r="1405" spans="1:10" hidden="1">
      <c r="A1405" s="64">
        <v>4557</v>
      </c>
      <c r="B1405" s="52">
        <v>2.4</v>
      </c>
      <c r="C1405" s="161">
        <v>0.76229508196721307</v>
      </c>
      <c r="D1405" s="158">
        <v>30833333.333333336</v>
      </c>
      <c r="E1405" s="26">
        <f>VLOOKUP(4557,季財報!$A:$H,8,0)</f>
        <v>0</v>
      </c>
      <c r="F1405" s="161">
        <v>-0.10129166666666667</v>
      </c>
      <c r="G1405" s="54">
        <v>2559166666.666667</v>
      </c>
      <c r="H1405" s="54">
        <v>346829000</v>
      </c>
      <c r="I1405" s="65">
        <v>7.378756293927748</v>
      </c>
      <c r="J1405" s="163">
        <v>11.341845878136201</v>
      </c>
    </row>
    <row r="1406" spans="1:10" hidden="1">
      <c r="A1406" s="64">
        <v>9902</v>
      </c>
      <c r="B1406" s="52">
        <v>0.22</v>
      </c>
      <c r="C1406" s="161">
        <v>0</v>
      </c>
      <c r="D1406" s="158">
        <v>100000000</v>
      </c>
      <c r="E1406" s="26">
        <f>VLOOKUP(9902,季財報!$A:$H,8,0)</f>
        <v>2</v>
      </c>
      <c r="F1406" s="161">
        <v>0.41501666666666664</v>
      </c>
      <c r="G1406" s="54">
        <v>1010000000</v>
      </c>
      <c r="H1406" s="54">
        <v>136050000</v>
      </c>
      <c r="I1406" s="65">
        <v>7.4237412715913269</v>
      </c>
      <c r="J1406" s="163">
        <v>0</v>
      </c>
    </row>
    <row r="1407" spans="1:10" hidden="1">
      <c r="A1407" s="64">
        <v>4128</v>
      </c>
      <c r="B1407" s="52">
        <v>-0.15</v>
      </c>
      <c r="C1407" s="161">
        <v>1</v>
      </c>
      <c r="D1407" s="158">
        <v>420000000</v>
      </c>
      <c r="E1407" s="26">
        <f>VLOOKUP(4128,季財報!$A:$H,8,0)</f>
        <v>2</v>
      </c>
      <c r="F1407" s="161">
        <v>2.0458333333333339E-2</v>
      </c>
      <c r="G1407" s="54">
        <v>11445000000</v>
      </c>
      <c r="H1407" s="54">
        <v>1541331000</v>
      </c>
      <c r="I1407" s="65">
        <v>7.4254005142308825</v>
      </c>
      <c r="J1407" s="163">
        <v>0</v>
      </c>
    </row>
    <row r="1408" spans="1:10" hidden="1">
      <c r="A1408" s="64">
        <v>8422</v>
      </c>
      <c r="B1408" s="52">
        <v>2.99</v>
      </c>
      <c r="C1408" s="161">
        <v>0.96534653465346532</v>
      </c>
      <c r="D1408" s="158">
        <v>108695652.17391303</v>
      </c>
      <c r="E1408" s="26">
        <f>VLOOKUP(8422,季財報!$A:$H,8,0)</f>
        <v>5</v>
      </c>
      <c r="F1408" s="161">
        <v>4.7166666666666669E-2</v>
      </c>
      <c r="G1408" s="54">
        <v>19456521739.130432</v>
      </c>
      <c r="H1408" s="54">
        <v>2591407000</v>
      </c>
      <c r="I1408" s="65">
        <v>7.5080918354895356</v>
      </c>
      <c r="J1408" s="163">
        <v>15.503816139267643</v>
      </c>
    </row>
    <row r="1409" spans="1:11" hidden="1">
      <c r="A1409" s="64">
        <v>4161</v>
      </c>
      <c r="B1409" s="52">
        <v>0.04</v>
      </c>
      <c r="C1409" s="161">
        <v>1</v>
      </c>
      <c r="D1409" s="158">
        <v>50000000</v>
      </c>
      <c r="E1409" s="26">
        <f>VLOOKUP(4161,季財報!$A:$H,8,0)</f>
        <v>2</v>
      </c>
      <c r="F1409" s="161">
        <v>3.1466666666666677E-2</v>
      </c>
      <c r="G1409" s="54">
        <v>3525000000</v>
      </c>
      <c r="H1409" s="54">
        <v>465091000</v>
      </c>
      <c r="I1409" s="65">
        <v>7.5791619274507571</v>
      </c>
      <c r="J1409" s="163">
        <v>50</v>
      </c>
    </row>
    <row r="1410" spans="1:11" hidden="1">
      <c r="A1410" s="64">
        <v>6237</v>
      </c>
      <c r="B1410" s="52">
        <v>1.57</v>
      </c>
      <c r="C1410" s="161">
        <v>0</v>
      </c>
      <c r="D1410" s="158">
        <v>77707006.369426742</v>
      </c>
      <c r="E1410" s="26">
        <f>VLOOKUP(6237,季財報!$A:$H,8,0)</f>
        <v>2</v>
      </c>
      <c r="F1410" s="161">
        <v>3.2575E-2</v>
      </c>
      <c r="G1410" s="54">
        <v>2758598726.1146493</v>
      </c>
      <c r="H1410" s="54">
        <v>363140000</v>
      </c>
      <c r="I1410" s="65">
        <v>7.5965157408014798</v>
      </c>
      <c r="J1410" s="163">
        <v>0</v>
      </c>
    </row>
    <row r="1411" spans="1:11" hidden="1">
      <c r="A1411" s="64">
        <v>1783</v>
      </c>
      <c r="B1411" s="151">
        <v>-0.08</v>
      </c>
      <c r="C1411" s="160">
        <v>1</v>
      </c>
      <c r="D1411" s="153">
        <v>75000000</v>
      </c>
      <c r="E1411" s="26">
        <f>VLOOKUP(1783,季財報!$A:$H,8,0)</f>
        <v>2</v>
      </c>
      <c r="F1411" s="160">
        <v>6.1525000000000003E-2</v>
      </c>
      <c r="G1411" s="153">
        <v>1965000000</v>
      </c>
      <c r="H1411" s="153">
        <v>255859000</v>
      </c>
      <c r="I1411" s="151">
        <v>7.6800112561997036</v>
      </c>
      <c r="J1411" s="153">
        <v>0</v>
      </c>
    </row>
    <row r="1412" spans="1:11" hidden="1">
      <c r="A1412" s="64">
        <v>1432</v>
      </c>
      <c r="B1412" s="151">
        <v>-0.02</v>
      </c>
      <c r="C1412" s="160">
        <v>1</v>
      </c>
      <c r="D1412" s="153">
        <v>150000000</v>
      </c>
      <c r="E1412" s="26">
        <f>VLOOKUP(1432,季財報!$A:$H,8,0)</f>
        <v>2</v>
      </c>
      <c r="F1412" s="160">
        <v>0.40399166666666669</v>
      </c>
      <c r="G1412" s="153">
        <v>2932500000</v>
      </c>
      <c r="H1412" s="153">
        <v>372042000</v>
      </c>
      <c r="I1412" s="151">
        <v>7.8821745931910909</v>
      </c>
      <c r="J1412" s="153">
        <v>0</v>
      </c>
    </row>
    <row r="1413" spans="1:11" hidden="1">
      <c r="A1413" s="64">
        <v>4105</v>
      </c>
      <c r="B1413" s="52">
        <v>0.97</v>
      </c>
      <c r="C1413" s="161">
        <v>0.83058823529411763</v>
      </c>
      <c r="D1413" s="158">
        <v>249484536.08247423</v>
      </c>
      <c r="E1413" s="26">
        <f>VLOOKUP(4105,季財報!$A:$H,8,0)</f>
        <v>3</v>
      </c>
      <c r="F1413" s="161">
        <v>5.4808333333333327E-2</v>
      </c>
      <c r="G1413" s="54">
        <v>24698969072.164948</v>
      </c>
      <c r="H1413" s="54">
        <v>3114211000</v>
      </c>
      <c r="I1413" s="65">
        <v>7.9310519011605018</v>
      </c>
      <c r="J1413" s="163">
        <v>30.719751175491375</v>
      </c>
    </row>
    <row r="1414" spans="1:11" hidden="1">
      <c r="A1414" s="64">
        <v>8437</v>
      </c>
      <c r="B1414" s="52">
        <v>2.63</v>
      </c>
      <c r="C1414" s="161">
        <v>0.88</v>
      </c>
      <c r="D1414" s="158">
        <v>32699619.771863118</v>
      </c>
      <c r="E1414" s="26">
        <f>VLOOKUP(8437,季財報!$A:$H,8,0)</f>
        <v>5</v>
      </c>
      <c r="F1414" s="161">
        <v>7.4516666666666662E-2</v>
      </c>
      <c r="G1414" s="54">
        <v>4676045627.3764257</v>
      </c>
      <c r="H1414" s="54">
        <v>583278000</v>
      </c>
      <c r="I1414" s="65">
        <v>8.0168386727708327</v>
      </c>
      <c r="J1414" s="163">
        <v>15.446768060836503</v>
      </c>
    </row>
    <row r="1415" spans="1:11" hidden="1">
      <c r="A1415" s="64">
        <v>4107</v>
      </c>
      <c r="B1415" s="52">
        <v>1.45</v>
      </c>
      <c r="C1415" s="161">
        <v>0.8044692737430168</v>
      </c>
      <c r="D1415" s="158">
        <v>70344827.586206898</v>
      </c>
      <c r="E1415" s="26">
        <f>VLOOKUP(4107,季財報!$A:$H,8,0)</f>
        <v>3</v>
      </c>
      <c r="F1415" s="161">
        <v>1.4649999999999998E-2</v>
      </c>
      <c r="G1415" s="54">
        <v>10059310344.827587</v>
      </c>
      <c r="H1415" s="54">
        <v>1238498000</v>
      </c>
      <c r="I1415" s="65">
        <v>8.1221853768254668</v>
      </c>
      <c r="J1415" s="163">
        <v>30.647749042145591</v>
      </c>
    </row>
    <row r="1416" spans="1:11" hidden="1">
      <c r="A1416" s="64">
        <v>8076</v>
      </c>
      <c r="B1416" s="52">
        <v>0.4</v>
      </c>
      <c r="C1416" s="161">
        <v>0.75</v>
      </c>
      <c r="D1416" s="158">
        <v>235000000</v>
      </c>
      <c r="E1416" s="26">
        <f>VLOOKUP(8076,季財報!$A:$H,8,0)</f>
        <v>3</v>
      </c>
      <c r="F1416" s="161">
        <v>6.3249999999999912E-3</v>
      </c>
      <c r="G1416" s="54">
        <v>22442500000</v>
      </c>
      <c r="H1416" s="54">
        <v>2755650000</v>
      </c>
      <c r="I1416" s="65">
        <v>8.1441765100792924</v>
      </c>
      <c r="J1416" s="163">
        <v>50</v>
      </c>
    </row>
    <row r="1417" spans="1:11" hidden="1">
      <c r="A1417" s="64">
        <v>4426</v>
      </c>
      <c r="B1417" s="52">
        <v>1.91</v>
      </c>
      <c r="C1417" s="161">
        <v>0.92088607594936711</v>
      </c>
      <c r="D1417" s="158">
        <v>91099476.439790577</v>
      </c>
      <c r="E1417" s="26">
        <f>VLOOKUP(4426,季財報!$A:$H,8,0)</f>
        <v>4</v>
      </c>
      <c r="F1417" s="161">
        <v>6.6775000000000001E-2</v>
      </c>
      <c r="G1417" s="54">
        <v>16489005235.602095</v>
      </c>
      <c r="H1417" s="54">
        <v>2014866000</v>
      </c>
      <c r="I1417" s="65">
        <v>8.1836733736149672</v>
      </c>
      <c r="J1417" s="163">
        <v>25.7264173008762</v>
      </c>
    </row>
    <row r="1418" spans="1:11" hidden="1">
      <c r="A1418" s="64">
        <v>2059</v>
      </c>
      <c r="B1418" s="151">
        <v>7.99</v>
      </c>
      <c r="C1418" s="160">
        <v>0.6807909604519774</v>
      </c>
      <c r="D1418" s="153">
        <v>95244055.068836048</v>
      </c>
      <c r="E1418" s="26">
        <f>VLOOKUP(2059,季財報!$A:$H,8,0)</f>
        <v>4</v>
      </c>
      <c r="F1418" s="160">
        <v>4.1249999999999967E-3</v>
      </c>
      <c r="G1418" s="153">
        <v>37335669586.983734</v>
      </c>
      <c r="H1418" s="153">
        <v>4538893000</v>
      </c>
      <c r="I1418" s="151">
        <v>8.2257214671030443</v>
      </c>
      <c r="J1418" s="153">
        <v>18.016296303989947</v>
      </c>
    </row>
    <row r="1419" spans="1:11" hidden="1">
      <c r="A1419" s="64">
        <v>3520</v>
      </c>
      <c r="B1419" s="151">
        <v>0.15</v>
      </c>
      <c r="C1419" s="160">
        <v>1</v>
      </c>
      <c r="D1419" s="153">
        <v>53333333.333333336</v>
      </c>
      <c r="E1419" s="26">
        <f>VLOOKUP(3520,季財報!$A:$H,8,0)</f>
        <v>4</v>
      </c>
      <c r="F1419" s="160">
        <v>1.9375000000000007E-2</v>
      </c>
      <c r="G1419" s="153">
        <v>4768000000.000001</v>
      </c>
      <c r="H1419" s="153">
        <v>574925000</v>
      </c>
      <c r="I1419" s="151">
        <v>8.2932556420402683</v>
      </c>
      <c r="J1419" s="153">
        <v>50</v>
      </c>
    </row>
    <row r="1420" spans="1:11" hidden="1">
      <c r="A1420" s="64">
        <v>8926</v>
      </c>
      <c r="B1420" s="52">
        <v>0.56999999999999995</v>
      </c>
      <c r="C1420" s="161">
        <v>7.4850299401197598E-2</v>
      </c>
      <c r="D1420" s="158">
        <v>592982456.14035094</v>
      </c>
      <c r="E1420" s="26">
        <f>VLOOKUP(8926,季財報!$A:$H,8,0)</f>
        <v>3</v>
      </c>
      <c r="F1420" s="161">
        <v>0.104225</v>
      </c>
      <c r="G1420" s="54">
        <v>13668245614.035089</v>
      </c>
      <c r="H1420" s="54">
        <v>1626826000</v>
      </c>
      <c r="I1420" s="65">
        <v>8.4017870467001945</v>
      </c>
      <c r="J1420" s="163">
        <v>50</v>
      </c>
    </row>
    <row r="1421" spans="1:11">
      <c r="A1421" s="64">
        <v>3205</v>
      </c>
      <c r="B1421" s="151">
        <v>4.1100000000000003</v>
      </c>
      <c r="C1421" s="160">
        <v>1</v>
      </c>
      <c r="D1421" s="153">
        <v>25304136.253041361</v>
      </c>
      <c r="E1421" s="26">
        <f>VLOOKUP(3205,季財報!$A:$H,8,0)</f>
        <v>5</v>
      </c>
      <c r="F1421" s="160">
        <v>0.12420000000000002</v>
      </c>
      <c r="G1421" s="153">
        <v>8464233576.6423349</v>
      </c>
      <c r="H1421" s="153">
        <v>1001686000</v>
      </c>
      <c r="I1421" s="151">
        <v>8.4499868987310744</v>
      </c>
      <c r="J1421" s="153">
        <v>20.346715328467152</v>
      </c>
    </row>
    <row r="1422" spans="1:11" hidden="1">
      <c r="A1422" s="64">
        <v>5287</v>
      </c>
      <c r="B1422" s="52">
        <v>3.29</v>
      </c>
      <c r="C1422" s="161">
        <v>0.96415770609318996</v>
      </c>
      <c r="D1422" s="158">
        <v>41033434.650455929</v>
      </c>
      <c r="E1422" s="26">
        <f>VLOOKUP(5287,季財報!$A:$H,8,0)</f>
        <v>2</v>
      </c>
      <c r="F1422" s="161">
        <v>4.275000000000001E-3</v>
      </c>
      <c r="G1422" s="54">
        <v>11817629179.331308</v>
      </c>
      <c r="H1422" s="54">
        <v>1357472000</v>
      </c>
      <c r="I1422" s="65">
        <v>8.7056154228826141</v>
      </c>
      <c r="J1422" s="163">
        <v>22.69804860962023</v>
      </c>
    </row>
    <row r="1423" spans="1:11" hidden="1">
      <c r="A1423" s="64">
        <v>4198</v>
      </c>
      <c r="B1423" s="52">
        <v>-0.81</v>
      </c>
      <c r="C1423" s="161">
        <v>1</v>
      </c>
      <c r="D1423" s="158">
        <v>141975308.64197531</v>
      </c>
      <c r="E1423" s="26">
        <f>VLOOKUP(4198,季財報!$A:$H,8,0)</f>
        <v>4</v>
      </c>
      <c r="F1423" s="161">
        <v>0.23818333333333333</v>
      </c>
      <c r="G1423" s="54">
        <v>5891975308.6419754</v>
      </c>
      <c r="H1423" s="54">
        <v>642487000</v>
      </c>
      <c r="I1423" s="65">
        <v>9.1705751379280436</v>
      </c>
      <c r="J1423" s="163">
        <v>0</v>
      </c>
    </row>
    <row r="1424" spans="1:11" hidden="1">
      <c r="A1424" s="64">
        <v>6228</v>
      </c>
      <c r="B1424" s="52">
        <v>0.01</v>
      </c>
      <c r="C1424" s="161">
        <v>1</v>
      </c>
      <c r="D1424" s="158">
        <v>100000000</v>
      </c>
      <c r="E1424" s="26">
        <f>VLOOKUP(6228,季財報!$A:$H,8,0)</f>
        <v>4</v>
      </c>
      <c r="F1424" s="161">
        <v>0.119575</v>
      </c>
      <c r="G1424" s="54">
        <v>1210000000</v>
      </c>
      <c r="H1424" s="54">
        <v>129504000</v>
      </c>
      <c r="I1424" s="65">
        <v>9.3433407462317764</v>
      </c>
      <c r="J1424" s="163">
        <v>50</v>
      </c>
      <c r="K1424" s="32"/>
    </row>
    <row r="1425" spans="1:10">
      <c r="A1425" s="64">
        <v>3152</v>
      </c>
      <c r="B1425" s="151">
        <v>3.52</v>
      </c>
      <c r="C1425" s="160">
        <v>0.87710843373493974</v>
      </c>
      <c r="D1425" s="153">
        <v>69034090.909090906</v>
      </c>
      <c r="E1425" s="26">
        <f>VLOOKUP(3152,季財報!$A:$H,8,0)</f>
        <v>5</v>
      </c>
      <c r="F1425" s="160">
        <v>3.6833333333333329E-2</v>
      </c>
      <c r="G1425" s="153">
        <v>15705255681.818182</v>
      </c>
      <c r="H1425" s="153">
        <v>1653745000</v>
      </c>
      <c r="I1425" s="151">
        <v>9.4967819596238723</v>
      </c>
      <c r="J1425" s="153">
        <v>18.421519886363637</v>
      </c>
    </row>
    <row r="1426" spans="1:10" hidden="1">
      <c r="A1426" s="64">
        <v>1419</v>
      </c>
      <c r="B1426" s="151">
        <v>0.6</v>
      </c>
      <c r="C1426" s="160">
        <v>0</v>
      </c>
      <c r="D1426" s="153">
        <v>298333333.33333337</v>
      </c>
      <c r="E1426" s="26">
        <f>VLOOKUP(1419,季財報!$A:$H,8,0)</f>
        <v>2</v>
      </c>
      <c r="F1426" s="160">
        <v>1.8908333333333333E-2</v>
      </c>
      <c r="G1426" s="153">
        <v>10740000000.000002</v>
      </c>
      <c r="H1426" s="153">
        <v>1128243000</v>
      </c>
      <c r="I1426" s="151">
        <v>9.5192259114392925</v>
      </c>
      <c r="J1426" s="153">
        <v>0</v>
      </c>
    </row>
    <row r="1427" spans="1:10" hidden="1">
      <c r="A1427" s="64">
        <v>3040</v>
      </c>
      <c r="B1427" s="151">
        <v>0.86</v>
      </c>
      <c r="C1427" s="160">
        <v>0</v>
      </c>
      <c r="D1427" s="153">
        <v>62790697.674418606</v>
      </c>
      <c r="E1427" s="26">
        <f>VLOOKUP(3040,季財報!$A:$H,8,0)</f>
        <v>2</v>
      </c>
      <c r="F1427" s="160">
        <v>1.1724999999999994E-2</v>
      </c>
      <c r="G1427" s="153">
        <v>2207093023.2558141</v>
      </c>
      <c r="H1427" s="153">
        <v>231843000</v>
      </c>
      <c r="I1427" s="151">
        <v>9.5197742578202238</v>
      </c>
      <c r="J1427" s="153">
        <v>0</v>
      </c>
    </row>
    <row r="1428" spans="1:10" hidden="1">
      <c r="A1428" s="64">
        <v>3083</v>
      </c>
      <c r="B1428" s="151">
        <v>-0.79</v>
      </c>
      <c r="C1428" s="160">
        <v>1</v>
      </c>
      <c r="D1428" s="153">
        <v>86075949.367088601</v>
      </c>
      <c r="E1428" s="26">
        <f>VLOOKUP(3083,季財報!$A:$H,8,0)</f>
        <v>2</v>
      </c>
      <c r="F1428" s="160">
        <v>7.1158333333333323E-2</v>
      </c>
      <c r="G1428" s="153">
        <v>3107341772.1518984</v>
      </c>
      <c r="H1428" s="153">
        <v>322889000</v>
      </c>
      <c r="I1428" s="151">
        <v>9.6235603323491929</v>
      </c>
      <c r="J1428" s="153">
        <v>0</v>
      </c>
    </row>
    <row r="1429" spans="1:10" hidden="1">
      <c r="A1429" s="64">
        <v>4171</v>
      </c>
      <c r="B1429" s="52">
        <v>0.17</v>
      </c>
      <c r="C1429" s="161">
        <v>1</v>
      </c>
      <c r="D1429" s="158">
        <v>35294117.647058822</v>
      </c>
      <c r="E1429" s="26">
        <f>VLOOKUP(4171,季財報!$A:$H,8,0)</f>
        <v>2</v>
      </c>
      <c r="F1429" s="161">
        <v>9.5966666666666658E-2</v>
      </c>
      <c r="G1429" s="54">
        <v>1401176470.5882354</v>
      </c>
      <c r="H1429" s="54">
        <v>145291000</v>
      </c>
      <c r="I1429" s="65">
        <v>9.6439316309216352</v>
      </c>
      <c r="J1429" s="163">
        <v>50</v>
      </c>
    </row>
    <row r="1430" spans="1:10" hidden="1">
      <c r="A1430" s="64">
        <v>2913</v>
      </c>
      <c r="B1430" s="151">
        <v>0.24</v>
      </c>
      <c r="C1430" s="160">
        <v>0.13589743589743589</v>
      </c>
      <c r="D1430" s="153">
        <v>795833333.33333337</v>
      </c>
      <c r="E1430" s="26">
        <f>VLOOKUP(2913,季財報!$A:$H,8,0)</f>
        <v>1</v>
      </c>
      <c r="F1430" s="160">
        <v>-5.4516666666666658E-2</v>
      </c>
      <c r="G1430" s="153">
        <v>10902916666.666666</v>
      </c>
      <c r="H1430" s="153">
        <v>1103563000</v>
      </c>
      <c r="I1430" s="151">
        <v>9.8797410448399106</v>
      </c>
      <c r="J1430" s="153">
        <v>50</v>
      </c>
    </row>
    <row r="1431" spans="1:10" hidden="1">
      <c r="A1431" s="64">
        <v>8341</v>
      </c>
      <c r="B1431" s="52">
        <v>1.2</v>
      </c>
      <c r="C1431" s="161">
        <v>1</v>
      </c>
      <c r="D1431" s="158">
        <v>111666666.66666667</v>
      </c>
      <c r="E1431" s="26">
        <f>VLOOKUP(8341,季財報!$A:$H,8,0)</f>
        <v>4</v>
      </c>
      <c r="F1431" s="161">
        <v>6.4583333333333326E-2</v>
      </c>
      <c r="G1431" s="54">
        <v>15633333333.333334</v>
      </c>
      <c r="H1431" s="54">
        <v>1578718000</v>
      </c>
      <c r="I1431" s="65">
        <v>9.9025496214861253</v>
      </c>
      <c r="J1431" s="163">
        <v>29.166666666666668</v>
      </c>
    </row>
    <row r="1432" spans="1:10" hidden="1">
      <c r="A1432" s="64">
        <v>1235</v>
      </c>
      <c r="B1432" s="151">
        <v>0.95</v>
      </c>
      <c r="C1432" s="160">
        <v>0</v>
      </c>
      <c r="D1432" s="153">
        <v>58947368.421052635</v>
      </c>
      <c r="E1432" s="26">
        <f>VLOOKUP(1235,季財報!$A:$H,8,0)</f>
        <v>3</v>
      </c>
      <c r="F1432" s="160">
        <v>1.7158333333333317E-2</v>
      </c>
      <c r="G1432" s="153">
        <v>1066947368.4210528</v>
      </c>
      <c r="H1432" s="153">
        <v>105220000</v>
      </c>
      <c r="I1432" s="151">
        <v>10</v>
      </c>
      <c r="J1432" s="153">
        <v>0</v>
      </c>
    </row>
    <row r="1433" spans="1:10" hidden="1">
      <c r="A1433" s="64">
        <v>1436</v>
      </c>
      <c r="B1433" s="151">
        <v>-0.2</v>
      </c>
      <c r="C1433" s="160">
        <v>0.69444444444444442</v>
      </c>
      <c r="D1433" s="153">
        <v>70000000</v>
      </c>
      <c r="E1433" s="26">
        <f>VLOOKUP(1436,季財報!$A:$H,8,0)</f>
        <v>2</v>
      </c>
      <c r="F1433" s="160">
        <v>6.6126750000000003</v>
      </c>
      <c r="G1433" s="153">
        <v>2877000000</v>
      </c>
      <c r="H1433" s="153">
        <v>254478000</v>
      </c>
      <c r="I1433" s="151">
        <v>10</v>
      </c>
      <c r="J1433" s="153">
        <v>0</v>
      </c>
    </row>
    <row r="1434" spans="1:10" hidden="1">
      <c r="A1434" s="64">
        <v>1438</v>
      </c>
      <c r="B1434" s="151">
        <v>0.04</v>
      </c>
      <c r="C1434" s="160">
        <v>1</v>
      </c>
      <c r="D1434" s="153">
        <v>100000000</v>
      </c>
      <c r="E1434" s="26">
        <f>VLOOKUP(1438,季財報!$A:$H,8,0)</f>
        <v>4</v>
      </c>
      <c r="F1434" s="160">
        <v>287.38974999999999</v>
      </c>
      <c r="G1434" s="153">
        <v>465000000.00000006</v>
      </c>
      <c r="H1434" s="153">
        <v>35281000</v>
      </c>
      <c r="I1434" s="151">
        <v>10</v>
      </c>
      <c r="J1434" s="153">
        <v>29.0625</v>
      </c>
    </row>
    <row r="1435" spans="1:10" hidden="1">
      <c r="A1435" s="64">
        <v>1529</v>
      </c>
      <c r="B1435" s="151">
        <v>-0.05</v>
      </c>
      <c r="C1435" s="160">
        <v>0.26190476190476192</v>
      </c>
      <c r="D1435" s="153">
        <v>300000000</v>
      </c>
      <c r="E1435" s="26">
        <f>VLOOKUP(1529,季財報!$A:$H,8,0)</f>
        <v>0</v>
      </c>
      <c r="F1435" s="160">
        <v>3.0213916666666667</v>
      </c>
      <c r="G1435" s="153">
        <v>1650000000</v>
      </c>
      <c r="H1435" s="153">
        <v>147818000</v>
      </c>
      <c r="I1435" s="151">
        <v>10</v>
      </c>
      <c r="J1435" s="153">
        <v>0</v>
      </c>
    </row>
    <row r="1436" spans="1:10" hidden="1">
      <c r="A1436" s="64">
        <v>1729</v>
      </c>
      <c r="B1436" s="151">
        <v>0.03</v>
      </c>
      <c r="C1436" s="160">
        <v>1</v>
      </c>
      <c r="D1436" s="153">
        <v>200000000</v>
      </c>
      <c r="E1436" s="26">
        <f>VLOOKUP(1729,季財報!$A:$H,8,0)</f>
        <v>4</v>
      </c>
      <c r="F1436" s="160">
        <v>1.843333333333334E-2</v>
      </c>
      <c r="G1436" s="153">
        <v>14800000000</v>
      </c>
      <c r="H1436" s="153">
        <v>1366578000</v>
      </c>
      <c r="I1436" s="151">
        <v>10</v>
      </c>
      <c r="J1436" s="153">
        <v>50</v>
      </c>
    </row>
    <row r="1437" spans="1:10" hidden="1">
      <c r="A1437" s="64">
        <v>1786</v>
      </c>
      <c r="B1437" s="151">
        <v>0.48</v>
      </c>
      <c r="C1437" s="160">
        <v>0.76666666666666672</v>
      </c>
      <c r="D1437" s="153">
        <v>52083333.333333336</v>
      </c>
      <c r="E1437" s="26">
        <f>VLOOKUP(1786,季財報!$A:$H,8,0)</f>
        <v>5</v>
      </c>
      <c r="F1437" s="160">
        <v>0.11119166666666665</v>
      </c>
      <c r="G1437" s="153">
        <v>3213541666.666667</v>
      </c>
      <c r="H1437" s="153">
        <v>239445000</v>
      </c>
      <c r="I1437" s="151">
        <v>10</v>
      </c>
      <c r="J1437" s="153">
        <v>41.915760869565219</v>
      </c>
    </row>
    <row r="1438" spans="1:10" hidden="1">
      <c r="A1438" s="64">
        <v>1789</v>
      </c>
      <c r="B1438" s="151">
        <v>0.27</v>
      </c>
      <c r="C1438" s="160">
        <v>0.71865443425076447</v>
      </c>
      <c r="D1438" s="153">
        <v>722222222.22222221</v>
      </c>
      <c r="E1438" s="26">
        <f>VLOOKUP(1789,季財報!$A:$H,8,0)</f>
        <v>3</v>
      </c>
      <c r="F1438" s="160">
        <v>1.5341666666666663E-2</v>
      </c>
      <c r="G1438" s="153">
        <v>39722222222.222221</v>
      </c>
      <c r="H1438" s="153">
        <v>3802968000</v>
      </c>
      <c r="I1438" s="151">
        <v>10</v>
      </c>
      <c r="J1438" s="153">
        <v>50</v>
      </c>
    </row>
    <row r="1439" spans="1:10" hidden="1">
      <c r="A1439" s="64">
        <v>1903</v>
      </c>
      <c r="B1439" s="151">
        <v>-0.01</v>
      </c>
      <c r="C1439" s="160">
        <v>1</v>
      </c>
      <c r="D1439" s="153">
        <v>400000000</v>
      </c>
      <c r="E1439" s="26">
        <f>VLOOKUP(1903,季財報!$A:$H,8,0)</f>
        <v>2</v>
      </c>
      <c r="F1439" s="160">
        <v>-0.15693333333333334</v>
      </c>
      <c r="G1439" s="153">
        <v>12080000000</v>
      </c>
      <c r="H1439" s="153">
        <v>338080000</v>
      </c>
      <c r="I1439" s="151">
        <v>10</v>
      </c>
      <c r="J1439" s="153">
        <v>0</v>
      </c>
    </row>
    <row r="1440" spans="1:10" hidden="1">
      <c r="A1440" s="64">
        <v>2231</v>
      </c>
      <c r="B1440" s="151">
        <v>4.63</v>
      </c>
      <c r="C1440" s="160">
        <v>0.88907849829351537</v>
      </c>
      <c r="D1440" s="153">
        <v>72570194.384449244</v>
      </c>
      <c r="E1440" s="26">
        <f>VLOOKUP(2231,季財報!$A:$H,8,0)</f>
        <v>4</v>
      </c>
      <c r="F1440" s="160">
        <v>9.0833333333333272E-4</v>
      </c>
      <c r="G1440" s="153">
        <v>28229805615.550755</v>
      </c>
      <c r="H1440" s="153">
        <v>2736405000</v>
      </c>
      <c r="I1440" s="151">
        <v>10</v>
      </c>
      <c r="J1440" s="153">
        <v>23.62482018712975</v>
      </c>
    </row>
    <row r="1441" spans="1:10" hidden="1">
      <c r="A1441" s="64">
        <v>2363</v>
      </c>
      <c r="B1441" s="151">
        <v>0.17</v>
      </c>
      <c r="C1441" s="160">
        <v>0</v>
      </c>
      <c r="D1441" s="153">
        <v>600000000</v>
      </c>
      <c r="E1441" s="26">
        <f>VLOOKUP(2363,季財報!$A:$H,8,0)</f>
        <v>2</v>
      </c>
      <c r="F1441" s="160">
        <v>5.688333333333332E-2</v>
      </c>
      <c r="G1441" s="153">
        <v>3990000000</v>
      </c>
      <c r="H1441" s="153">
        <v>240664000</v>
      </c>
      <c r="I1441" s="151">
        <v>10</v>
      </c>
      <c r="J1441" s="153">
        <v>0</v>
      </c>
    </row>
    <row r="1442" spans="1:10" hidden="1">
      <c r="A1442" s="64">
        <v>2424</v>
      </c>
      <c r="B1442" s="151">
        <v>0.49</v>
      </c>
      <c r="C1442" s="160">
        <v>0</v>
      </c>
      <c r="D1442" s="153">
        <v>30612244.897959184</v>
      </c>
      <c r="E1442" s="26">
        <f>VLOOKUP(2424,季財報!$A:$H,8,0)</f>
        <v>0</v>
      </c>
      <c r="F1442" s="160">
        <v>9.3618666666666659</v>
      </c>
      <c r="G1442" s="153">
        <v>948979591.83673465</v>
      </c>
      <c r="H1442" s="153">
        <v>4601000</v>
      </c>
      <c r="I1442" s="151">
        <v>10</v>
      </c>
      <c r="J1442" s="153">
        <v>0</v>
      </c>
    </row>
    <row r="1443" spans="1:10" hidden="1">
      <c r="A1443" s="64">
        <v>2701</v>
      </c>
      <c r="B1443" s="151">
        <v>0.3</v>
      </c>
      <c r="C1443" s="160">
        <v>0.1981981981981982</v>
      </c>
      <c r="D1443" s="153">
        <v>393333333.33333337</v>
      </c>
      <c r="E1443" s="26">
        <f>VLOOKUP(2701,季財報!$A:$H,8,0)</f>
        <v>6</v>
      </c>
      <c r="F1443" s="160">
        <v>9.3500000000000041E-3</v>
      </c>
      <c r="G1443" s="153">
        <v>5624666666.6666679</v>
      </c>
      <c r="H1443" s="153">
        <v>398251000</v>
      </c>
      <c r="I1443" s="151">
        <v>10</v>
      </c>
      <c r="J1443" s="153">
        <v>50</v>
      </c>
    </row>
    <row r="1444" spans="1:10" hidden="1">
      <c r="A1444" s="64">
        <v>2706</v>
      </c>
      <c r="B1444" s="156">
        <v>0.38</v>
      </c>
      <c r="C1444" s="160">
        <v>0.19078947368421054</v>
      </c>
      <c r="D1444" s="157">
        <v>415789473.68421054</v>
      </c>
      <c r="E1444" s="26">
        <f>VLOOKUP(2706,季財報!$A:$H,8,0)</f>
        <v>4</v>
      </c>
      <c r="F1444" s="160">
        <v>-6.5000000000000014E-3</v>
      </c>
      <c r="G1444" s="157">
        <v>8003947368.4210529</v>
      </c>
      <c r="H1444" s="157">
        <v>365926000</v>
      </c>
      <c r="I1444" s="156">
        <v>10</v>
      </c>
      <c r="J1444" s="157">
        <v>50</v>
      </c>
    </row>
    <row r="1445" spans="1:10" hidden="1">
      <c r="A1445" s="64">
        <v>2841</v>
      </c>
      <c r="B1445" s="151">
        <v>0.28000000000000003</v>
      </c>
      <c r="C1445" s="160">
        <v>0</v>
      </c>
      <c r="D1445" s="153">
        <v>703571428.57142854</v>
      </c>
      <c r="E1445" s="26">
        <f>VLOOKUP(2841,季財報!$A:$H,8,0)</f>
        <v>1</v>
      </c>
      <c r="F1445" s="160">
        <v>0.93849166666666672</v>
      </c>
      <c r="G1445" s="153">
        <v>7352321428.5714273</v>
      </c>
      <c r="H1445" s="153">
        <v>704118000</v>
      </c>
      <c r="I1445" s="151">
        <v>10</v>
      </c>
      <c r="J1445" s="153">
        <v>0</v>
      </c>
    </row>
    <row r="1446" spans="1:10" hidden="1">
      <c r="A1446" s="64">
        <v>2901</v>
      </c>
      <c r="B1446" s="151">
        <v>0.28999999999999998</v>
      </c>
      <c r="C1446" s="160">
        <v>0.8571428571428571</v>
      </c>
      <c r="D1446" s="153">
        <v>72413793.103448287</v>
      </c>
      <c r="E1446" s="26">
        <f>VLOOKUP(2901,季財報!$A:$H,8,0)</f>
        <v>3</v>
      </c>
      <c r="F1446" s="160">
        <v>7.7658333333333315E-2</v>
      </c>
      <c r="G1446" s="153">
        <v>1918965517.2413795</v>
      </c>
      <c r="H1446" s="153">
        <v>156437000</v>
      </c>
      <c r="I1446" s="151">
        <v>10</v>
      </c>
      <c r="J1446" s="153">
        <v>26.652298850574713</v>
      </c>
    </row>
    <row r="1447" spans="1:10" hidden="1">
      <c r="A1447" s="64">
        <v>3064</v>
      </c>
      <c r="B1447" s="151">
        <v>-0.57999999999999996</v>
      </c>
      <c r="C1447" s="160">
        <v>1</v>
      </c>
      <c r="D1447" s="153">
        <v>72413793.103448287</v>
      </c>
      <c r="E1447" s="26">
        <f>VLOOKUP(3064,季財報!$A:$H,8,0)</f>
        <v>2</v>
      </c>
      <c r="F1447" s="160">
        <v>0.46455000000000002</v>
      </c>
      <c r="G1447" s="153">
        <v>1520689655.1724141</v>
      </c>
      <c r="H1447" s="153">
        <v>149468000</v>
      </c>
      <c r="I1447" s="151">
        <v>10</v>
      </c>
      <c r="J1447" s="153">
        <v>0</v>
      </c>
    </row>
    <row r="1448" spans="1:10" hidden="1">
      <c r="A1448" s="64">
        <v>3081</v>
      </c>
      <c r="B1448" s="151">
        <v>4.0599999999999996</v>
      </c>
      <c r="C1448" s="160">
        <v>0.96370967741935487</v>
      </c>
      <c r="D1448" s="153">
        <v>68719211.822660103</v>
      </c>
      <c r="E1448" s="26">
        <f>VLOOKUP(3081,季財報!$A:$H,8,0)</f>
        <v>1</v>
      </c>
      <c r="F1448" s="160">
        <v>5.595E-2</v>
      </c>
      <c r="G1448" s="153">
        <v>28793349753.694584</v>
      </c>
      <c r="H1448" s="153">
        <v>1862037000</v>
      </c>
      <c r="I1448" s="151">
        <v>10</v>
      </c>
      <c r="J1448" s="153">
        <v>26.772059278191151</v>
      </c>
    </row>
    <row r="1449" spans="1:10" hidden="1">
      <c r="A1449" s="64">
        <v>3176</v>
      </c>
      <c r="B1449" s="151">
        <v>-0.91</v>
      </c>
      <c r="C1449" s="160">
        <v>1</v>
      </c>
      <c r="D1449" s="153">
        <v>139560439.56043956</v>
      </c>
      <c r="E1449" s="26">
        <f>VLOOKUP(3176,季財報!$A:$H,8,0)</f>
        <v>2</v>
      </c>
      <c r="F1449" s="160">
        <v>-1.4391666666666669E-2</v>
      </c>
      <c r="G1449" s="153">
        <v>12281318681.318682</v>
      </c>
      <c r="H1449" s="153">
        <v>360110000</v>
      </c>
      <c r="I1449" s="151">
        <v>10</v>
      </c>
      <c r="J1449" s="153">
        <v>0</v>
      </c>
    </row>
    <row r="1450" spans="1:10" hidden="1">
      <c r="A1450" s="64">
        <v>3529</v>
      </c>
      <c r="B1450" s="151">
        <v>1.4</v>
      </c>
      <c r="C1450" s="160">
        <v>0.90677966101694918</v>
      </c>
      <c r="D1450" s="153">
        <v>75714285.714285716</v>
      </c>
      <c r="E1450" s="26">
        <f>VLOOKUP(3529,季財報!$A:$H,8,0)</f>
        <v>2</v>
      </c>
      <c r="F1450" s="160">
        <v>2.386141666666667</v>
      </c>
      <c r="G1450" s="153">
        <v>24796428571.428574</v>
      </c>
      <c r="H1450" s="153">
        <v>1076912000</v>
      </c>
      <c r="I1450" s="151">
        <v>10</v>
      </c>
      <c r="J1450" s="153">
        <v>50</v>
      </c>
    </row>
    <row r="1451" spans="1:10" hidden="1">
      <c r="A1451" s="64">
        <v>3658</v>
      </c>
      <c r="B1451" s="151">
        <v>6.64</v>
      </c>
      <c r="C1451" s="160">
        <v>0.76704055220017253</v>
      </c>
      <c r="D1451" s="153">
        <v>70933734.939759046</v>
      </c>
      <c r="E1451" s="26">
        <f>VLOOKUP(3658,季財報!$A:$H,8,0)</f>
        <v>2</v>
      </c>
      <c r="F1451" s="160">
        <v>2.4813499999999999</v>
      </c>
      <c r="G1451" s="153">
        <v>93632530120.481934</v>
      </c>
      <c r="H1451" s="153">
        <v>7506148000</v>
      </c>
      <c r="I1451" s="151">
        <v>10</v>
      </c>
      <c r="J1451" s="153">
        <v>50</v>
      </c>
    </row>
    <row r="1452" spans="1:10" hidden="1">
      <c r="A1452" s="64">
        <v>4108</v>
      </c>
      <c r="B1452" s="52">
        <v>-0.22</v>
      </c>
      <c r="C1452" s="161">
        <v>1</v>
      </c>
      <c r="D1452" s="158">
        <v>163636363.63636363</v>
      </c>
      <c r="E1452" s="26">
        <f>VLOOKUP(4108,季財報!$A:$H,8,0)</f>
        <v>4</v>
      </c>
      <c r="F1452" s="161">
        <v>0.13990833333333333</v>
      </c>
      <c r="G1452" s="54">
        <v>5015454545.454545</v>
      </c>
      <c r="H1452" s="54">
        <v>22962000</v>
      </c>
      <c r="I1452" s="65">
        <v>10</v>
      </c>
      <c r="J1452" s="163">
        <v>0</v>
      </c>
    </row>
    <row r="1453" spans="1:10" hidden="1">
      <c r="A1453" s="64">
        <v>4130</v>
      </c>
      <c r="B1453" s="52">
        <v>0.16</v>
      </c>
      <c r="C1453" s="161">
        <v>1</v>
      </c>
      <c r="D1453" s="158">
        <v>100000000</v>
      </c>
      <c r="E1453" s="26">
        <f>VLOOKUP(4130,季財報!$A:$H,8,0)</f>
        <v>3</v>
      </c>
      <c r="F1453" s="161">
        <v>3.0041666666666675E-2</v>
      </c>
      <c r="G1453" s="54">
        <v>4680000000</v>
      </c>
      <c r="H1453" s="54">
        <v>458523000</v>
      </c>
      <c r="I1453" s="65">
        <v>10</v>
      </c>
      <c r="J1453" s="163">
        <v>50</v>
      </c>
    </row>
    <row r="1454" spans="1:10" hidden="1">
      <c r="A1454" s="64">
        <v>4131</v>
      </c>
      <c r="B1454" s="52">
        <v>-0.12</v>
      </c>
      <c r="C1454" s="161">
        <v>1</v>
      </c>
      <c r="D1454" s="158">
        <v>33333333.333333336</v>
      </c>
      <c r="E1454" s="26">
        <f>VLOOKUP(4131,季財報!$A:$H,8,0)</f>
        <v>2</v>
      </c>
      <c r="F1454" s="161">
        <v>0.99417499999999992</v>
      </c>
      <c r="G1454" s="54">
        <v>370000000</v>
      </c>
      <c r="H1454" s="54">
        <v>27230000</v>
      </c>
      <c r="I1454" s="65">
        <v>10</v>
      </c>
      <c r="J1454" s="163">
        <v>0</v>
      </c>
    </row>
    <row r="1455" spans="1:10" hidden="1">
      <c r="A1455" s="64">
        <v>4142</v>
      </c>
      <c r="B1455" s="52">
        <v>-0.81</v>
      </c>
      <c r="C1455" s="161">
        <v>1</v>
      </c>
      <c r="D1455" s="158">
        <v>235802469.13580245</v>
      </c>
      <c r="E1455" s="26">
        <f>VLOOKUP(4142,季財報!$A:$H,8,0)</f>
        <v>2</v>
      </c>
      <c r="F1455" s="161">
        <v>2.1022916666666669</v>
      </c>
      <c r="G1455" s="54">
        <v>6248765432.0987644</v>
      </c>
      <c r="H1455" s="54">
        <v>302423000</v>
      </c>
      <c r="I1455" s="65">
        <v>10</v>
      </c>
      <c r="J1455" s="163">
        <v>0</v>
      </c>
    </row>
    <row r="1456" spans="1:10" hidden="1">
      <c r="A1456" s="64">
        <v>4152</v>
      </c>
      <c r="B1456" s="52">
        <v>-3.37</v>
      </c>
      <c r="C1456" s="161">
        <v>1</v>
      </c>
      <c r="D1456" s="158">
        <v>55192878.338278927</v>
      </c>
      <c r="E1456" s="26">
        <f>VLOOKUP(4152,季財報!$A:$H,8,0)</f>
        <v>1</v>
      </c>
      <c r="F1456" s="161">
        <v>0.36854999999999999</v>
      </c>
      <c r="G1456" s="54">
        <v>8830860534.1246281</v>
      </c>
      <c r="H1456" s="54">
        <v>58709000</v>
      </c>
      <c r="I1456" s="65">
        <v>10</v>
      </c>
      <c r="J1456" s="163">
        <v>0</v>
      </c>
    </row>
    <row r="1457" spans="1:10" hidden="1">
      <c r="A1457" s="64">
        <v>4157</v>
      </c>
      <c r="B1457" s="52">
        <v>-0.15</v>
      </c>
      <c r="C1457" s="161">
        <v>1</v>
      </c>
      <c r="D1457" s="158">
        <v>673333333.33333337</v>
      </c>
      <c r="E1457" s="26">
        <f>VLOOKUP(4157,季財報!$A:$H,8,0)</f>
        <v>3</v>
      </c>
      <c r="F1457" s="161">
        <v>1.5858333333333332E-2</v>
      </c>
      <c r="G1457" s="54">
        <v>20368333333.333336</v>
      </c>
      <c r="H1457" s="54">
        <v>78668000</v>
      </c>
      <c r="I1457" s="65">
        <v>10</v>
      </c>
      <c r="J1457" s="163">
        <v>0</v>
      </c>
    </row>
    <row r="1458" spans="1:10" hidden="1">
      <c r="A1458" s="64">
        <v>4162</v>
      </c>
      <c r="B1458" s="52">
        <v>0.34</v>
      </c>
      <c r="C1458" s="161">
        <v>0.85152838427947597</v>
      </c>
      <c r="D1458" s="158">
        <v>102941176.47058822</v>
      </c>
      <c r="E1458" s="26">
        <f>VLOOKUP(4162,季財報!$A:$H,8,0)</f>
        <v>4</v>
      </c>
      <c r="F1458" s="161">
        <v>54.333583333333337</v>
      </c>
      <c r="G1458" s="54">
        <v>24499999999.999996</v>
      </c>
      <c r="H1458" s="54">
        <v>508489000</v>
      </c>
      <c r="I1458" s="65">
        <v>10</v>
      </c>
      <c r="J1458" s="163">
        <v>50</v>
      </c>
    </row>
    <row r="1459" spans="1:10" hidden="1">
      <c r="A1459" s="64">
        <v>4168</v>
      </c>
      <c r="B1459" s="52">
        <v>-0.27</v>
      </c>
      <c r="C1459" s="161">
        <v>1</v>
      </c>
      <c r="D1459" s="158">
        <v>74074074.074074075</v>
      </c>
      <c r="E1459" s="26">
        <f>VLOOKUP(4168,季財報!$A:$H,8,0)</f>
        <v>1</v>
      </c>
      <c r="F1459" s="161">
        <v>6.822824999999999</v>
      </c>
      <c r="G1459" s="54">
        <v>3851851851.8518519</v>
      </c>
      <c r="H1459" s="54">
        <v>14896000</v>
      </c>
      <c r="I1459" s="65">
        <v>10</v>
      </c>
      <c r="J1459" s="163">
        <v>0</v>
      </c>
    </row>
    <row r="1460" spans="1:10" hidden="1">
      <c r="A1460" s="64">
        <v>4180</v>
      </c>
      <c r="B1460" s="52">
        <v>-0.64</v>
      </c>
      <c r="C1460" s="161">
        <v>0</v>
      </c>
      <c r="D1460" s="158">
        <v>112500000</v>
      </c>
      <c r="E1460" s="26">
        <f>VLOOKUP(4180,季財報!$A:$H,8,0)</f>
        <v>2</v>
      </c>
      <c r="F1460" s="161">
        <v>0.27499999999999997</v>
      </c>
      <c r="G1460" s="54">
        <v>18843750000</v>
      </c>
      <c r="H1460" s="54">
        <v>430052000</v>
      </c>
      <c r="I1460" s="65">
        <v>10</v>
      </c>
      <c r="J1460" s="163">
        <v>0</v>
      </c>
    </row>
    <row r="1461" spans="1:10" hidden="1">
      <c r="A1461" s="64">
        <v>4188</v>
      </c>
      <c r="B1461" s="52">
        <v>-0.35</v>
      </c>
      <c r="C1461" s="161">
        <v>1</v>
      </c>
      <c r="D1461" s="158">
        <v>40000000</v>
      </c>
      <c r="E1461" s="26">
        <f>VLOOKUP(4188,季財報!$A:$H,8,0)</f>
        <v>2</v>
      </c>
      <c r="F1461" s="161">
        <v>0</v>
      </c>
      <c r="G1461" s="54">
        <v>1328000000</v>
      </c>
      <c r="H1461" s="54">
        <v>31000</v>
      </c>
      <c r="I1461" s="65">
        <v>10</v>
      </c>
      <c r="J1461" s="163">
        <v>0</v>
      </c>
    </row>
    <row r="1462" spans="1:10" hidden="1">
      <c r="A1462" s="64">
        <v>4190</v>
      </c>
      <c r="B1462" s="52">
        <v>1.72</v>
      </c>
      <c r="C1462" s="161">
        <v>0.90374331550802134</v>
      </c>
      <c r="D1462" s="158">
        <v>51744186.046511628</v>
      </c>
      <c r="E1462" s="26">
        <f>VLOOKUP(4190,季財報!$A:$H,8,0)</f>
        <v>2</v>
      </c>
      <c r="F1462" s="161">
        <v>-8.5258333333333325E-2</v>
      </c>
      <c r="G1462" s="54">
        <v>8848255813.9534874</v>
      </c>
      <c r="H1462" s="54">
        <v>327167000</v>
      </c>
      <c r="I1462" s="65">
        <v>10</v>
      </c>
      <c r="J1462" s="163">
        <v>27.501892115040597</v>
      </c>
    </row>
    <row r="1463" spans="1:10" hidden="1">
      <c r="A1463" s="64">
        <v>4192</v>
      </c>
      <c r="B1463" s="52">
        <v>-1.22</v>
      </c>
      <c r="C1463" s="161">
        <v>0.97560975609756095</v>
      </c>
      <c r="D1463" s="158">
        <v>58196721.311475411</v>
      </c>
      <c r="E1463" s="26">
        <f>VLOOKUP(4192,季財報!$A:$H,8,0)</f>
        <v>2</v>
      </c>
      <c r="F1463" s="161">
        <v>1.5619833333333333</v>
      </c>
      <c r="G1463" s="54">
        <v>2773073770.4918032</v>
      </c>
      <c r="H1463" s="54">
        <v>15117000</v>
      </c>
      <c r="I1463" s="65">
        <v>10</v>
      </c>
      <c r="J1463" s="163">
        <v>0</v>
      </c>
    </row>
    <row r="1464" spans="1:10" hidden="1">
      <c r="A1464" s="64">
        <v>4529</v>
      </c>
      <c r="B1464" s="52">
        <v>-0.39</v>
      </c>
      <c r="C1464" s="161">
        <v>1</v>
      </c>
      <c r="D1464" s="158">
        <v>76923076.923076928</v>
      </c>
      <c r="E1464" s="26">
        <f>VLOOKUP(4529,季財報!$A:$H,8,0)</f>
        <v>4</v>
      </c>
      <c r="F1464" s="161">
        <v>9.995833333333333E-2</v>
      </c>
      <c r="G1464" s="54">
        <v>4276923076.9230771</v>
      </c>
      <c r="H1464" s="54">
        <v>6558000</v>
      </c>
      <c r="I1464" s="65">
        <v>10</v>
      </c>
      <c r="J1464" s="163">
        <v>0</v>
      </c>
    </row>
    <row r="1465" spans="1:10" hidden="1">
      <c r="A1465" s="64">
        <v>4726</v>
      </c>
      <c r="B1465" s="52">
        <v>-0.04</v>
      </c>
      <c r="C1465" s="161">
        <v>1</v>
      </c>
      <c r="D1465" s="158">
        <v>100000000</v>
      </c>
      <c r="E1465" s="26">
        <f>VLOOKUP(4726,季財報!$A:$H,8,0)</f>
        <v>3</v>
      </c>
      <c r="F1465" s="161">
        <v>0.97666666666666657</v>
      </c>
      <c r="G1465" s="54">
        <v>5710000000</v>
      </c>
      <c r="H1465" s="54">
        <v>136410000</v>
      </c>
      <c r="I1465" s="65">
        <v>10</v>
      </c>
      <c r="J1465" s="163">
        <v>0</v>
      </c>
    </row>
    <row r="1466" spans="1:10" hidden="1">
      <c r="A1466" s="64">
        <v>4728</v>
      </c>
      <c r="B1466" s="52">
        <v>-0.17</v>
      </c>
      <c r="C1466" s="161">
        <v>1</v>
      </c>
      <c r="D1466" s="158">
        <v>52941176.47058823</v>
      </c>
      <c r="E1466" s="26">
        <f>VLOOKUP(4728,季財報!$A:$H,8,0)</f>
        <v>4</v>
      </c>
      <c r="F1466" s="161">
        <v>2.7474999999999996E-2</v>
      </c>
      <c r="G1466" s="54">
        <v>1548529411.7647057</v>
      </c>
      <c r="H1466" s="54">
        <v>140087000</v>
      </c>
      <c r="I1466" s="65">
        <v>10</v>
      </c>
      <c r="J1466" s="163">
        <v>0</v>
      </c>
    </row>
    <row r="1467" spans="1:10" hidden="1">
      <c r="A1467" s="64">
        <v>4743</v>
      </c>
      <c r="B1467" s="52">
        <v>-0.1</v>
      </c>
      <c r="C1467" s="161">
        <v>1</v>
      </c>
      <c r="D1467" s="158">
        <v>190000000</v>
      </c>
      <c r="E1467" s="26">
        <f>VLOOKUP(4743,季財報!$A:$H,8,0)</f>
        <v>1</v>
      </c>
      <c r="F1467" s="161">
        <v>1.119375</v>
      </c>
      <c r="G1467" s="54">
        <v>7077500000</v>
      </c>
      <c r="H1467" s="54">
        <v>8387000</v>
      </c>
      <c r="I1467" s="65">
        <v>10</v>
      </c>
      <c r="J1467" s="163">
        <v>0</v>
      </c>
    </row>
    <row r="1468" spans="1:10" hidden="1">
      <c r="A1468" s="64">
        <v>4905</v>
      </c>
      <c r="B1468" s="52">
        <v>1.01</v>
      </c>
      <c r="C1468" s="161">
        <v>0</v>
      </c>
      <c r="D1468" s="158">
        <v>51485148.514851488</v>
      </c>
      <c r="E1468" s="26">
        <f>VLOOKUP(4905,季財報!$A:$H,8,0)</f>
        <v>4</v>
      </c>
      <c r="F1468" s="161">
        <v>0.23834999999999998</v>
      </c>
      <c r="G1468" s="54">
        <v>2100594059.4059405</v>
      </c>
      <c r="H1468" s="54">
        <v>144211000</v>
      </c>
      <c r="I1468" s="65">
        <v>10</v>
      </c>
      <c r="J1468" s="163">
        <v>0</v>
      </c>
    </row>
    <row r="1469" spans="1:10" hidden="1">
      <c r="A1469" s="64">
        <v>4911</v>
      </c>
      <c r="B1469" s="52">
        <v>-0.04</v>
      </c>
      <c r="C1469" s="161">
        <v>1</v>
      </c>
      <c r="D1469" s="158">
        <v>50000000</v>
      </c>
      <c r="E1469" s="26">
        <f>VLOOKUP(4911,季財報!$A:$H,8,0)</f>
        <v>1</v>
      </c>
      <c r="F1469" s="161">
        <v>0.14624166666666666</v>
      </c>
      <c r="G1469" s="54">
        <v>4260000000</v>
      </c>
      <c r="H1469" s="54">
        <v>47788000</v>
      </c>
      <c r="I1469" s="65">
        <v>10</v>
      </c>
      <c r="J1469" s="163">
        <v>0</v>
      </c>
    </row>
    <row r="1470" spans="1:10" hidden="1">
      <c r="A1470" s="64">
        <v>5263</v>
      </c>
      <c r="B1470" s="52">
        <v>1.51</v>
      </c>
      <c r="C1470" s="161">
        <v>0.67619047619047623</v>
      </c>
      <c r="D1470" s="158">
        <v>43708609.271523178</v>
      </c>
      <c r="E1470" s="26">
        <f>VLOOKUP(5263,季財報!$A:$H,8,0)</f>
        <v>3</v>
      </c>
      <c r="F1470" s="161">
        <v>8.6616666666666661E-2</v>
      </c>
      <c r="G1470" s="54">
        <v>11670198675.496689</v>
      </c>
      <c r="H1470" s="54">
        <v>643584000</v>
      </c>
      <c r="I1470" s="65">
        <v>10</v>
      </c>
      <c r="J1470" s="163">
        <v>50</v>
      </c>
    </row>
    <row r="1471" spans="1:10" hidden="1">
      <c r="A1471" s="64">
        <v>5274</v>
      </c>
      <c r="B1471" s="52">
        <v>3.71</v>
      </c>
      <c r="C1471" s="161">
        <v>0.8651685393258427</v>
      </c>
      <c r="D1471" s="158">
        <v>31536388.140161727</v>
      </c>
      <c r="E1471" s="26">
        <f>VLOOKUP(5274,季財報!$A:$H,8,0)</f>
        <v>6</v>
      </c>
      <c r="F1471" s="161">
        <v>2.8999999999999998E-2</v>
      </c>
      <c r="G1471" s="54">
        <v>11731536388.140162</v>
      </c>
      <c r="H1471" s="54">
        <v>986523000</v>
      </c>
      <c r="I1471" s="65">
        <v>10</v>
      </c>
      <c r="J1471" s="163">
        <v>28.973990968600134</v>
      </c>
    </row>
    <row r="1472" spans="1:10" hidden="1">
      <c r="A1472" s="64">
        <v>5455</v>
      </c>
      <c r="B1472" s="52">
        <v>-0.32</v>
      </c>
      <c r="C1472" s="161">
        <v>1</v>
      </c>
      <c r="D1472" s="158">
        <v>34375000</v>
      </c>
      <c r="E1472" s="26">
        <f>VLOOKUP(5455,季財報!$A:$H,8,0)</f>
        <v>0</v>
      </c>
      <c r="F1472" s="161">
        <v>0.14751666666666666</v>
      </c>
      <c r="G1472" s="54">
        <v>213125000</v>
      </c>
      <c r="H1472" s="54">
        <v>19416000</v>
      </c>
      <c r="I1472" s="65">
        <v>10</v>
      </c>
      <c r="J1472" s="163">
        <v>0</v>
      </c>
    </row>
    <row r="1473" spans="1:10" hidden="1">
      <c r="A1473" s="64">
        <v>5481</v>
      </c>
      <c r="B1473" s="52">
        <v>-0.26</v>
      </c>
      <c r="C1473" s="161">
        <v>0.69620253164556967</v>
      </c>
      <c r="D1473" s="158">
        <v>100000000</v>
      </c>
      <c r="E1473" s="26">
        <f>VLOOKUP(5481,季財報!$A:$H,8,0)</f>
        <v>1</v>
      </c>
      <c r="F1473" s="161">
        <v>-0.23810000000000001</v>
      </c>
      <c r="G1473" s="54">
        <v>1545000000</v>
      </c>
      <c r="H1473" s="54">
        <v>104821000</v>
      </c>
      <c r="I1473" s="65">
        <v>10</v>
      </c>
      <c r="J1473" s="163">
        <v>0</v>
      </c>
    </row>
    <row r="1474" spans="1:10" hidden="1">
      <c r="A1474" s="64">
        <v>5514</v>
      </c>
      <c r="B1474" s="52">
        <v>-0.21</v>
      </c>
      <c r="C1474" s="161">
        <v>0.32692307692307693</v>
      </c>
      <c r="D1474" s="158">
        <v>166666666.66666669</v>
      </c>
      <c r="E1474" s="26">
        <f>VLOOKUP(5514,季財報!$A:$H,8,0)</f>
        <v>1</v>
      </c>
      <c r="F1474" s="161">
        <v>-3.2850000000000004E-2</v>
      </c>
      <c r="G1474" s="54">
        <v>1900000000.0000002</v>
      </c>
      <c r="H1474" s="54">
        <v>95067000</v>
      </c>
      <c r="I1474" s="65">
        <v>10</v>
      </c>
      <c r="J1474" s="163">
        <v>0</v>
      </c>
    </row>
    <row r="1475" spans="1:10" hidden="1">
      <c r="A1475" s="64">
        <v>5529</v>
      </c>
      <c r="B1475" s="52">
        <v>-0.24</v>
      </c>
      <c r="C1475" s="161">
        <v>0.86046511627906974</v>
      </c>
      <c r="D1475" s="158">
        <v>104166666.66666667</v>
      </c>
      <c r="E1475" s="26">
        <f>VLOOKUP(5529,季財報!$A:$H,8,0)</f>
        <v>0</v>
      </c>
      <c r="F1475" s="161">
        <v>15.892125</v>
      </c>
      <c r="G1475" s="54">
        <v>883333333.33333337</v>
      </c>
      <c r="H1475" s="54">
        <v>57319000</v>
      </c>
      <c r="I1475" s="65">
        <v>10</v>
      </c>
      <c r="J1475" s="163">
        <v>0</v>
      </c>
    </row>
    <row r="1476" spans="1:10" hidden="1">
      <c r="A1476" s="64">
        <v>5601</v>
      </c>
      <c r="B1476" s="52">
        <v>0.09</v>
      </c>
      <c r="C1476" s="161">
        <v>1</v>
      </c>
      <c r="D1476" s="158">
        <v>66666666.666666672</v>
      </c>
      <c r="E1476" s="26">
        <f>VLOOKUP(5601,季財報!$A:$H,8,0)</f>
        <v>4</v>
      </c>
      <c r="F1476" s="161">
        <v>4.1916666666666665E-3</v>
      </c>
      <c r="G1476" s="54">
        <v>1760000000</v>
      </c>
      <c r="H1476" s="54">
        <v>75425000</v>
      </c>
      <c r="I1476" s="65">
        <v>10</v>
      </c>
      <c r="J1476" s="163">
        <v>50</v>
      </c>
    </row>
    <row r="1477" spans="1:10" hidden="1">
      <c r="A1477" s="64">
        <v>6171</v>
      </c>
      <c r="B1477" s="52">
        <v>-7.0000000000000007E-2</v>
      </c>
      <c r="C1477" s="161">
        <v>1</v>
      </c>
      <c r="D1477" s="158">
        <v>85714285.714285702</v>
      </c>
      <c r="E1477" s="26">
        <f>VLOOKUP(6171,季財報!$A:$H,8,0)</f>
        <v>4</v>
      </c>
      <c r="F1477" s="161">
        <v>476.767875</v>
      </c>
      <c r="G1477" s="54">
        <v>1097142857.1428571</v>
      </c>
      <c r="H1477" s="54">
        <v>80279000</v>
      </c>
      <c r="I1477" s="65">
        <v>10</v>
      </c>
      <c r="J1477" s="163">
        <v>0</v>
      </c>
    </row>
    <row r="1478" spans="1:10" hidden="1">
      <c r="A1478" s="64">
        <v>6264</v>
      </c>
      <c r="B1478" s="52">
        <v>-0.23</v>
      </c>
      <c r="C1478" s="161">
        <v>0.83050847457627119</v>
      </c>
      <c r="D1478" s="158">
        <v>139130434.78260869</v>
      </c>
      <c r="E1478" s="26">
        <f>VLOOKUP(6264,季財報!$A:$H,8,0)</f>
        <v>1</v>
      </c>
      <c r="F1478" s="161">
        <v>0.18629166666666666</v>
      </c>
      <c r="G1478" s="54">
        <v>848695652.173913</v>
      </c>
      <c r="H1478" s="54">
        <v>27778000</v>
      </c>
      <c r="I1478" s="65">
        <v>10</v>
      </c>
      <c r="J1478" s="163">
        <v>0</v>
      </c>
    </row>
    <row r="1479" spans="1:10" hidden="1">
      <c r="A1479" s="64">
        <v>8038</v>
      </c>
      <c r="B1479" s="52">
        <v>-0.02</v>
      </c>
      <c r="C1479" s="161">
        <v>1</v>
      </c>
      <c r="D1479" s="158">
        <v>50000000</v>
      </c>
      <c r="E1479" s="26">
        <f>VLOOKUP(8038,季財報!$A:$H,8,0)</f>
        <v>1</v>
      </c>
      <c r="F1479" s="161">
        <v>0.19062500000000004</v>
      </c>
      <c r="G1479" s="54">
        <v>2000000000</v>
      </c>
      <c r="H1479" s="54">
        <v>62451000</v>
      </c>
      <c r="I1479" s="65">
        <v>10</v>
      </c>
      <c r="J1479" s="163">
        <v>0</v>
      </c>
    </row>
    <row r="1480" spans="1:10" hidden="1">
      <c r="A1480" s="64">
        <v>8082</v>
      </c>
      <c r="B1480" s="52">
        <v>-0.03</v>
      </c>
      <c r="C1480" s="161">
        <v>0.36</v>
      </c>
      <c r="D1480" s="158">
        <v>100000000</v>
      </c>
      <c r="E1480" s="26">
        <f>VLOOKUP(8082,季財報!$A:$H,8,0)</f>
        <v>1</v>
      </c>
      <c r="F1480" s="161">
        <v>5.445833333333331E-2</v>
      </c>
      <c r="G1480" s="54">
        <v>238000000</v>
      </c>
      <c r="H1480" s="54">
        <v>4853000</v>
      </c>
      <c r="I1480" s="65">
        <v>10</v>
      </c>
      <c r="J1480" s="163">
        <v>0</v>
      </c>
    </row>
    <row r="1481" spans="1:10" hidden="1">
      <c r="A1481" s="64">
        <v>8913</v>
      </c>
      <c r="B1481" s="52">
        <v>0.19</v>
      </c>
      <c r="C1481" s="161">
        <v>0.4</v>
      </c>
      <c r="D1481" s="158">
        <v>52631578.947368421</v>
      </c>
      <c r="E1481" s="26">
        <f>VLOOKUP(8913,季財報!$A:$H,8,0)</f>
        <v>6</v>
      </c>
      <c r="F1481" s="161">
        <v>1.2325000000000003E-2</v>
      </c>
      <c r="G1481" s="54">
        <v>802631578.94736838</v>
      </c>
      <c r="H1481" s="54">
        <v>70033000</v>
      </c>
      <c r="I1481" s="65">
        <v>10</v>
      </c>
      <c r="J1481" s="163">
        <v>50</v>
      </c>
    </row>
  </sheetData>
  <autoFilter ref="A1:J1481">
    <filterColumn colId="1">
      <customFilters>
        <customFilter operator="greaterThan" val="0"/>
      </customFilters>
    </filterColumn>
    <filterColumn colId="2">
      <customFilters>
        <customFilter operator="greaterThan" val="0.5"/>
      </customFilters>
    </filterColumn>
    <filterColumn colId="3">
      <customFilters>
        <customFilter operator="lessThan" val="200000000"/>
      </customFilters>
    </filterColumn>
    <filterColumn colId="4">
      <customFilters>
        <customFilter operator="greaterThanOrEqual" val="4"/>
      </customFilters>
    </filterColumn>
    <filterColumn colId="5">
      <customFilters>
        <customFilter operator="greaterThan" val="0.01"/>
      </customFilters>
    </filterColumn>
    <filterColumn colId="8">
      <customFilters>
        <customFilter operator="greaterThan" val="0"/>
      </customFilters>
    </filterColumn>
    <filterColumn colId="9">
      <customFilters>
        <customFilter operator="lessThan" val="25"/>
      </customFilters>
    </filterColumn>
  </autoFilter>
  <sortState ref="A2:K2000">
    <sortCondition ref="I2:I2000"/>
  </sortState>
  <phoneticPr fontId="19" type="noConversion"/>
  <pageMargins left="0.7" right="0.7" top="0.75" bottom="0.75" header="0.3" footer="0.3"/>
  <pageSetup paperSize="9" orientation="portrait" r:id="rId1"/>
  <legacyDrawing r:id="rId2"/>
  <controls>
    <control shapeId="3089" r:id="rId3" name="CommandButton7"/>
    <control shapeId="3087" r:id="rId4" name="CommandButton2"/>
    <control shapeId="3086" r:id="rId5" name="CommandButton10"/>
    <control shapeId="3080" r:id="rId6" name="CommandButton1"/>
    <control shapeId="3079" r:id="rId7" name="CommandButton5"/>
    <control shapeId="3077" r:id="rId8" name="CommandButton4"/>
    <control shapeId="3075" r:id="rId9" name="CommandButton3"/>
    <control shapeId="3085" r:id="rId10" name="CommandButton9"/>
    <control shapeId="3088" r:id="rId11" name="CommandButton6"/>
  </controls>
</worksheet>
</file>

<file path=xl/worksheets/sheet10.xml><?xml version="1.0" encoding="utf-8"?>
<worksheet xmlns="http://schemas.openxmlformats.org/spreadsheetml/2006/main" xmlns:r="http://schemas.openxmlformats.org/officeDocument/2006/relationships">
  <sheetPr codeName="工作表1"/>
  <dimension ref="A1:F1586"/>
  <sheetViews>
    <sheetView workbookViewId="0">
      <pane xSplit="1" ySplit="1" topLeftCell="B14" activePane="bottomRight" state="frozen"/>
      <selection pane="topRight" activeCell="H1" sqref="H1"/>
      <selection pane="bottomLeft" activeCell="A2" sqref="A2"/>
      <selection pane="bottomRight" activeCell="I20" sqref="I20"/>
    </sheetView>
  </sheetViews>
  <sheetFormatPr defaultRowHeight="16.5"/>
  <cols>
    <col min="3" max="4" width="9.5" bestFit="1" customWidth="1"/>
    <col min="5" max="5" width="9.25" bestFit="1" customWidth="1"/>
  </cols>
  <sheetData>
    <row r="1" spans="1:6">
      <c r="A1" t="s">
        <v>257</v>
      </c>
      <c r="B1" t="s">
        <v>258</v>
      </c>
      <c r="C1" s="85">
        <v>42240</v>
      </c>
      <c r="D1" s="85">
        <v>42342</v>
      </c>
      <c r="E1" t="s">
        <v>1866</v>
      </c>
      <c r="F1" t="s">
        <v>1895</v>
      </c>
    </row>
    <row r="2" spans="1:6">
      <c r="A2">
        <v>4529</v>
      </c>
      <c r="B2" t="s">
        <v>1604</v>
      </c>
      <c r="C2">
        <v>10.65</v>
      </c>
      <c r="D2">
        <f>VLOOKUP(A2,收盤價!A:C,3,0)</f>
        <v>46.6</v>
      </c>
      <c r="E2" s="164">
        <v>3.375586854460094</v>
      </c>
      <c r="F2">
        <v>99.87</v>
      </c>
    </row>
    <row r="3" spans="1:6">
      <c r="A3">
        <v>4502</v>
      </c>
      <c r="B3" t="s">
        <v>1598</v>
      </c>
      <c r="C3">
        <v>5.8</v>
      </c>
      <c r="D3">
        <f>VLOOKUP(A3,收盤價!A:C,3,0)</f>
        <v>24.5</v>
      </c>
      <c r="E3" s="164">
        <v>3.2241379310344827</v>
      </c>
      <c r="F3">
        <v>99.81</v>
      </c>
    </row>
    <row r="4" spans="1:6">
      <c r="A4">
        <v>8105</v>
      </c>
      <c r="B4" t="s">
        <v>1346</v>
      </c>
      <c r="C4">
        <v>5.85</v>
      </c>
      <c r="D4">
        <f>VLOOKUP(A4,收盤價!A:C,3,0)</f>
        <v>20.399999999999999</v>
      </c>
      <c r="E4" s="164">
        <v>2.4871794871794872</v>
      </c>
      <c r="F4">
        <v>99.75</v>
      </c>
    </row>
    <row r="5" spans="1:6">
      <c r="A5">
        <v>3205</v>
      </c>
      <c r="B5" t="s">
        <v>298</v>
      </c>
      <c r="C5">
        <v>96.3</v>
      </c>
      <c r="D5">
        <f>VLOOKUP(A5,收盤價!A:C,3,0)</f>
        <v>296.5</v>
      </c>
      <c r="E5" s="164">
        <v>2.0789200415368638</v>
      </c>
      <c r="F5">
        <v>99.68</v>
      </c>
    </row>
    <row r="6" spans="1:6">
      <c r="A6">
        <v>3049</v>
      </c>
      <c r="B6" t="s">
        <v>1086</v>
      </c>
      <c r="C6">
        <v>2.63</v>
      </c>
      <c r="D6">
        <f>VLOOKUP(A6,收盤價!A:C,3,0)</f>
        <v>8.0500000000000007</v>
      </c>
      <c r="E6" s="164">
        <v>2.0608365019011412</v>
      </c>
      <c r="F6">
        <v>99.62</v>
      </c>
    </row>
    <row r="7" spans="1:6">
      <c r="A7">
        <v>3555</v>
      </c>
      <c r="B7" t="s">
        <v>1537</v>
      </c>
      <c r="C7">
        <v>3.97</v>
      </c>
      <c r="D7">
        <f>VLOOKUP(A7,收盤價!A:C,3,0)</f>
        <v>11.2</v>
      </c>
      <c r="E7" s="164">
        <v>1.8211586901763219</v>
      </c>
      <c r="F7">
        <v>99.56</v>
      </c>
    </row>
    <row r="8" spans="1:6">
      <c r="A8">
        <v>6201</v>
      </c>
      <c r="B8" t="s">
        <v>1435</v>
      </c>
      <c r="C8">
        <v>9.25</v>
      </c>
      <c r="D8">
        <f>VLOOKUP(A8,收盤價!A:C,3,0)</f>
        <v>25.8</v>
      </c>
      <c r="E8" s="164">
        <v>1.7891891891891893</v>
      </c>
      <c r="F8">
        <v>99.5</v>
      </c>
    </row>
    <row r="9" spans="1:6">
      <c r="A9">
        <v>3324</v>
      </c>
      <c r="B9" t="s">
        <v>1507</v>
      </c>
      <c r="C9">
        <v>14.85</v>
      </c>
      <c r="D9">
        <f>VLOOKUP(A9,收盤價!A:C,3,0)</f>
        <v>41</v>
      </c>
      <c r="E9" s="164">
        <v>1.7609427609427608</v>
      </c>
      <c r="F9">
        <v>99.43</v>
      </c>
    </row>
    <row r="10" spans="1:6">
      <c r="A10">
        <v>2406</v>
      </c>
      <c r="B10" t="s">
        <v>866</v>
      </c>
      <c r="C10">
        <v>14.2</v>
      </c>
      <c r="D10">
        <f>VLOOKUP(A10,收盤價!A:C,3,0)</f>
        <v>38.799999999999997</v>
      </c>
      <c r="E10" s="164">
        <v>1.732394366197183</v>
      </c>
      <c r="F10">
        <v>99.37</v>
      </c>
    </row>
    <row r="11" spans="1:6">
      <c r="A11">
        <v>6238</v>
      </c>
      <c r="B11" t="s">
        <v>1753</v>
      </c>
      <c r="C11">
        <v>57.7</v>
      </c>
      <c r="D11">
        <f>VLOOKUP(A11,收盤價!A:C,3,0)</f>
        <v>156.5</v>
      </c>
      <c r="E11" s="164">
        <v>1.7123050259965336</v>
      </c>
      <c r="F11">
        <v>99.31</v>
      </c>
    </row>
    <row r="12" spans="1:6">
      <c r="A12">
        <v>6452</v>
      </c>
      <c r="B12" t="s">
        <v>1329</v>
      </c>
      <c r="C12">
        <v>148</v>
      </c>
      <c r="D12">
        <f>VLOOKUP(A12,收盤價!A:C,3,0)</f>
        <v>396</v>
      </c>
      <c r="E12" s="164">
        <v>1.6756756756756757</v>
      </c>
      <c r="F12">
        <v>99.24</v>
      </c>
    </row>
    <row r="13" spans="1:6">
      <c r="A13">
        <v>4174</v>
      </c>
      <c r="B13" t="s">
        <v>374</v>
      </c>
      <c r="C13">
        <v>262</v>
      </c>
      <c r="D13">
        <f>VLOOKUP(A13,收盤價!A:C,3,0)</f>
        <v>670</v>
      </c>
      <c r="E13" s="164">
        <v>1.5572519083969465</v>
      </c>
      <c r="F13">
        <v>99.18</v>
      </c>
    </row>
    <row r="14" spans="1:6">
      <c r="A14">
        <v>6230</v>
      </c>
      <c r="B14" t="s">
        <v>1302</v>
      </c>
      <c r="C14">
        <v>45.4</v>
      </c>
      <c r="D14">
        <f>VLOOKUP(A14,收盤價!A:C,3,0)</f>
        <v>115</v>
      </c>
      <c r="E14" s="164">
        <v>1.5330396475770924</v>
      </c>
      <c r="F14">
        <v>99.12</v>
      </c>
    </row>
    <row r="15" spans="1:6">
      <c r="A15">
        <v>8916</v>
      </c>
      <c r="B15" t="s">
        <v>526</v>
      </c>
      <c r="C15">
        <v>25.2</v>
      </c>
      <c r="D15">
        <f>VLOOKUP(A15,收盤價!A:C,3,0)</f>
        <v>62.6</v>
      </c>
      <c r="E15" s="164">
        <v>1.4841269841269844</v>
      </c>
      <c r="F15">
        <v>99.05</v>
      </c>
    </row>
    <row r="16" spans="1:6">
      <c r="A16">
        <v>3519</v>
      </c>
      <c r="B16" t="s">
        <v>1138</v>
      </c>
      <c r="C16">
        <v>9.86</v>
      </c>
      <c r="D16">
        <f>VLOOKUP(A16,收盤價!A:C,3,0)</f>
        <v>24.2</v>
      </c>
      <c r="E16" s="164">
        <v>1.4543610547667343</v>
      </c>
      <c r="F16">
        <v>98.99</v>
      </c>
    </row>
    <row r="17" spans="1:6">
      <c r="A17">
        <v>4168</v>
      </c>
      <c r="B17" t="s">
        <v>372</v>
      </c>
      <c r="C17">
        <v>27.4</v>
      </c>
      <c r="D17">
        <f>VLOOKUP(A17,收盤價!A:C,3,0)</f>
        <v>66.7</v>
      </c>
      <c r="E17" s="164">
        <v>1.4343065693430659</v>
      </c>
      <c r="F17">
        <v>98.93</v>
      </c>
    </row>
    <row r="18" spans="1:6">
      <c r="A18">
        <v>3514</v>
      </c>
      <c r="B18" t="s">
        <v>1135</v>
      </c>
      <c r="C18">
        <v>12</v>
      </c>
      <c r="D18">
        <f>VLOOKUP(A18,收盤價!A:C,3,0)</f>
        <v>29.05</v>
      </c>
      <c r="E18" s="164">
        <v>1.4208333333333334</v>
      </c>
      <c r="F18">
        <v>98.86</v>
      </c>
    </row>
    <row r="19" spans="1:6">
      <c r="A19">
        <v>3686</v>
      </c>
      <c r="B19" t="s">
        <v>1170</v>
      </c>
      <c r="C19">
        <v>4.91</v>
      </c>
      <c r="D19">
        <f>VLOOKUP(A19,收盤價!A:C,3,0)</f>
        <v>11.7</v>
      </c>
      <c r="E19" s="164">
        <v>1.3828920570264764</v>
      </c>
      <c r="F19">
        <v>98.8</v>
      </c>
    </row>
    <row r="20" spans="1:6">
      <c r="A20">
        <v>4935</v>
      </c>
      <c r="B20" t="s">
        <v>1213</v>
      </c>
      <c r="C20">
        <v>33.049999999999997</v>
      </c>
      <c r="D20">
        <f>VLOOKUP(A20,收盤價!A:C,3,0)</f>
        <v>77.400000000000006</v>
      </c>
      <c r="E20" s="164">
        <v>1.3419062027231472</v>
      </c>
      <c r="F20">
        <v>98.74</v>
      </c>
    </row>
    <row r="21" spans="1:6">
      <c r="A21">
        <v>4735</v>
      </c>
      <c r="B21" t="s">
        <v>1615</v>
      </c>
      <c r="C21">
        <v>17.600000000000001</v>
      </c>
      <c r="D21">
        <f>VLOOKUP(A21,收盤價!A:C,3,0)</f>
        <v>41</v>
      </c>
      <c r="E21" s="164">
        <v>1.3295454545454544</v>
      </c>
      <c r="F21">
        <v>98.68</v>
      </c>
    </row>
    <row r="22" spans="1:6">
      <c r="A22">
        <v>3492</v>
      </c>
      <c r="B22" t="s">
        <v>1523</v>
      </c>
      <c r="C22">
        <v>15.95</v>
      </c>
      <c r="D22">
        <f>VLOOKUP(A22,收盤價!A:C,3,0)</f>
        <v>37.049999999999997</v>
      </c>
      <c r="E22" s="164">
        <v>1.322884012539185</v>
      </c>
      <c r="F22">
        <v>98.61</v>
      </c>
    </row>
    <row r="23" spans="1:6">
      <c r="A23">
        <v>6169</v>
      </c>
      <c r="B23" t="s">
        <v>1733</v>
      </c>
      <c r="C23">
        <v>11</v>
      </c>
      <c r="D23">
        <f>VLOOKUP(A23,收盤價!A:C,3,0)</f>
        <v>25.25</v>
      </c>
      <c r="E23" s="164">
        <v>1.2954545454545454</v>
      </c>
      <c r="F23">
        <v>98.55</v>
      </c>
    </row>
    <row r="24" spans="1:6">
      <c r="A24">
        <v>4108</v>
      </c>
      <c r="B24" t="s">
        <v>1181</v>
      </c>
      <c r="C24">
        <v>13.2</v>
      </c>
      <c r="D24">
        <f>VLOOKUP(A24,收盤價!A:C,3,0)</f>
        <v>30.25</v>
      </c>
      <c r="E24" s="164">
        <v>1.2916666666666667</v>
      </c>
      <c r="F24">
        <v>98.49</v>
      </c>
    </row>
    <row r="25" spans="1:6">
      <c r="A25">
        <v>6237</v>
      </c>
      <c r="B25" t="s">
        <v>480</v>
      </c>
      <c r="C25">
        <v>17.25</v>
      </c>
      <c r="D25">
        <f>VLOOKUP(A25,收盤價!A:C,3,0)</f>
        <v>39.450000000000003</v>
      </c>
      <c r="E25" s="164">
        <v>1.2869565217391306</v>
      </c>
      <c r="F25">
        <v>98.42</v>
      </c>
    </row>
    <row r="26" spans="1:6">
      <c r="A26">
        <v>4726</v>
      </c>
      <c r="B26" t="s">
        <v>1614</v>
      </c>
      <c r="C26">
        <v>23.45</v>
      </c>
      <c r="D26">
        <f>VLOOKUP(A26,收盤價!A:C,3,0)</f>
        <v>53.5</v>
      </c>
      <c r="E26" s="164">
        <v>1.2814498933901919</v>
      </c>
      <c r="F26">
        <v>98.36</v>
      </c>
    </row>
    <row r="27" spans="1:6">
      <c r="A27">
        <v>3479</v>
      </c>
      <c r="B27" t="s">
        <v>1521</v>
      </c>
      <c r="C27">
        <v>32.799999999999997</v>
      </c>
      <c r="D27">
        <f>VLOOKUP(A27,收盤價!A:C,3,0)</f>
        <v>74</v>
      </c>
      <c r="E27" s="164">
        <v>1.25609756097561</v>
      </c>
      <c r="F27">
        <v>98.3</v>
      </c>
    </row>
    <row r="28" spans="1:6">
      <c r="A28">
        <v>4188</v>
      </c>
      <c r="B28" t="s">
        <v>1582</v>
      </c>
      <c r="C28">
        <v>14.7</v>
      </c>
      <c r="D28">
        <f>VLOOKUP(A28,收盤價!A:C,3,0)</f>
        <v>33.15</v>
      </c>
      <c r="E28" s="164">
        <v>1.2551020408163265</v>
      </c>
      <c r="F28">
        <v>98.23</v>
      </c>
    </row>
    <row r="29" spans="1:6">
      <c r="A29">
        <v>5288</v>
      </c>
      <c r="B29" t="s">
        <v>1235</v>
      </c>
      <c r="C29">
        <v>52.3</v>
      </c>
      <c r="D29">
        <f>VLOOKUP(A29,收盤價!A:C,3,0)</f>
        <v>117</v>
      </c>
      <c r="E29" s="164">
        <v>1.2370936902485661</v>
      </c>
      <c r="F29">
        <v>98.17</v>
      </c>
    </row>
    <row r="30" spans="1:6">
      <c r="A30">
        <v>2439</v>
      </c>
      <c r="B30" t="s">
        <v>891</v>
      </c>
      <c r="C30">
        <v>31.9</v>
      </c>
      <c r="D30">
        <f>VLOOKUP(A30,收盤價!A:C,3,0)</f>
        <v>70.900000000000006</v>
      </c>
      <c r="E30" s="164">
        <v>1.2225705329153609</v>
      </c>
      <c r="F30">
        <v>98.11</v>
      </c>
    </row>
    <row r="31" spans="1:6">
      <c r="A31">
        <v>3617</v>
      </c>
      <c r="B31" t="s">
        <v>1160</v>
      </c>
      <c r="C31">
        <v>54.6</v>
      </c>
      <c r="D31">
        <f>VLOOKUP(A31,收盤價!A:C,3,0)</f>
        <v>120.5</v>
      </c>
      <c r="E31" s="164">
        <v>1.2069597069597071</v>
      </c>
      <c r="F31">
        <v>98.04</v>
      </c>
    </row>
    <row r="32" spans="1:6">
      <c r="A32">
        <v>1704</v>
      </c>
      <c r="B32" t="s">
        <v>699</v>
      </c>
      <c r="C32">
        <v>16.8</v>
      </c>
      <c r="D32">
        <f>VLOOKUP(A32,收盤價!A:C,3,0)</f>
        <v>36.9</v>
      </c>
      <c r="E32" s="164">
        <v>1.1964285714285712</v>
      </c>
      <c r="F32">
        <v>97.98</v>
      </c>
    </row>
    <row r="33" spans="1:6">
      <c r="A33">
        <v>8171</v>
      </c>
      <c r="B33" t="s">
        <v>1809</v>
      </c>
      <c r="C33">
        <v>5.69</v>
      </c>
      <c r="D33">
        <f>VLOOKUP(A33,收盤價!A:C,3,0)</f>
        <v>12.4</v>
      </c>
      <c r="E33" s="164">
        <v>1.1792618629173988</v>
      </c>
      <c r="F33">
        <v>97.92</v>
      </c>
    </row>
    <row r="34" spans="1:6">
      <c r="A34">
        <v>2345</v>
      </c>
      <c r="B34" t="s">
        <v>821</v>
      </c>
      <c r="C34">
        <v>12.85</v>
      </c>
      <c r="D34">
        <f>VLOOKUP(A34,收盤價!A:C,3,0)</f>
        <v>27.9</v>
      </c>
      <c r="E34" s="164">
        <v>1.1712062256809339</v>
      </c>
      <c r="F34">
        <v>97.85</v>
      </c>
    </row>
    <row r="35" spans="1:6">
      <c r="A35">
        <v>4121</v>
      </c>
      <c r="B35" t="s">
        <v>1567</v>
      </c>
      <c r="C35">
        <v>7.99</v>
      </c>
      <c r="D35">
        <f>VLOOKUP(A35,收盤價!A:C,3,0)</f>
        <v>17.3</v>
      </c>
      <c r="E35" s="164">
        <v>1.165206508135169</v>
      </c>
      <c r="F35">
        <v>97.79</v>
      </c>
    </row>
    <row r="36" spans="1:6">
      <c r="A36">
        <v>1565</v>
      </c>
      <c r="B36" t="s">
        <v>1438</v>
      </c>
      <c r="C36">
        <v>305.5</v>
      </c>
      <c r="D36">
        <f>VLOOKUP(A36,收盤價!A:C,3,0)</f>
        <v>660</v>
      </c>
      <c r="E36" s="164">
        <v>1.160392798690671</v>
      </c>
      <c r="F36">
        <v>97.73</v>
      </c>
    </row>
    <row r="37" spans="1:6">
      <c r="A37">
        <v>4192</v>
      </c>
      <c r="B37" t="s">
        <v>1583</v>
      </c>
      <c r="C37">
        <v>24.75</v>
      </c>
      <c r="D37">
        <f>VLOOKUP(A37,收盤價!A:C,3,0)</f>
        <v>53</v>
      </c>
      <c r="E37" s="164">
        <v>1.1414141414141414</v>
      </c>
      <c r="F37">
        <v>97.67</v>
      </c>
    </row>
    <row r="38" spans="1:6">
      <c r="A38">
        <v>4130</v>
      </c>
      <c r="B38" t="s">
        <v>367</v>
      </c>
      <c r="C38">
        <v>28.8</v>
      </c>
      <c r="D38">
        <f>VLOOKUP(A38,收盤價!A:C,3,0)</f>
        <v>60.5</v>
      </c>
      <c r="E38" s="164">
        <v>1.1006944444444444</v>
      </c>
      <c r="F38">
        <v>97.6</v>
      </c>
    </row>
    <row r="39" spans="1:6">
      <c r="A39">
        <v>4934</v>
      </c>
      <c r="B39" t="s">
        <v>1212</v>
      </c>
      <c r="C39">
        <v>10.85</v>
      </c>
      <c r="D39">
        <f>VLOOKUP(A39,收盤價!A:C,3,0)</f>
        <v>22.7</v>
      </c>
      <c r="E39" s="164">
        <v>1.0921658986175116</v>
      </c>
      <c r="F39">
        <v>97.54</v>
      </c>
    </row>
    <row r="40" spans="1:6">
      <c r="A40">
        <v>1541</v>
      </c>
      <c r="B40" t="s">
        <v>674</v>
      </c>
      <c r="C40">
        <v>23.05</v>
      </c>
      <c r="D40">
        <f>VLOOKUP(A40,收盤價!A:C,3,0)</f>
        <v>47.7</v>
      </c>
      <c r="E40" s="164">
        <v>1.0694143167028201</v>
      </c>
      <c r="F40">
        <v>97.48</v>
      </c>
    </row>
    <row r="41" spans="1:6">
      <c r="A41">
        <v>3548</v>
      </c>
      <c r="B41" t="s">
        <v>342</v>
      </c>
      <c r="C41">
        <v>18.2</v>
      </c>
      <c r="D41">
        <f>VLOOKUP(A41,收盤價!A:C,3,0)</f>
        <v>37.6</v>
      </c>
      <c r="E41" s="164">
        <v>1.0659340659340661</v>
      </c>
      <c r="F41">
        <v>97.41</v>
      </c>
    </row>
    <row r="42" spans="1:6">
      <c r="A42">
        <v>4947</v>
      </c>
      <c r="B42" t="s">
        <v>1627</v>
      </c>
      <c r="C42">
        <v>115</v>
      </c>
      <c r="D42">
        <f>VLOOKUP(A42,收盤價!A:C,3,0)</f>
        <v>237.5</v>
      </c>
      <c r="E42" s="164">
        <v>1.0652173913043479</v>
      </c>
      <c r="F42">
        <v>97.35</v>
      </c>
    </row>
    <row r="43" spans="1:6">
      <c r="A43">
        <v>2498</v>
      </c>
      <c r="B43" t="s">
        <v>937</v>
      </c>
      <c r="C43">
        <v>40.35</v>
      </c>
      <c r="D43">
        <f>VLOOKUP(A43,收盤價!A:C,3,0)</f>
        <v>82.4</v>
      </c>
      <c r="E43" s="164">
        <v>1.0421313506815366</v>
      </c>
      <c r="F43">
        <v>97.29</v>
      </c>
    </row>
    <row r="44" spans="1:6">
      <c r="A44">
        <v>6282</v>
      </c>
      <c r="B44" t="s">
        <v>1313</v>
      </c>
      <c r="C44">
        <v>12.85</v>
      </c>
      <c r="D44">
        <f>VLOOKUP(A44,收盤價!A:C,3,0)</f>
        <v>26.05</v>
      </c>
      <c r="E44" s="164">
        <v>1.0272373540856032</v>
      </c>
      <c r="F44">
        <v>97.22</v>
      </c>
    </row>
    <row r="45" spans="1:6">
      <c r="A45">
        <v>2481</v>
      </c>
      <c r="B45" t="s">
        <v>923</v>
      </c>
      <c r="C45">
        <v>7.61</v>
      </c>
      <c r="D45">
        <f>VLOOKUP(A45,收盤價!A:C,3,0)</f>
        <v>15.3</v>
      </c>
      <c r="E45" s="164">
        <v>1.0105124835742445</v>
      </c>
      <c r="F45">
        <v>97.16</v>
      </c>
    </row>
    <row r="46" spans="1:6">
      <c r="A46">
        <v>2496</v>
      </c>
      <c r="B46" t="s">
        <v>935</v>
      </c>
      <c r="C46">
        <v>7.6</v>
      </c>
      <c r="D46">
        <f>VLOOKUP(A46,收盤價!A:C,3,0)</f>
        <v>15.25</v>
      </c>
      <c r="E46" s="164">
        <v>1.0065789473684212</v>
      </c>
      <c r="F46">
        <v>97.1</v>
      </c>
    </row>
    <row r="47" spans="1:6">
      <c r="A47">
        <v>2377</v>
      </c>
      <c r="B47" t="s">
        <v>848</v>
      </c>
      <c r="C47">
        <v>22.2</v>
      </c>
      <c r="D47">
        <f>VLOOKUP(A47,收盤價!A:C,3,0)</f>
        <v>44.4</v>
      </c>
      <c r="E47" s="164">
        <v>1</v>
      </c>
      <c r="F47">
        <v>97.03</v>
      </c>
    </row>
    <row r="48" spans="1:6">
      <c r="A48">
        <v>3605</v>
      </c>
      <c r="B48" t="s">
        <v>1158</v>
      </c>
      <c r="C48">
        <v>14.5</v>
      </c>
      <c r="D48">
        <f>VLOOKUP(A48,收盤價!A:C,3,0)</f>
        <v>28.9</v>
      </c>
      <c r="E48" s="164">
        <v>0.99310344827586194</v>
      </c>
      <c r="F48">
        <v>96.97</v>
      </c>
    </row>
    <row r="49" spans="1:6">
      <c r="A49">
        <v>3035</v>
      </c>
      <c r="B49" t="s">
        <v>1073</v>
      </c>
      <c r="C49">
        <v>23.85</v>
      </c>
      <c r="D49">
        <f>VLOOKUP(A49,收盤價!A:C,3,0)</f>
        <v>47.5</v>
      </c>
      <c r="E49" s="164">
        <v>0.99161425576519902</v>
      </c>
      <c r="F49">
        <v>96.91</v>
      </c>
    </row>
    <row r="50" spans="1:6">
      <c r="A50">
        <v>8433</v>
      </c>
      <c r="B50" t="s">
        <v>521</v>
      </c>
      <c r="C50">
        <v>68.900000000000006</v>
      </c>
      <c r="D50">
        <f>VLOOKUP(A50,收盤價!A:C,3,0)</f>
        <v>137</v>
      </c>
      <c r="E50" s="164">
        <v>0.98838896952104482</v>
      </c>
      <c r="F50">
        <v>96.85</v>
      </c>
    </row>
    <row r="51" spans="1:6">
      <c r="A51">
        <v>8432</v>
      </c>
      <c r="B51" t="s">
        <v>520</v>
      </c>
      <c r="C51">
        <v>38.799999999999997</v>
      </c>
      <c r="D51">
        <f>VLOOKUP(A51,收盤價!A:C,3,0)</f>
        <v>76.8</v>
      </c>
      <c r="E51" s="164">
        <v>0.97938144329896915</v>
      </c>
      <c r="F51">
        <v>96.78</v>
      </c>
    </row>
    <row r="52" spans="1:6">
      <c r="A52">
        <v>2364</v>
      </c>
      <c r="B52" t="s">
        <v>838</v>
      </c>
      <c r="C52">
        <v>1.47</v>
      </c>
      <c r="D52">
        <f>VLOOKUP(A52,收盤價!A:C,3,0)</f>
        <v>2.9</v>
      </c>
      <c r="E52" s="164">
        <v>0.97278911564625847</v>
      </c>
      <c r="F52">
        <v>96.72</v>
      </c>
    </row>
    <row r="53" spans="1:6">
      <c r="A53">
        <v>8446</v>
      </c>
      <c r="B53" t="s">
        <v>1834</v>
      </c>
      <c r="C53">
        <v>62.5</v>
      </c>
      <c r="D53">
        <f>VLOOKUP(A53,收盤價!A:C,3,0)</f>
        <v>123</v>
      </c>
      <c r="E53" s="164">
        <v>0.96799999999999997</v>
      </c>
      <c r="F53">
        <v>96.66</v>
      </c>
    </row>
    <row r="54" spans="1:6">
      <c r="A54">
        <v>2236</v>
      </c>
      <c r="B54" t="s">
        <v>794</v>
      </c>
      <c r="C54">
        <v>20.8</v>
      </c>
      <c r="D54">
        <f>VLOOKUP(A54,收盤價!A:C,3,0)</f>
        <v>40.200000000000003</v>
      </c>
      <c r="E54" s="164">
        <v>0.93269230769230771</v>
      </c>
      <c r="F54">
        <v>96.59</v>
      </c>
    </row>
    <row r="55" spans="1:6">
      <c r="A55">
        <v>1338</v>
      </c>
      <c r="B55" t="s">
        <v>592</v>
      </c>
      <c r="C55">
        <v>71.2</v>
      </c>
      <c r="D55">
        <f>VLOOKUP(A55,收盤價!A:C,3,0)</f>
        <v>137</v>
      </c>
      <c r="E55" s="164">
        <v>0.92415730337078639</v>
      </c>
      <c r="F55">
        <v>96.53</v>
      </c>
    </row>
    <row r="56" spans="1:6">
      <c r="A56">
        <v>3694</v>
      </c>
      <c r="B56" t="s">
        <v>1171</v>
      </c>
      <c r="C56">
        <v>10.35</v>
      </c>
      <c r="D56">
        <f>VLOOKUP(A56,收盤價!A:C,3,0)</f>
        <v>19.899999999999999</v>
      </c>
      <c r="E56" s="164">
        <v>0.92270531400966171</v>
      </c>
      <c r="F56">
        <v>96.47</v>
      </c>
    </row>
    <row r="57" spans="1:6">
      <c r="A57">
        <v>4162</v>
      </c>
      <c r="B57" t="s">
        <v>370</v>
      </c>
      <c r="C57">
        <v>140.5</v>
      </c>
      <c r="D57">
        <f>VLOOKUP(A57,收盤價!A:C,3,0)</f>
        <v>270</v>
      </c>
      <c r="E57" s="164">
        <v>0.92170818505338081</v>
      </c>
      <c r="F57">
        <v>96.4</v>
      </c>
    </row>
    <row r="58" spans="1:6">
      <c r="A58">
        <v>3666</v>
      </c>
      <c r="B58" t="s">
        <v>359</v>
      </c>
      <c r="C58">
        <v>12.5</v>
      </c>
      <c r="D58">
        <f>VLOOKUP(A58,收盤價!A:C,3,0)</f>
        <v>24</v>
      </c>
      <c r="E58" s="164">
        <v>0.92</v>
      </c>
      <c r="F58">
        <v>96.34</v>
      </c>
    </row>
    <row r="59" spans="1:6">
      <c r="A59">
        <v>3561</v>
      </c>
      <c r="B59" t="s">
        <v>1147</v>
      </c>
      <c r="C59">
        <v>11</v>
      </c>
      <c r="D59">
        <f>VLOOKUP(A59,收盤價!A:C,3,0)</f>
        <v>21.05</v>
      </c>
      <c r="E59" s="164">
        <v>0.91363636363636369</v>
      </c>
      <c r="F59">
        <v>96.28</v>
      </c>
    </row>
    <row r="60" spans="1:6">
      <c r="A60">
        <v>6411</v>
      </c>
      <c r="B60" t="s">
        <v>493</v>
      </c>
      <c r="C60">
        <v>19.25</v>
      </c>
      <c r="D60">
        <f>VLOOKUP(A60,收盤價!A:C,3,0)</f>
        <v>36.299999999999997</v>
      </c>
      <c r="E60" s="164">
        <v>0.88571428571428557</v>
      </c>
      <c r="F60">
        <v>96.21</v>
      </c>
    </row>
    <row r="61" spans="1:6">
      <c r="A61">
        <v>1337</v>
      </c>
      <c r="B61" t="s">
        <v>591</v>
      </c>
      <c r="C61">
        <v>10.75</v>
      </c>
      <c r="D61">
        <f>VLOOKUP(A61,收盤價!A:C,3,0)</f>
        <v>20.25</v>
      </c>
      <c r="E61" s="164">
        <v>0.88372093023255816</v>
      </c>
      <c r="F61">
        <v>96.15</v>
      </c>
    </row>
    <row r="62" spans="1:6">
      <c r="A62">
        <v>4916</v>
      </c>
      <c r="B62" t="s">
        <v>1208</v>
      </c>
      <c r="C62">
        <v>12.3</v>
      </c>
      <c r="D62">
        <f>VLOOKUP(A62,收盤價!A:C,3,0)</f>
        <v>23.1</v>
      </c>
      <c r="E62" s="164">
        <v>0.87804878048780488</v>
      </c>
      <c r="F62">
        <v>96.09</v>
      </c>
    </row>
    <row r="63" spans="1:6">
      <c r="A63">
        <v>2492</v>
      </c>
      <c r="B63" t="s">
        <v>932</v>
      </c>
      <c r="C63">
        <v>10.15</v>
      </c>
      <c r="D63">
        <f>VLOOKUP(A63,收盤價!A:C,3,0)</f>
        <v>19.05</v>
      </c>
      <c r="E63" s="164">
        <v>0.87684729064039413</v>
      </c>
      <c r="F63">
        <v>96.03</v>
      </c>
    </row>
    <row r="64" spans="1:6">
      <c r="A64">
        <v>3092</v>
      </c>
      <c r="B64" t="s">
        <v>289</v>
      </c>
      <c r="C64">
        <v>9.3000000000000007</v>
      </c>
      <c r="D64">
        <f>VLOOKUP(A64,收盤價!A:C,3,0)</f>
        <v>17.45</v>
      </c>
      <c r="E64" s="164">
        <v>0.87634408602150515</v>
      </c>
      <c r="F64">
        <v>95.96</v>
      </c>
    </row>
    <row r="65" spans="1:6">
      <c r="A65">
        <v>2374</v>
      </c>
      <c r="B65" t="s">
        <v>845</v>
      </c>
      <c r="C65">
        <v>13.45</v>
      </c>
      <c r="D65">
        <f>VLOOKUP(A65,收盤價!A:C,3,0)</f>
        <v>25.1</v>
      </c>
      <c r="E65" s="164">
        <v>0.86617100371747235</v>
      </c>
      <c r="F65">
        <v>95.9</v>
      </c>
    </row>
    <row r="66" spans="1:6">
      <c r="A66">
        <v>3083</v>
      </c>
      <c r="B66" t="s">
        <v>1472</v>
      </c>
      <c r="C66">
        <v>21</v>
      </c>
      <c r="D66">
        <f>VLOOKUP(A66,收盤價!A:C,3,0)</f>
        <v>39</v>
      </c>
      <c r="E66" s="164">
        <v>0.8571428571428571</v>
      </c>
      <c r="F66">
        <v>95.84</v>
      </c>
    </row>
    <row r="67" spans="1:6">
      <c r="A67">
        <v>5245</v>
      </c>
      <c r="B67" t="s">
        <v>410</v>
      </c>
      <c r="C67">
        <v>43.1</v>
      </c>
      <c r="D67">
        <f>VLOOKUP(A67,收盤價!A:C,3,0)</f>
        <v>79.8</v>
      </c>
      <c r="E67" s="164">
        <v>0.85150812064965187</v>
      </c>
      <c r="F67">
        <v>95.77</v>
      </c>
    </row>
    <row r="68" spans="1:6">
      <c r="A68">
        <v>4152</v>
      </c>
      <c r="B68" t="s">
        <v>368</v>
      </c>
      <c r="C68">
        <v>88.2</v>
      </c>
      <c r="D68">
        <f>VLOOKUP(A68,收盤價!A:C,3,0)</f>
        <v>162.5</v>
      </c>
      <c r="E68" s="164">
        <v>0.84240362811791381</v>
      </c>
      <c r="F68">
        <v>95.71</v>
      </c>
    </row>
    <row r="69" spans="1:6">
      <c r="A69">
        <v>5269</v>
      </c>
      <c r="B69" t="s">
        <v>1233</v>
      </c>
      <c r="C69">
        <v>117</v>
      </c>
      <c r="D69">
        <f>VLOOKUP(A69,收盤價!A:C,3,0)</f>
        <v>214.5</v>
      </c>
      <c r="E69" s="164">
        <v>0.83333333333333337</v>
      </c>
      <c r="F69">
        <v>95.65</v>
      </c>
    </row>
    <row r="70" spans="1:6">
      <c r="A70">
        <v>8176</v>
      </c>
      <c r="B70" t="s">
        <v>1810</v>
      </c>
      <c r="C70">
        <v>5.13</v>
      </c>
      <c r="D70">
        <f>VLOOKUP(A70,收盤價!A:C,3,0)</f>
        <v>9.4</v>
      </c>
      <c r="E70" s="164">
        <v>0.83235867446393774</v>
      </c>
      <c r="F70">
        <v>95.58</v>
      </c>
    </row>
    <row r="71" spans="1:6">
      <c r="A71">
        <v>8277</v>
      </c>
      <c r="B71" t="s">
        <v>1816</v>
      </c>
      <c r="C71">
        <v>4.34</v>
      </c>
      <c r="D71">
        <f>VLOOKUP(A71,收盤價!A:C,3,0)</f>
        <v>7.95</v>
      </c>
      <c r="E71" s="164">
        <v>0.83179723502304159</v>
      </c>
      <c r="F71">
        <v>95.52</v>
      </c>
    </row>
    <row r="72" spans="1:6">
      <c r="A72">
        <v>3078</v>
      </c>
      <c r="B72" t="s">
        <v>1470</v>
      </c>
      <c r="C72">
        <v>11.85</v>
      </c>
      <c r="D72">
        <f>VLOOKUP(A72,收盤價!A:C,3,0)</f>
        <v>21.65</v>
      </c>
      <c r="E72" s="164">
        <v>0.82700421940928259</v>
      </c>
      <c r="F72">
        <v>95.46</v>
      </c>
    </row>
    <row r="73" spans="1:6">
      <c r="A73">
        <v>1784</v>
      </c>
      <c r="B73" t="s">
        <v>1447</v>
      </c>
      <c r="C73">
        <v>20.8</v>
      </c>
      <c r="D73">
        <f>VLOOKUP(A73,收盤價!A:C,3,0)</f>
        <v>37.950000000000003</v>
      </c>
      <c r="E73" s="164">
        <v>0.82451923076923084</v>
      </c>
      <c r="F73">
        <v>95.39</v>
      </c>
    </row>
    <row r="74" spans="1:6">
      <c r="A74">
        <v>4984</v>
      </c>
      <c r="B74" t="s">
        <v>1222</v>
      </c>
      <c r="C74">
        <v>23</v>
      </c>
      <c r="D74">
        <f>VLOOKUP(A74,收盤價!A:C,3,0)</f>
        <v>41.95</v>
      </c>
      <c r="E74" s="164">
        <v>0.823913043478261</v>
      </c>
      <c r="F74">
        <v>95.33</v>
      </c>
    </row>
    <row r="75" spans="1:6">
      <c r="A75">
        <v>6451</v>
      </c>
      <c r="B75" t="s">
        <v>1328</v>
      </c>
      <c r="C75">
        <v>82.4</v>
      </c>
      <c r="D75">
        <f>VLOOKUP(A75,收盤價!A:C,3,0)</f>
        <v>150</v>
      </c>
      <c r="E75" s="164">
        <v>0.82038834951456296</v>
      </c>
      <c r="F75">
        <v>95.27</v>
      </c>
    </row>
    <row r="76" spans="1:6">
      <c r="A76">
        <v>3579</v>
      </c>
      <c r="B76" t="s">
        <v>1150</v>
      </c>
      <c r="C76">
        <v>8.11</v>
      </c>
      <c r="D76">
        <f>VLOOKUP(A76,收盤價!A:C,3,0)</f>
        <v>14.65</v>
      </c>
      <c r="E76" s="164">
        <v>0.80641183723797794</v>
      </c>
      <c r="F76">
        <v>95.21</v>
      </c>
    </row>
    <row r="77" spans="1:6">
      <c r="A77">
        <v>3552</v>
      </c>
      <c r="B77" t="s">
        <v>1536</v>
      </c>
      <c r="C77">
        <v>167.5</v>
      </c>
      <c r="D77">
        <f>VLOOKUP(A77,收盤價!A:C,3,0)</f>
        <v>302.5</v>
      </c>
      <c r="E77" s="164">
        <v>0.80597014925373134</v>
      </c>
      <c r="F77">
        <v>95.14</v>
      </c>
    </row>
    <row r="78" spans="1:6">
      <c r="A78">
        <v>6156</v>
      </c>
      <c r="B78" t="s">
        <v>1863</v>
      </c>
      <c r="C78">
        <v>7.9</v>
      </c>
      <c r="D78">
        <f>VLOOKUP(A78,收盤價!A:C,3,0)</f>
        <v>14.25</v>
      </c>
      <c r="E78" s="164">
        <v>0.80379746835443033</v>
      </c>
      <c r="F78">
        <v>95.08</v>
      </c>
    </row>
    <row r="79" spans="1:6">
      <c r="A79">
        <v>4919</v>
      </c>
      <c r="B79" t="s">
        <v>1209</v>
      </c>
      <c r="C79">
        <v>19.55</v>
      </c>
      <c r="D79">
        <f>VLOOKUP(A79,收盤價!A:C,3,0)</f>
        <v>35.200000000000003</v>
      </c>
      <c r="E79" s="164">
        <v>0.80051150895140677</v>
      </c>
      <c r="F79">
        <v>95.02</v>
      </c>
    </row>
    <row r="80" spans="1:6">
      <c r="A80">
        <v>3587</v>
      </c>
      <c r="B80" t="s">
        <v>1544</v>
      </c>
      <c r="C80">
        <v>34</v>
      </c>
      <c r="D80">
        <f>VLOOKUP(A80,收盤價!A:C,3,0)</f>
        <v>61</v>
      </c>
      <c r="E80" s="164">
        <v>0.79411764705882348</v>
      </c>
      <c r="F80">
        <v>94.95</v>
      </c>
    </row>
    <row r="81" spans="1:6">
      <c r="A81">
        <v>2426</v>
      </c>
      <c r="B81" t="s">
        <v>880</v>
      </c>
      <c r="C81">
        <v>9.27</v>
      </c>
      <c r="D81">
        <f>VLOOKUP(A81,收盤價!A:C,3,0)</f>
        <v>16.600000000000001</v>
      </c>
      <c r="E81" s="164">
        <v>0.7907227615965482</v>
      </c>
      <c r="F81">
        <v>94.89</v>
      </c>
    </row>
    <row r="82" spans="1:6">
      <c r="A82">
        <v>3322</v>
      </c>
      <c r="B82" t="s">
        <v>1506</v>
      </c>
      <c r="C82">
        <v>6.2</v>
      </c>
      <c r="D82">
        <f>VLOOKUP(A82,收盤價!A:C,3,0)</f>
        <v>11.1</v>
      </c>
      <c r="E82" s="164">
        <v>0.79032258064516114</v>
      </c>
      <c r="F82">
        <v>94.83</v>
      </c>
    </row>
    <row r="83" spans="1:6">
      <c r="A83">
        <v>3016</v>
      </c>
      <c r="B83" t="s">
        <v>1055</v>
      </c>
      <c r="C83">
        <v>9.61</v>
      </c>
      <c r="D83">
        <f>VLOOKUP(A83,收盤價!A:C,3,0)</f>
        <v>17.2</v>
      </c>
      <c r="E83" s="164">
        <v>0.78980228928199792</v>
      </c>
      <c r="F83">
        <v>94.76</v>
      </c>
    </row>
    <row r="84" spans="1:6">
      <c r="A84">
        <v>5483</v>
      </c>
      <c r="B84" t="s">
        <v>1681</v>
      </c>
      <c r="C84">
        <v>27.45</v>
      </c>
      <c r="D84">
        <f>VLOOKUP(A84,收盤價!A:C,3,0)</f>
        <v>49</v>
      </c>
      <c r="E84" s="164">
        <v>0.78506375227686709</v>
      </c>
      <c r="F84">
        <v>94.7</v>
      </c>
    </row>
    <row r="85" spans="1:6">
      <c r="A85">
        <v>3017</v>
      </c>
      <c r="B85" t="s">
        <v>1056</v>
      </c>
      <c r="C85">
        <v>18.45</v>
      </c>
      <c r="D85">
        <f>VLOOKUP(A85,收盤價!A:C,3,0)</f>
        <v>32.799999999999997</v>
      </c>
      <c r="E85" s="164">
        <v>0.77777777777777768</v>
      </c>
      <c r="F85">
        <v>94.64</v>
      </c>
    </row>
    <row r="86" spans="1:6">
      <c r="A86">
        <v>3576</v>
      </c>
      <c r="B86" t="s">
        <v>1149</v>
      </c>
      <c r="C86">
        <v>14.75</v>
      </c>
      <c r="D86">
        <f>VLOOKUP(A86,收盤價!A:C,3,0)</f>
        <v>26.2</v>
      </c>
      <c r="E86" s="164">
        <v>0.77627118644067794</v>
      </c>
      <c r="F86">
        <v>94.57</v>
      </c>
    </row>
    <row r="87" spans="1:6">
      <c r="A87">
        <v>3452</v>
      </c>
      <c r="B87" t="s">
        <v>1519</v>
      </c>
      <c r="C87">
        <v>7.94</v>
      </c>
      <c r="D87">
        <f>VLOOKUP(A87,收盤價!A:C,3,0)</f>
        <v>14</v>
      </c>
      <c r="E87" s="164">
        <v>0.76322418136020143</v>
      </c>
      <c r="F87">
        <v>94.51</v>
      </c>
    </row>
    <row r="88" spans="1:6">
      <c r="A88">
        <v>3413</v>
      </c>
      <c r="B88" t="s">
        <v>1122</v>
      </c>
      <c r="C88">
        <v>44.1</v>
      </c>
      <c r="D88">
        <f>VLOOKUP(A88,收盤價!A:C,3,0)</f>
        <v>77.7</v>
      </c>
      <c r="E88" s="164">
        <v>0.76190476190476186</v>
      </c>
      <c r="F88">
        <v>94.45</v>
      </c>
    </row>
    <row r="89" spans="1:6">
      <c r="A89">
        <v>8121</v>
      </c>
      <c r="B89" t="s">
        <v>1806</v>
      </c>
      <c r="C89">
        <v>9.68</v>
      </c>
      <c r="D89">
        <f>VLOOKUP(A89,收盤價!A:C,3,0)</f>
        <v>17</v>
      </c>
      <c r="E89" s="164">
        <v>0.75619834710743805</v>
      </c>
      <c r="F89">
        <v>94.38</v>
      </c>
    </row>
    <row r="90" spans="1:6">
      <c r="A90">
        <v>1527</v>
      </c>
      <c r="B90" t="s">
        <v>661</v>
      </c>
      <c r="C90">
        <v>35.9</v>
      </c>
      <c r="D90">
        <f>VLOOKUP(A90,收盤價!A:C,3,0)</f>
        <v>63</v>
      </c>
      <c r="E90" s="164">
        <v>0.754874651810585</v>
      </c>
      <c r="F90">
        <v>94.32</v>
      </c>
    </row>
    <row r="91" spans="1:6">
      <c r="A91">
        <v>4736</v>
      </c>
      <c r="B91" t="s">
        <v>393</v>
      </c>
      <c r="C91">
        <v>64.5</v>
      </c>
      <c r="D91">
        <f>VLOOKUP(A91,收盤價!A:C,3,0)</f>
        <v>113</v>
      </c>
      <c r="E91" s="164">
        <v>0.75193798449612403</v>
      </c>
      <c r="F91">
        <v>94.26</v>
      </c>
    </row>
    <row r="92" spans="1:6">
      <c r="A92">
        <v>1789</v>
      </c>
      <c r="B92" t="s">
        <v>732</v>
      </c>
      <c r="C92">
        <v>32.15</v>
      </c>
      <c r="D92">
        <f>VLOOKUP(A92,收盤價!A:C,3,0)</f>
        <v>56.2</v>
      </c>
      <c r="E92" s="164">
        <v>0.74805598755832059</v>
      </c>
      <c r="F92">
        <v>94.2</v>
      </c>
    </row>
    <row r="93" spans="1:6">
      <c r="A93">
        <v>4111</v>
      </c>
      <c r="B93" t="s">
        <v>1565</v>
      </c>
      <c r="C93">
        <v>16.25</v>
      </c>
      <c r="D93">
        <f>VLOOKUP(A93,收盤價!A:C,3,0)</f>
        <v>28.4</v>
      </c>
      <c r="E93" s="164">
        <v>0.74769230769230766</v>
      </c>
      <c r="F93">
        <v>94.13</v>
      </c>
    </row>
    <row r="94" spans="1:6">
      <c r="A94">
        <v>6244</v>
      </c>
      <c r="B94" t="s">
        <v>482</v>
      </c>
      <c r="C94">
        <v>25.55</v>
      </c>
      <c r="D94">
        <f>VLOOKUP(A94,收盤價!A:C,3,0)</f>
        <v>44.65</v>
      </c>
      <c r="E94" s="164">
        <v>0.74755381604696658</v>
      </c>
      <c r="F94">
        <v>94.07</v>
      </c>
    </row>
    <row r="95" spans="1:6">
      <c r="A95">
        <v>6182</v>
      </c>
      <c r="B95" t="s">
        <v>465</v>
      </c>
      <c r="C95">
        <v>8.09</v>
      </c>
      <c r="D95">
        <f>VLOOKUP(A95,收盤價!A:C,3,0)</f>
        <v>14.1</v>
      </c>
      <c r="E95" s="164">
        <v>0.74289245982694685</v>
      </c>
      <c r="F95">
        <v>94.01</v>
      </c>
    </row>
    <row r="96" spans="1:6">
      <c r="A96">
        <v>8201</v>
      </c>
      <c r="B96" t="s">
        <v>1353</v>
      </c>
      <c r="C96">
        <v>5.51</v>
      </c>
      <c r="D96">
        <f>VLOOKUP(A96,收盤價!A:C,3,0)</f>
        <v>9.6</v>
      </c>
      <c r="E96" s="164">
        <v>0.74228675136116151</v>
      </c>
      <c r="F96">
        <v>93.94</v>
      </c>
    </row>
    <row r="97" spans="1:6">
      <c r="A97">
        <v>3038</v>
      </c>
      <c r="B97" t="s">
        <v>1076</v>
      </c>
      <c r="C97">
        <v>5.83</v>
      </c>
      <c r="D97">
        <f>VLOOKUP(A97,收盤價!A:C,3,0)</f>
        <v>10.15</v>
      </c>
      <c r="E97" s="164">
        <v>0.74099485420240141</v>
      </c>
      <c r="F97">
        <v>93.88</v>
      </c>
    </row>
    <row r="98" spans="1:6">
      <c r="A98">
        <v>3227</v>
      </c>
      <c r="B98" t="s">
        <v>302</v>
      </c>
      <c r="C98">
        <v>48.55</v>
      </c>
      <c r="D98">
        <f>VLOOKUP(A98,收盤價!A:C,3,0)</f>
        <v>84.5</v>
      </c>
      <c r="E98" s="164">
        <v>0.74047373841400632</v>
      </c>
      <c r="F98">
        <v>93.82</v>
      </c>
    </row>
    <row r="99" spans="1:6">
      <c r="A99">
        <v>6290</v>
      </c>
      <c r="B99" t="s">
        <v>1765</v>
      </c>
      <c r="C99">
        <v>17.850000000000001</v>
      </c>
      <c r="D99">
        <f>VLOOKUP(A99,收盤價!A:C,3,0)</f>
        <v>31</v>
      </c>
      <c r="E99" s="164">
        <v>0.73669467787114828</v>
      </c>
      <c r="F99">
        <v>93.75</v>
      </c>
    </row>
    <row r="100" spans="1:6">
      <c r="A100">
        <v>6114</v>
      </c>
      <c r="B100" t="s">
        <v>1862</v>
      </c>
      <c r="C100">
        <v>33.4</v>
      </c>
      <c r="D100">
        <f>VLOOKUP(A100,收盤價!A:C,3,0)</f>
        <v>58</v>
      </c>
      <c r="E100" s="164">
        <v>0.73652694610778446</v>
      </c>
      <c r="F100">
        <v>93.69</v>
      </c>
    </row>
    <row r="101" spans="1:6">
      <c r="A101">
        <v>3234</v>
      </c>
      <c r="B101" t="s">
        <v>305</v>
      </c>
      <c r="C101">
        <v>60.5</v>
      </c>
      <c r="D101">
        <f>VLOOKUP(A101,收盤價!A:C,3,0)</f>
        <v>105</v>
      </c>
      <c r="E101" s="164">
        <v>0.73553719008264462</v>
      </c>
      <c r="F101">
        <v>93.63</v>
      </c>
    </row>
    <row r="102" spans="1:6">
      <c r="A102">
        <v>2472</v>
      </c>
      <c r="B102" t="s">
        <v>1854</v>
      </c>
      <c r="C102">
        <v>18.350000000000001</v>
      </c>
      <c r="D102">
        <f>VLOOKUP(A102,收盤價!A:C,3,0)</f>
        <v>31.8</v>
      </c>
      <c r="E102" s="164">
        <v>0.73297002724795635</v>
      </c>
      <c r="F102">
        <v>93.56</v>
      </c>
    </row>
    <row r="103" spans="1:6">
      <c r="A103">
        <v>8436</v>
      </c>
      <c r="B103" t="s">
        <v>1832</v>
      </c>
      <c r="C103">
        <v>63.5</v>
      </c>
      <c r="D103">
        <f>VLOOKUP(A103,收盤價!A:C,3,0)</f>
        <v>110</v>
      </c>
      <c r="E103" s="164">
        <v>0.73228346456692917</v>
      </c>
      <c r="F103">
        <v>93.5</v>
      </c>
    </row>
    <row r="104" spans="1:6">
      <c r="A104">
        <v>3687</v>
      </c>
      <c r="B104" t="s">
        <v>361</v>
      </c>
      <c r="C104">
        <v>38.75</v>
      </c>
      <c r="D104">
        <f>VLOOKUP(A104,收盤價!A:C,3,0)</f>
        <v>67.099999999999994</v>
      </c>
      <c r="E104" s="164">
        <v>0.7316129032258063</v>
      </c>
      <c r="F104">
        <v>93.44</v>
      </c>
    </row>
    <row r="105" spans="1:6">
      <c r="A105">
        <v>8261</v>
      </c>
      <c r="B105" t="s">
        <v>1359</v>
      </c>
      <c r="C105">
        <v>16.649999999999999</v>
      </c>
      <c r="D105">
        <f>VLOOKUP(A105,收盤價!A:C,3,0)</f>
        <v>28.8</v>
      </c>
      <c r="E105" s="164">
        <v>0.72972972972972994</v>
      </c>
      <c r="F105">
        <v>93.38</v>
      </c>
    </row>
    <row r="106" spans="1:6">
      <c r="A106">
        <v>8215</v>
      </c>
      <c r="B106" t="s">
        <v>1356</v>
      </c>
      <c r="C106">
        <v>13.85</v>
      </c>
      <c r="D106">
        <f>VLOOKUP(A106,收盤價!A:C,3,0)</f>
        <v>23.9</v>
      </c>
      <c r="E106" s="164">
        <v>0.72563176895306858</v>
      </c>
      <c r="F106">
        <v>93.31</v>
      </c>
    </row>
    <row r="107" spans="1:6">
      <c r="A107">
        <v>2457</v>
      </c>
      <c r="B107" t="s">
        <v>905</v>
      </c>
      <c r="C107">
        <v>6.82</v>
      </c>
      <c r="D107">
        <f>VLOOKUP(A107,收盤價!A:C,3,0)</f>
        <v>11.75</v>
      </c>
      <c r="E107" s="164">
        <v>0.72287390029325505</v>
      </c>
      <c r="F107">
        <v>93.25</v>
      </c>
    </row>
    <row r="108" spans="1:6">
      <c r="A108">
        <v>2413</v>
      </c>
      <c r="B108" t="s">
        <v>870</v>
      </c>
      <c r="C108">
        <v>8.86</v>
      </c>
      <c r="D108">
        <f>VLOOKUP(A108,收盤價!A:C,3,0)</f>
        <v>15.2</v>
      </c>
      <c r="E108" s="164">
        <v>0.71557562076749437</v>
      </c>
      <c r="F108">
        <v>93.19</v>
      </c>
    </row>
    <row r="109" spans="1:6">
      <c r="A109">
        <v>6170</v>
      </c>
      <c r="B109" t="s">
        <v>461</v>
      </c>
      <c r="C109">
        <v>6.12</v>
      </c>
      <c r="D109">
        <f>VLOOKUP(A109,收盤價!A:C,3,0)</f>
        <v>10.45</v>
      </c>
      <c r="E109" s="164">
        <v>0.70751633986928086</v>
      </c>
      <c r="F109">
        <v>93.12</v>
      </c>
    </row>
    <row r="110" spans="1:6">
      <c r="A110">
        <v>6158</v>
      </c>
      <c r="B110" t="s">
        <v>458</v>
      </c>
      <c r="C110">
        <v>6.8</v>
      </c>
      <c r="D110">
        <f>VLOOKUP(A110,收盤價!A:C,3,0)</f>
        <v>11.6</v>
      </c>
      <c r="E110" s="164">
        <v>0.70588235294117652</v>
      </c>
      <c r="F110">
        <v>93.06</v>
      </c>
    </row>
    <row r="111" spans="1:6">
      <c r="A111">
        <v>4102</v>
      </c>
      <c r="B111" t="s">
        <v>1560</v>
      </c>
      <c r="C111">
        <v>15.9</v>
      </c>
      <c r="D111">
        <f>VLOOKUP(A111,收盤價!A:C,3,0)</f>
        <v>27</v>
      </c>
      <c r="E111" s="164">
        <v>0.69811320754716977</v>
      </c>
      <c r="F111">
        <v>93</v>
      </c>
    </row>
    <row r="112" spans="1:6">
      <c r="A112">
        <v>3376</v>
      </c>
      <c r="B112" t="s">
        <v>1118</v>
      </c>
      <c r="C112">
        <v>69.5</v>
      </c>
      <c r="D112">
        <f>VLOOKUP(A112,收盤價!A:C,3,0)</f>
        <v>118</v>
      </c>
      <c r="E112" s="164">
        <v>0.69784172661870503</v>
      </c>
      <c r="F112">
        <v>92.93</v>
      </c>
    </row>
    <row r="113" spans="1:6">
      <c r="A113">
        <v>4137</v>
      </c>
      <c r="B113" t="s">
        <v>1184</v>
      </c>
      <c r="C113">
        <v>201.5</v>
      </c>
      <c r="D113">
        <f>VLOOKUP(A113,收盤價!A:C,3,0)</f>
        <v>342</v>
      </c>
      <c r="E113" s="164">
        <v>0.69727047146401988</v>
      </c>
      <c r="F113">
        <v>92.87</v>
      </c>
    </row>
    <row r="114" spans="1:6">
      <c r="A114">
        <v>3580</v>
      </c>
      <c r="B114" t="s">
        <v>1542</v>
      </c>
      <c r="C114">
        <v>5.0999999999999996</v>
      </c>
      <c r="D114">
        <f>VLOOKUP(A114,收盤價!A:C,3,0)</f>
        <v>8.65</v>
      </c>
      <c r="E114" s="164">
        <v>0.69607843137254921</v>
      </c>
      <c r="F114">
        <v>92.81</v>
      </c>
    </row>
    <row r="115" spans="1:6">
      <c r="A115">
        <v>3508</v>
      </c>
      <c r="B115" t="s">
        <v>336</v>
      </c>
      <c r="C115">
        <v>9.0500000000000007</v>
      </c>
      <c r="D115">
        <f>VLOOKUP(A115,收盤價!A:C,3,0)</f>
        <v>15.3</v>
      </c>
      <c r="E115" s="164">
        <v>0.69060773480662974</v>
      </c>
      <c r="F115">
        <v>92.74</v>
      </c>
    </row>
    <row r="116" spans="1:6">
      <c r="A116">
        <v>3325</v>
      </c>
      <c r="B116" t="s">
        <v>1508</v>
      </c>
      <c r="C116">
        <v>11.3</v>
      </c>
      <c r="D116">
        <f>VLOOKUP(A116,收盤價!A:C,3,0)</f>
        <v>19.05</v>
      </c>
      <c r="E116" s="164">
        <v>0.68584070796460173</v>
      </c>
      <c r="F116">
        <v>92.68</v>
      </c>
    </row>
    <row r="117" spans="1:6">
      <c r="A117">
        <v>4157</v>
      </c>
      <c r="B117" t="s">
        <v>1576</v>
      </c>
      <c r="C117">
        <v>21.95</v>
      </c>
      <c r="D117">
        <f>VLOOKUP(A117,收盤價!A:C,3,0)</f>
        <v>37</v>
      </c>
      <c r="E117" s="164">
        <v>0.68564920273348529</v>
      </c>
      <c r="F117">
        <v>92.62</v>
      </c>
    </row>
    <row r="118" spans="1:6">
      <c r="A118">
        <v>5315</v>
      </c>
      <c r="B118" t="s">
        <v>1656</v>
      </c>
      <c r="C118">
        <v>13.6</v>
      </c>
      <c r="D118">
        <f>VLOOKUP(A118,收盤價!A:C,3,0)</f>
        <v>22.9</v>
      </c>
      <c r="E118" s="164">
        <v>0.68382352941176461</v>
      </c>
      <c r="F118">
        <v>92.56</v>
      </c>
    </row>
    <row r="119" spans="1:6">
      <c r="A119">
        <v>2425</v>
      </c>
      <c r="B119" t="s">
        <v>879</v>
      </c>
      <c r="C119">
        <v>12</v>
      </c>
      <c r="D119">
        <f>VLOOKUP(A119,收盤價!A:C,3,0)</f>
        <v>20.149999999999999</v>
      </c>
      <c r="E119" s="164">
        <v>0.67916666666666659</v>
      </c>
      <c r="F119">
        <v>92.49</v>
      </c>
    </row>
    <row r="120" spans="1:6">
      <c r="A120">
        <v>8049</v>
      </c>
      <c r="B120" t="s">
        <v>1785</v>
      </c>
      <c r="C120">
        <v>6.92</v>
      </c>
      <c r="D120">
        <f>VLOOKUP(A120,收盤價!A:C,3,0)</f>
        <v>11.6</v>
      </c>
      <c r="E120" s="164">
        <v>0.67630057803468202</v>
      </c>
      <c r="F120">
        <v>92.43</v>
      </c>
    </row>
    <row r="121" spans="1:6">
      <c r="A121">
        <v>4971</v>
      </c>
      <c r="B121" t="s">
        <v>1630</v>
      </c>
      <c r="C121">
        <v>71.2</v>
      </c>
      <c r="D121">
        <f>VLOOKUP(A121,收盤價!A:C,3,0)</f>
        <v>119</v>
      </c>
      <c r="E121" s="164">
        <v>0.67134831460674149</v>
      </c>
      <c r="F121">
        <v>92.37</v>
      </c>
    </row>
    <row r="122" spans="1:6">
      <c r="A122">
        <v>3105</v>
      </c>
      <c r="C122">
        <v>31.35</v>
      </c>
      <c r="D122">
        <f>VLOOKUP(A122,收盤價!A:C,3,0)</f>
        <v>52.2</v>
      </c>
      <c r="E122" s="164">
        <v>0.66507177033492826</v>
      </c>
      <c r="F122">
        <v>92.3</v>
      </c>
    </row>
    <row r="123" spans="1:6">
      <c r="A123">
        <v>2485</v>
      </c>
      <c r="B123" t="s">
        <v>927</v>
      </c>
      <c r="C123">
        <v>29.5</v>
      </c>
      <c r="D123">
        <f>VLOOKUP(A123,收盤價!A:C,3,0)</f>
        <v>49.1</v>
      </c>
      <c r="E123" s="164">
        <v>0.66440677966101702</v>
      </c>
      <c r="F123">
        <v>92.24</v>
      </c>
    </row>
    <row r="124" spans="1:6">
      <c r="A124">
        <v>6285</v>
      </c>
      <c r="B124" t="s">
        <v>1315</v>
      </c>
      <c r="C124">
        <v>55.2</v>
      </c>
      <c r="D124">
        <f>VLOOKUP(A124,收盤價!A:C,3,0)</f>
        <v>91.8</v>
      </c>
      <c r="E124" s="164">
        <v>0.6630434782608694</v>
      </c>
      <c r="F124">
        <v>92.18</v>
      </c>
    </row>
    <row r="125" spans="1:6">
      <c r="A125">
        <v>4164</v>
      </c>
      <c r="B125" t="s">
        <v>1188</v>
      </c>
      <c r="C125">
        <v>38.200000000000003</v>
      </c>
      <c r="D125">
        <f>VLOOKUP(A125,收盤價!A:C,3,0)</f>
        <v>63.5</v>
      </c>
      <c r="E125" s="164">
        <v>0.66230366492146586</v>
      </c>
      <c r="F125">
        <v>92.11</v>
      </c>
    </row>
    <row r="126" spans="1:6">
      <c r="A126">
        <v>6243</v>
      </c>
      <c r="B126" t="s">
        <v>1305</v>
      </c>
      <c r="C126">
        <v>10.9</v>
      </c>
      <c r="D126">
        <f>VLOOKUP(A126,收盤價!A:C,3,0)</f>
        <v>18.100000000000001</v>
      </c>
      <c r="E126" s="164">
        <v>0.66055045871559637</v>
      </c>
      <c r="F126">
        <v>92.05</v>
      </c>
    </row>
    <row r="127" spans="1:6">
      <c r="A127">
        <v>6142</v>
      </c>
      <c r="B127" t="s">
        <v>1271</v>
      </c>
      <c r="C127">
        <v>3.5</v>
      </c>
      <c r="D127">
        <f>VLOOKUP(A127,收盤價!A:C,3,0)</f>
        <v>5.8</v>
      </c>
      <c r="E127" s="164">
        <v>0.65714285714285714</v>
      </c>
      <c r="F127">
        <v>91.99</v>
      </c>
    </row>
    <row r="128" spans="1:6">
      <c r="A128">
        <v>3015</v>
      </c>
      <c r="B128" t="s">
        <v>1858</v>
      </c>
      <c r="C128">
        <v>13.8</v>
      </c>
      <c r="D128">
        <f>VLOOKUP(A128,收盤價!A:C,3,0)</f>
        <v>22.85</v>
      </c>
      <c r="E128" s="164">
        <v>0.65579710144927539</v>
      </c>
      <c r="F128">
        <v>91.92</v>
      </c>
    </row>
    <row r="129" spans="1:6">
      <c r="A129">
        <v>3406</v>
      </c>
      <c r="B129" t="s">
        <v>1121</v>
      </c>
      <c r="C129">
        <v>40.950000000000003</v>
      </c>
      <c r="D129">
        <f>VLOOKUP(A129,收盤價!A:C,3,0)</f>
        <v>67.8</v>
      </c>
      <c r="E129" s="164">
        <v>0.65567765567765546</v>
      </c>
      <c r="F129">
        <v>91.86</v>
      </c>
    </row>
    <row r="130" spans="1:6">
      <c r="A130">
        <v>3541</v>
      </c>
      <c r="B130" t="s">
        <v>1534</v>
      </c>
      <c r="C130">
        <v>42.4</v>
      </c>
      <c r="D130">
        <f>VLOOKUP(A130,收盤價!A:C,3,0)</f>
        <v>70.2</v>
      </c>
      <c r="E130" s="164">
        <v>0.6556603773584907</v>
      </c>
      <c r="F130">
        <v>91.8</v>
      </c>
    </row>
    <row r="131" spans="1:6">
      <c r="A131">
        <v>5478</v>
      </c>
      <c r="B131" t="s">
        <v>439</v>
      </c>
      <c r="C131">
        <v>38.6</v>
      </c>
      <c r="D131">
        <f>VLOOKUP(A131,收盤價!A:C,3,0)</f>
        <v>63.8</v>
      </c>
      <c r="E131" s="164">
        <v>0.65284974093264236</v>
      </c>
      <c r="F131">
        <v>91.74</v>
      </c>
    </row>
    <row r="132" spans="1:6">
      <c r="A132">
        <v>4142</v>
      </c>
      <c r="B132" t="s">
        <v>1186</v>
      </c>
      <c r="C132">
        <v>15.65</v>
      </c>
      <c r="D132">
        <f>VLOOKUP(A132,收盤價!A:C,3,0)</f>
        <v>25.85</v>
      </c>
      <c r="E132" s="164">
        <v>0.65175718849840258</v>
      </c>
      <c r="F132">
        <v>91.67</v>
      </c>
    </row>
    <row r="133" spans="1:6">
      <c r="A133">
        <v>3596</v>
      </c>
      <c r="B133" t="s">
        <v>1156</v>
      </c>
      <c r="C133">
        <v>19.2</v>
      </c>
      <c r="D133">
        <f>VLOOKUP(A133,收盤價!A:C,3,0)</f>
        <v>31.7</v>
      </c>
      <c r="E133" s="164">
        <v>0.65104166666666674</v>
      </c>
      <c r="F133">
        <v>91.61</v>
      </c>
    </row>
    <row r="134" spans="1:6">
      <c r="A134">
        <v>3221</v>
      </c>
      <c r="B134" t="s">
        <v>1491</v>
      </c>
      <c r="C134">
        <v>11.15</v>
      </c>
      <c r="D134">
        <f>VLOOKUP(A134,收盤價!A:C,3,0)</f>
        <v>18.399999999999999</v>
      </c>
      <c r="E134" s="164">
        <v>0.65022421524663654</v>
      </c>
      <c r="F134">
        <v>91.55</v>
      </c>
    </row>
    <row r="135" spans="1:6">
      <c r="A135">
        <v>4743</v>
      </c>
      <c r="B135" t="s">
        <v>1617</v>
      </c>
      <c r="C135">
        <v>25.5</v>
      </c>
      <c r="D135">
        <f>VLOOKUP(A135,收盤價!A:C,3,0)</f>
        <v>42.05</v>
      </c>
      <c r="E135" s="164">
        <v>0.64901960784313717</v>
      </c>
      <c r="F135">
        <v>91.48</v>
      </c>
    </row>
    <row r="136" spans="1:6">
      <c r="A136">
        <v>3094</v>
      </c>
      <c r="B136" t="s">
        <v>1099</v>
      </c>
      <c r="C136">
        <v>16.850000000000001</v>
      </c>
      <c r="D136">
        <f>VLOOKUP(A136,收盤價!A:C,3,0)</f>
        <v>27.75</v>
      </c>
      <c r="E136" s="164">
        <v>0.64688427299703255</v>
      </c>
      <c r="F136">
        <v>91.42</v>
      </c>
    </row>
    <row r="137" spans="1:6">
      <c r="A137">
        <v>8341</v>
      </c>
      <c r="B137" t="s">
        <v>1361</v>
      </c>
      <c r="C137">
        <v>80.2</v>
      </c>
      <c r="D137">
        <f>VLOOKUP(A137,收盤價!A:C,3,0)</f>
        <v>132</v>
      </c>
      <c r="E137" s="164">
        <v>0.64588528678304236</v>
      </c>
      <c r="F137">
        <v>91.36</v>
      </c>
    </row>
    <row r="138" spans="1:6">
      <c r="A138">
        <v>3373</v>
      </c>
      <c r="B138" t="s">
        <v>324</v>
      </c>
      <c r="C138">
        <v>16.899999999999999</v>
      </c>
      <c r="D138">
        <f>VLOOKUP(A138,收盤價!A:C,3,0)</f>
        <v>27.6</v>
      </c>
      <c r="E138" s="164">
        <v>0.63313609467455645</v>
      </c>
      <c r="F138">
        <v>91.29</v>
      </c>
    </row>
    <row r="139" spans="1:6">
      <c r="A139">
        <v>3532</v>
      </c>
      <c r="B139" t="s">
        <v>1139</v>
      </c>
      <c r="C139">
        <v>24.65</v>
      </c>
      <c r="D139">
        <f>VLOOKUP(A139,收盤價!A:C,3,0)</f>
        <v>40.25</v>
      </c>
      <c r="E139" s="164">
        <v>0.63286004056795142</v>
      </c>
      <c r="F139">
        <v>91.23</v>
      </c>
    </row>
    <row r="140" spans="1:6">
      <c r="A140">
        <v>3380</v>
      </c>
      <c r="B140" t="s">
        <v>1119</v>
      </c>
      <c r="C140">
        <v>10.9</v>
      </c>
      <c r="D140">
        <f>VLOOKUP(A140,收盤價!A:C,3,0)</f>
        <v>17.75</v>
      </c>
      <c r="E140" s="164">
        <v>0.62844036697247696</v>
      </c>
      <c r="F140">
        <v>91.17</v>
      </c>
    </row>
    <row r="141" spans="1:6">
      <c r="A141">
        <v>6104</v>
      </c>
      <c r="B141" t="s">
        <v>1708</v>
      </c>
      <c r="C141">
        <v>28.9</v>
      </c>
      <c r="D141">
        <f>VLOOKUP(A141,收盤價!A:C,3,0)</f>
        <v>47.05</v>
      </c>
      <c r="E141" s="164">
        <v>0.62802768166089962</v>
      </c>
      <c r="F141">
        <v>91.1</v>
      </c>
    </row>
    <row r="142" spans="1:6">
      <c r="A142">
        <v>6457</v>
      </c>
      <c r="B142" t="s">
        <v>1772</v>
      </c>
      <c r="C142">
        <v>27.75</v>
      </c>
      <c r="D142">
        <f>VLOOKUP(A142,收盤價!A:C,3,0)</f>
        <v>45.1</v>
      </c>
      <c r="E142" s="164">
        <v>0.62522522522522528</v>
      </c>
      <c r="F142">
        <v>91.04</v>
      </c>
    </row>
    <row r="143" spans="1:6">
      <c r="A143">
        <v>4426</v>
      </c>
      <c r="B143" t="s">
        <v>1191</v>
      </c>
      <c r="C143">
        <v>110.5</v>
      </c>
      <c r="D143">
        <f>VLOOKUP(A143,收盤價!A:C,3,0)</f>
        <v>179.5</v>
      </c>
      <c r="E143" s="164">
        <v>0.6244343891402715</v>
      </c>
      <c r="F143">
        <v>90.98</v>
      </c>
    </row>
    <row r="144" spans="1:6">
      <c r="A144">
        <v>8080</v>
      </c>
      <c r="B144" t="s">
        <v>505</v>
      </c>
      <c r="C144">
        <v>8.35</v>
      </c>
      <c r="D144">
        <f>VLOOKUP(A144,收盤價!A:C,3,0)</f>
        <v>13.55</v>
      </c>
      <c r="E144" s="164">
        <v>0.62275449101796421</v>
      </c>
      <c r="F144">
        <v>90.91</v>
      </c>
    </row>
    <row r="145" spans="1:6">
      <c r="A145">
        <v>3032</v>
      </c>
      <c r="B145" t="s">
        <v>1070</v>
      </c>
      <c r="C145">
        <v>13.95</v>
      </c>
      <c r="D145">
        <f>VLOOKUP(A145,收盤價!A:C,3,0)</f>
        <v>22.6</v>
      </c>
      <c r="E145" s="164">
        <v>0.62007168458781381</v>
      </c>
      <c r="F145">
        <v>90.85</v>
      </c>
    </row>
    <row r="146" spans="1:6">
      <c r="A146">
        <v>1762</v>
      </c>
      <c r="B146" t="s">
        <v>728</v>
      </c>
      <c r="C146">
        <v>25.65</v>
      </c>
      <c r="D146">
        <f>VLOOKUP(A146,收盤價!A:C,3,0)</f>
        <v>41.5</v>
      </c>
      <c r="E146" s="164">
        <v>0.61793372319688122</v>
      </c>
      <c r="F146">
        <v>90.79</v>
      </c>
    </row>
    <row r="147" spans="1:6">
      <c r="A147">
        <v>3693</v>
      </c>
      <c r="B147" t="s">
        <v>362</v>
      </c>
      <c r="C147">
        <v>83.5</v>
      </c>
      <c r="D147">
        <f>VLOOKUP(A147,收盤價!A:C,3,0)</f>
        <v>135</v>
      </c>
      <c r="E147" s="164">
        <v>0.61676646706586824</v>
      </c>
      <c r="F147">
        <v>90.73</v>
      </c>
    </row>
    <row r="148" spans="1:6">
      <c r="A148">
        <v>3236</v>
      </c>
      <c r="B148" t="s">
        <v>306</v>
      </c>
      <c r="C148">
        <v>8.2100000000000009</v>
      </c>
      <c r="D148">
        <f>VLOOKUP(A148,收盤價!A:C,3,0)</f>
        <v>13.25</v>
      </c>
      <c r="E148" s="164">
        <v>0.61388550548112042</v>
      </c>
      <c r="F148">
        <v>90.66</v>
      </c>
    </row>
    <row r="149" spans="1:6">
      <c r="A149">
        <v>3055</v>
      </c>
      <c r="B149" t="s">
        <v>1091</v>
      </c>
      <c r="C149">
        <v>10.199999999999999</v>
      </c>
      <c r="D149">
        <f>VLOOKUP(A149,收盤價!A:C,3,0)</f>
        <v>16.45</v>
      </c>
      <c r="E149" s="164">
        <v>0.61274509803921573</v>
      </c>
      <c r="F149">
        <v>90.6</v>
      </c>
    </row>
    <row r="150" spans="1:6">
      <c r="A150">
        <v>3086</v>
      </c>
      <c r="B150" t="s">
        <v>1473</v>
      </c>
      <c r="C150">
        <v>7.76</v>
      </c>
      <c r="D150">
        <f>VLOOKUP(A150,收盤價!A:C,3,0)</f>
        <v>12.5</v>
      </c>
      <c r="E150" s="164">
        <v>0.61082474226804129</v>
      </c>
      <c r="F150">
        <v>90.54</v>
      </c>
    </row>
    <row r="151" spans="1:6">
      <c r="A151">
        <v>1720</v>
      </c>
      <c r="B151" t="s">
        <v>711</v>
      </c>
      <c r="C151">
        <v>25.1</v>
      </c>
      <c r="D151">
        <f>VLOOKUP(A151,收盤價!A:C,3,0)</f>
        <v>40.4</v>
      </c>
      <c r="E151" s="164">
        <v>0.60956175298804771</v>
      </c>
      <c r="F151">
        <v>90.47</v>
      </c>
    </row>
    <row r="152" spans="1:6">
      <c r="A152">
        <v>4721</v>
      </c>
      <c r="B152" t="s">
        <v>390</v>
      </c>
      <c r="C152">
        <v>16.600000000000001</v>
      </c>
      <c r="D152">
        <f>VLOOKUP(A152,收盤價!A:C,3,0)</f>
        <v>26.7</v>
      </c>
      <c r="E152" s="164">
        <v>0.60843373493975883</v>
      </c>
      <c r="F152">
        <v>90.41</v>
      </c>
    </row>
    <row r="153" spans="1:6">
      <c r="A153">
        <v>4952</v>
      </c>
      <c r="B153" t="s">
        <v>1216</v>
      </c>
      <c r="C153">
        <v>27.15</v>
      </c>
      <c r="D153">
        <f>VLOOKUP(A153,收盤價!A:C,3,0)</f>
        <v>43.65</v>
      </c>
      <c r="E153" s="164">
        <v>0.60773480662983426</v>
      </c>
      <c r="F153">
        <v>90.35</v>
      </c>
    </row>
    <row r="154" spans="1:6">
      <c r="A154">
        <v>3691</v>
      </c>
      <c r="B154" t="s">
        <v>1559</v>
      </c>
      <c r="C154">
        <v>438</v>
      </c>
      <c r="D154">
        <f>VLOOKUP(A154,收盤價!A:C,3,0)</f>
        <v>702</v>
      </c>
      <c r="E154" s="164">
        <v>0.60273972602739723</v>
      </c>
      <c r="F154">
        <v>90.28</v>
      </c>
    </row>
    <row r="155" spans="1:6">
      <c r="A155">
        <v>2388</v>
      </c>
      <c r="B155" t="s">
        <v>855</v>
      </c>
      <c r="C155">
        <v>5</v>
      </c>
      <c r="D155">
        <f>VLOOKUP(A155,收盤價!A:C,3,0)</f>
        <v>8</v>
      </c>
      <c r="E155" s="164">
        <v>0.6</v>
      </c>
      <c r="F155">
        <v>90.22</v>
      </c>
    </row>
    <row r="156" spans="1:6">
      <c r="A156">
        <v>5215</v>
      </c>
      <c r="B156" t="s">
        <v>1227</v>
      </c>
      <c r="C156">
        <v>26.65</v>
      </c>
      <c r="D156">
        <f>VLOOKUP(A156,收盤價!A:C,3,0)</f>
        <v>42.6</v>
      </c>
      <c r="E156" s="164">
        <v>0.59849906191369617</v>
      </c>
      <c r="F156">
        <v>90.16</v>
      </c>
    </row>
    <row r="157" spans="1:6">
      <c r="A157">
        <v>3224</v>
      </c>
      <c r="B157" t="s">
        <v>1492</v>
      </c>
      <c r="C157">
        <v>24.85</v>
      </c>
      <c r="D157">
        <f>VLOOKUP(A157,收盤價!A:C,3,0)</f>
        <v>39.700000000000003</v>
      </c>
      <c r="E157" s="164">
        <v>0.59758551307847085</v>
      </c>
      <c r="F157">
        <v>90.09</v>
      </c>
    </row>
    <row r="158" spans="1:6">
      <c r="A158">
        <v>5263</v>
      </c>
      <c r="B158" t="s">
        <v>1646</v>
      </c>
      <c r="C158">
        <v>211.5</v>
      </c>
      <c r="D158">
        <f>VLOOKUP(A158,收盤價!A:C,3,0)</f>
        <v>337</v>
      </c>
      <c r="E158" s="164">
        <v>0.59338061465721037</v>
      </c>
      <c r="F158">
        <v>90.03</v>
      </c>
    </row>
    <row r="159" spans="1:6">
      <c r="A159">
        <v>4129</v>
      </c>
      <c r="B159" t="s">
        <v>1571</v>
      </c>
      <c r="C159">
        <v>47.25</v>
      </c>
      <c r="D159">
        <f>VLOOKUP(A159,收盤價!A:C,3,0)</f>
        <v>75.2</v>
      </c>
      <c r="E159" s="164">
        <v>0.59153439153439158</v>
      </c>
      <c r="F159">
        <v>89.97</v>
      </c>
    </row>
    <row r="160" spans="1:6">
      <c r="A160">
        <v>2431</v>
      </c>
      <c r="B160" t="s">
        <v>885</v>
      </c>
      <c r="C160">
        <v>10.15</v>
      </c>
      <c r="D160">
        <f>VLOOKUP(A160,收盤價!A:C,3,0)</f>
        <v>16.149999999999999</v>
      </c>
      <c r="E160" s="164">
        <v>0.59113300492610821</v>
      </c>
      <c r="F160">
        <v>89.91</v>
      </c>
    </row>
    <row r="161" spans="1:6">
      <c r="A161">
        <v>3546</v>
      </c>
      <c r="B161" t="s">
        <v>1535</v>
      </c>
      <c r="C161">
        <v>20</v>
      </c>
      <c r="D161">
        <f>VLOOKUP(A161,收盤價!A:C,3,0)</f>
        <v>31.8</v>
      </c>
      <c r="E161" s="164">
        <v>0.59000000000000008</v>
      </c>
      <c r="F161">
        <v>89.84</v>
      </c>
    </row>
    <row r="162" spans="1:6">
      <c r="A162">
        <v>5490</v>
      </c>
      <c r="B162" t="s">
        <v>441</v>
      </c>
      <c r="C162">
        <v>54.6</v>
      </c>
      <c r="D162">
        <f>VLOOKUP(A162,收盤價!A:C,3,0)</f>
        <v>86.8</v>
      </c>
      <c r="E162" s="164">
        <v>0.58974358974358965</v>
      </c>
      <c r="F162">
        <v>89.78</v>
      </c>
    </row>
    <row r="163" spans="1:6">
      <c r="A163">
        <v>3041</v>
      </c>
      <c r="B163" t="s">
        <v>1078</v>
      </c>
      <c r="C163">
        <v>11.4</v>
      </c>
      <c r="D163">
        <f>VLOOKUP(A163,收盤價!A:C,3,0)</f>
        <v>18.100000000000001</v>
      </c>
      <c r="E163" s="164">
        <v>0.58771929824561409</v>
      </c>
      <c r="F163">
        <v>89.72</v>
      </c>
    </row>
    <row r="164" spans="1:6">
      <c r="A164">
        <v>4402</v>
      </c>
      <c r="B164" t="s">
        <v>378</v>
      </c>
      <c r="C164">
        <v>3.56</v>
      </c>
      <c r="D164">
        <f>VLOOKUP(A164,收盤價!A:C,3,0)</f>
        <v>5.65</v>
      </c>
      <c r="E164" s="164">
        <v>0.5870786516853933</v>
      </c>
      <c r="F164">
        <v>89.65</v>
      </c>
    </row>
    <row r="165" spans="1:6">
      <c r="A165">
        <v>2499</v>
      </c>
      <c r="B165" t="s">
        <v>938</v>
      </c>
      <c r="C165">
        <v>12.7</v>
      </c>
      <c r="D165">
        <f>VLOOKUP(A165,收盤價!A:C,3,0)</f>
        <v>20.149999999999999</v>
      </c>
      <c r="E165" s="164">
        <v>0.58661417322834641</v>
      </c>
      <c r="F165">
        <v>89.59</v>
      </c>
    </row>
    <row r="166" spans="1:6">
      <c r="A166">
        <v>3272</v>
      </c>
      <c r="B166" t="s">
        <v>310</v>
      </c>
      <c r="C166">
        <v>43.75</v>
      </c>
      <c r="D166">
        <f>VLOOKUP(A166,收盤價!A:C,3,0)</f>
        <v>69.3</v>
      </c>
      <c r="E166" s="164">
        <v>0.58399999999999996</v>
      </c>
      <c r="F166">
        <v>89.53</v>
      </c>
    </row>
    <row r="167" spans="1:6">
      <c r="A167">
        <v>3520</v>
      </c>
      <c r="B167" t="s">
        <v>1527</v>
      </c>
      <c r="C167">
        <v>72</v>
      </c>
      <c r="D167">
        <f>VLOOKUP(A167,收盤價!A:C,3,0)</f>
        <v>114</v>
      </c>
      <c r="E167" s="164">
        <v>0.58333333333333337</v>
      </c>
      <c r="F167">
        <v>89.46</v>
      </c>
    </row>
    <row r="168" spans="1:6">
      <c r="A168">
        <v>8086</v>
      </c>
      <c r="B168" t="s">
        <v>1797</v>
      </c>
      <c r="C168">
        <v>62.5</v>
      </c>
      <c r="D168">
        <f>VLOOKUP(A168,收盤價!A:C,3,0)</f>
        <v>98.9</v>
      </c>
      <c r="E168" s="164">
        <v>0.58240000000000014</v>
      </c>
      <c r="F168">
        <v>89.4</v>
      </c>
    </row>
    <row r="169" spans="1:6">
      <c r="A169">
        <v>8404</v>
      </c>
      <c r="B169" t="s">
        <v>1363</v>
      </c>
      <c r="C169">
        <v>21.7</v>
      </c>
      <c r="D169">
        <f>VLOOKUP(A169,收盤價!A:C,3,0)</f>
        <v>34.299999999999997</v>
      </c>
      <c r="E169" s="164">
        <v>0.58064516129032251</v>
      </c>
      <c r="F169">
        <v>89.34</v>
      </c>
    </row>
    <row r="170" spans="1:6">
      <c r="A170">
        <v>1525</v>
      </c>
      <c r="B170" t="s">
        <v>659</v>
      </c>
      <c r="C170">
        <v>56.4</v>
      </c>
      <c r="D170">
        <f>VLOOKUP(A170,收盤價!A:C,3,0)</f>
        <v>89.1</v>
      </c>
      <c r="E170" s="164">
        <v>0.57978723404255317</v>
      </c>
      <c r="F170">
        <v>89.27</v>
      </c>
    </row>
    <row r="171" spans="1:6">
      <c r="A171">
        <v>4163</v>
      </c>
      <c r="B171" t="s">
        <v>1579</v>
      </c>
      <c r="C171">
        <v>84.9</v>
      </c>
      <c r="D171">
        <f>VLOOKUP(A171,收盤價!A:C,3,0)</f>
        <v>134</v>
      </c>
      <c r="E171" s="164">
        <v>0.57832744405182557</v>
      </c>
      <c r="F171">
        <v>89.21</v>
      </c>
    </row>
    <row r="172" spans="1:6">
      <c r="A172">
        <v>1586</v>
      </c>
      <c r="B172" t="s">
        <v>1442</v>
      </c>
      <c r="C172">
        <v>19.850000000000001</v>
      </c>
      <c r="D172">
        <f>VLOOKUP(A172,收盤價!A:C,3,0)</f>
        <v>31.3</v>
      </c>
      <c r="E172" s="164">
        <v>0.5768261964735516</v>
      </c>
      <c r="F172">
        <v>89.15</v>
      </c>
    </row>
    <row r="173" spans="1:6">
      <c r="A173">
        <v>3625</v>
      </c>
      <c r="B173" t="s">
        <v>354</v>
      </c>
      <c r="C173">
        <v>6.48</v>
      </c>
      <c r="D173">
        <f>VLOOKUP(A173,收盤價!A:C,3,0)</f>
        <v>10.199999999999999</v>
      </c>
      <c r="E173" s="164">
        <v>0.57407407407407385</v>
      </c>
      <c r="F173">
        <v>89.09</v>
      </c>
    </row>
    <row r="174" spans="1:6">
      <c r="A174">
        <v>5225</v>
      </c>
      <c r="B174" t="s">
        <v>1228</v>
      </c>
      <c r="C174">
        <v>33.5</v>
      </c>
      <c r="D174">
        <f>VLOOKUP(A174,收盤價!A:C,3,0)</f>
        <v>52.7</v>
      </c>
      <c r="E174" s="164">
        <v>0.57313432835820899</v>
      </c>
      <c r="F174">
        <v>89.02</v>
      </c>
    </row>
    <row r="175" spans="1:6">
      <c r="A175">
        <v>6609</v>
      </c>
      <c r="B175" t="s">
        <v>498</v>
      </c>
      <c r="C175">
        <v>18.2</v>
      </c>
      <c r="D175">
        <f>VLOOKUP(A175,收盤價!A:C,3,0)</f>
        <v>28.6</v>
      </c>
      <c r="E175" s="164">
        <v>0.57142857142857162</v>
      </c>
      <c r="F175">
        <v>88.96</v>
      </c>
    </row>
    <row r="176" spans="1:6">
      <c r="A176">
        <v>8046</v>
      </c>
      <c r="B176" t="s">
        <v>1340</v>
      </c>
      <c r="C176">
        <v>21.8</v>
      </c>
      <c r="D176">
        <f>VLOOKUP(A176,收盤價!A:C,3,0)</f>
        <v>34.200000000000003</v>
      </c>
      <c r="E176" s="164">
        <v>0.56880733944954132</v>
      </c>
      <c r="F176">
        <v>88.9</v>
      </c>
    </row>
    <row r="177" spans="1:6">
      <c r="A177">
        <v>1524</v>
      </c>
      <c r="B177" t="s">
        <v>658</v>
      </c>
      <c r="C177">
        <v>4.37</v>
      </c>
      <c r="D177">
        <f>VLOOKUP(A177,收盤價!A:C,3,0)</f>
        <v>6.85</v>
      </c>
      <c r="E177" s="164">
        <v>0.56750572082379847</v>
      </c>
      <c r="F177">
        <v>88.83</v>
      </c>
    </row>
    <row r="178" spans="1:6">
      <c r="A178">
        <v>6509</v>
      </c>
      <c r="B178" t="s">
        <v>496</v>
      </c>
      <c r="C178">
        <v>14.4</v>
      </c>
      <c r="D178">
        <f>VLOOKUP(A178,收盤價!A:C,3,0)</f>
        <v>22.5</v>
      </c>
      <c r="E178" s="164">
        <v>0.5625</v>
      </c>
      <c r="F178">
        <v>88.77</v>
      </c>
    </row>
    <row r="179" spans="1:6">
      <c r="A179">
        <v>1799</v>
      </c>
      <c r="B179" t="s">
        <v>1859</v>
      </c>
      <c r="C179">
        <v>23.25</v>
      </c>
      <c r="D179">
        <f>VLOOKUP(A179,收盤價!A:C,3,0)</f>
        <v>36.299999999999997</v>
      </c>
      <c r="E179" s="164">
        <v>0.56129032258064504</v>
      </c>
      <c r="F179">
        <v>88.71</v>
      </c>
    </row>
    <row r="180" spans="1:6">
      <c r="A180">
        <v>3499</v>
      </c>
      <c r="B180" t="s">
        <v>335</v>
      </c>
      <c r="C180">
        <v>15.15</v>
      </c>
      <c r="D180">
        <f>VLOOKUP(A180,收盤價!A:C,3,0)</f>
        <v>23.65</v>
      </c>
      <c r="E180" s="164">
        <v>0.56105610561056096</v>
      </c>
      <c r="F180">
        <v>88.64</v>
      </c>
    </row>
    <row r="181" spans="1:6">
      <c r="A181">
        <v>3535</v>
      </c>
      <c r="B181" t="s">
        <v>1141</v>
      </c>
      <c r="C181">
        <v>6.03</v>
      </c>
      <c r="D181">
        <f>VLOOKUP(A181,收盤價!A:C,3,0)</f>
        <v>9.41</v>
      </c>
      <c r="E181" s="164">
        <v>0.56053067993366501</v>
      </c>
      <c r="F181">
        <v>88.58</v>
      </c>
    </row>
    <row r="182" spans="1:6">
      <c r="A182">
        <v>5425</v>
      </c>
      <c r="B182" t="s">
        <v>430</v>
      </c>
      <c r="C182">
        <v>21.15</v>
      </c>
      <c r="D182">
        <f>VLOOKUP(A182,收盤價!A:C,3,0)</f>
        <v>33</v>
      </c>
      <c r="E182" s="164">
        <v>0.56028368794326255</v>
      </c>
      <c r="F182">
        <v>88.52</v>
      </c>
    </row>
    <row r="183" spans="1:6">
      <c r="A183">
        <v>5474</v>
      </c>
      <c r="B183" t="s">
        <v>1677</v>
      </c>
      <c r="C183">
        <v>46.8</v>
      </c>
      <c r="D183">
        <f>VLOOKUP(A183,收盤價!A:C,3,0)</f>
        <v>73</v>
      </c>
      <c r="E183" s="164">
        <v>0.55982905982905995</v>
      </c>
      <c r="F183">
        <v>88.45</v>
      </c>
    </row>
    <row r="184" spans="1:6">
      <c r="A184">
        <v>4154</v>
      </c>
      <c r="B184" t="s">
        <v>1575</v>
      </c>
      <c r="C184">
        <v>15.75</v>
      </c>
      <c r="D184">
        <f>VLOOKUP(A184,收盤價!A:C,3,0)</f>
        <v>24.55</v>
      </c>
      <c r="E184" s="164">
        <v>0.55873015873015874</v>
      </c>
      <c r="F184">
        <v>88.39</v>
      </c>
    </row>
    <row r="185" spans="1:6">
      <c r="A185">
        <v>4171</v>
      </c>
      <c r="B185" t="s">
        <v>1580</v>
      </c>
      <c r="C185">
        <v>24.6</v>
      </c>
      <c r="D185">
        <f>VLOOKUP(A185,收盤價!A:C,3,0)</f>
        <v>38.299999999999997</v>
      </c>
      <c r="E185" s="164">
        <v>0.55691056910569081</v>
      </c>
      <c r="F185">
        <v>88.33</v>
      </c>
    </row>
    <row r="186" spans="1:6">
      <c r="A186">
        <v>6233</v>
      </c>
      <c r="B186" t="s">
        <v>1752</v>
      </c>
      <c r="C186">
        <v>9.4499999999999993</v>
      </c>
      <c r="D186">
        <f>VLOOKUP(A186,收盤價!A:C,3,0)</f>
        <v>14.7</v>
      </c>
      <c r="E186" s="164">
        <v>0.55555555555555558</v>
      </c>
      <c r="F186">
        <v>88.26</v>
      </c>
    </row>
    <row r="187" spans="1:6">
      <c r="A187">
        <v>8210</v>
      </c>
      <c r="B187" t="s">
        <v>1354</v>
      </c>
      <c r="C187">
        <v>27.45</v>
      </c>
      <c r="D187">
        <f>VLOOKUP(A187,收盤價!A:C,3,0)</f>
        <v>42.65</v>
      </c>
      <c r="E187" s="164">
        <v>0.55373406193078323</v>
      </c>
      <c r="F187">
        <v>88.2</v>
      </c>
    </row>
    <row r="188" spans="1:6">
      <c r="A188">
        <v>8096</v>
      </c>
      <c r="B188" t="s">
        <v>1801</v>
      </c>
      <c r="C188">
        <v>14.2</v>
      </c>
      <c r="D188">
        <f>VLOOKUP(A188,收盤價!A:C,3,0)</f>
        <v>22.05</v>
      </c>
      <c r="E188" s="164">
        <v>0.55281690140845086</v>
      </c>
      <c r="F188">
        <v>88.14</v>
      </c>
    </row>
    <row r="189" spans="1:6">
      <c r="A189">
        <v>3483</v>
      </c>
      <c r="B189" t="s">
        <v>331</v>
      </c>
      <c r="C189">
        <v>8.8000000000000007</v>
      </c>
      <c r="D189">
        <f>VLOOKUP(A189,收盤價!A:C,3,0)</f>
        <v>13.65</v>
      </c>
      <c r="E189" s="164">
        <v>0.55113636363636354</v>
      </c>
      <c r="F189">
        <v>88.08</v>
      </c>
    </row>
    <row r="190" spans="1:6">
      <c r="A190">
        <v>3434</v>
      </c>
      <c r="B190" t="s">
        <v>328</v>
      </c>
      <c r="C190">
        <v>8.1300000000000008</v>
      </c>
      <c r="D190">
        <f>VLOOKUP(A190,收盤價!A:C,3,0)</f>
        <v>12.6</v>
      </c>
      <c r="E190" s="164">
        <v>0.54981549815498132</v>
      </c>
      <c r="F190">
        <v>88.01</v>
      </c>
    </row>
    <row r="191" spans="1:6">
      <c r="A191">
        <v>3293</v>
      </c>
      <c r="B191" t="s">
        <v>1502</v>
      </c>
      <c r="C191">
        <v>61.2</v>
      </c>
      <c r="D191">
        <f>VLOOKUP(A191,收盤價!A:C,3,0)</f>
        <v>94.8</v>
      </c>
      <c r="E191" s="164">
        <v>0.54901960784313719</v>
      </c>
      <c r="F191">
        <v>87.95</v>
      </c>
    </row>
    <row r="192" spans="1:6">
      <c r="A192">
        <v>2436</v>
      </c>
      <c r="B192" t="s">
        <v>888</v>
      </c>
      <c r="C192">
        <v>13.75</v>
      </c>
      <c r="D192">
        <f>VLOOKUP(A192,收盤價!A:C,3,0)</f>
        <v>21.25</v>
      </c>
      <c r="E192" s="164">
        <v>0.54545454545454541</v>
      </c>
      <c r="F192">
        <v>87.89</v>
      </c>
    </row>
    <row r="193" spans="1:6">
      <c r="A193">
        <v>9136</v>
      </c>
      <c r="B193" t="s">
        <v>1393</v>
      </c>
      <c r="C193">
        <v>11.1</v>
      </c>
      <c r="D193">
        <f>VLOOKUP(A193,收盤價!A:C,3,0)</f>
        <v>17.149999999999999</v>
      </c>
      <c r="E193" s="164">
        <v>0.54504504504504492</v>
      </c>
      <c r="F193">
        <v>87.82</v>
      </c>
    </row>
    <row r="194" spans="1:6">
      <c r="A194">
        <v>3164</v>
      </c>
      <c r="B194" t="s">
        <v>1102</v>
      </c>
      <c r="C194">
        <v>18.5</v>
      </c>
      <c r="D194">
        <f>VLOOKUP(A194,收盤價!A:C,3,0)</f>
        <v>28.5</v>
      </c>
      <c r="E194" s="164">
        <v>0.54054054054054057</v>
      </c>
      <c r="F194">
        <v>87.76</v>
      </c>
    </row>
    <row r="195" spans="1:6">
      <c r="A195">
        <v>8924</v>
      </c>
      <c r="B195" t="s">
        <v>1839</v>
      </c>
      <c r="C195">
        <v>12.95</v>
      </c>
      <c r="D195">
        <f>VLOOKUP(A195,收盤價!A:C,3,0)</f>
        <v>19.899999999999999</v>
      </c>
      <c r="E195" s="164">
        <v>0.53667953667953661</v>
      </c>
      <c r="F195">
        <v>87.7</v>
      </c>
    </row>
    <row r="196" spans="1:6">
      <c r="A196">
        <v>6414</v>
      </c>
      <c r="B196" t="s">
        <v>1321</v>
      </c>
      <c r="C196">
        <v>234.5</v>
      </c>
      <c r="D196">
        <f>VLOOKUP(A196,收盤價!A:C,3,0)</f>
        <v>360</v>
      </c>
      <c r="E196" s="164">
        <v>0.53518123667377404</v>
      </c>
      <c r="F196">
        <v>87.63</v>
      </c>
    </row>
    <row r="197" spans="1:6">
      <c r="A197">
        <v>3047</v>
      </c>
      <c r="B197" t="s">
        <v>1084</v>
      </c>
      <c r="C197">
        <v>6.97</v>
      </c>
      <c r="D197">
        <f>VLOOKUP(A197,收盤價!A:C,3,0)</f>
        <v>10.7</v>
      </c>
      <c r="E197" s="164">
        <v>0.5351506456241033</v>
      </c>
      <c r="F197">
        <v>87.57</v>
      </c>
    </row>
    <row r="198" spans="1:6">
      <c r="A198">
        <v>1566</v>
      </c>
      <c r="B198" t="s">
        <v>265</v>
      </c>
      <c r="C198">
        <v>15</v>
      </c>
      <c r="D198">
        <f>VLOOKUP(A198,收盤價!A:C,3,0)</f>
        <v>23</v>
      </c>
      <c r="E198" s="164">
        <v>0.53333333333333333</v>
      </c>
      <c r="F198">
        <v>87.51</v>
      </c>
    </row>
    <row r="199" spans="1:6">
      <c r="A199">
        <v>6202</v>
      </c>
      <c r="B199" t="s">
        <v>1291</v>
      </c>
      <c r="C199">
        <v>36.200000000000003</v>
      </c>
      <c r="D199">
        <f>VLOOKUP(A199,收盤價!A:C,3,0)</f>
        <v>55.5</v>
      </c>
      <c r="E199" s="164">
        <v>0.53314917127071815</v>
      </c>
      <c r="F199">
        <v>87.44</v>
      </c>
    </row>
    <row r="200" spans="1:6">
      <c r="A200">
        <v>910708</v>
      </c>
      <c r="B200" t="s">
        <v>1379</v>
      </c>
      <c r="C200">
        <v>282</v>
      </c>
      <c r="D200">
        <f>VLOOKUP(A200,收盤價!A:C,3,0)</f>
        <v>432</v>
      </c>
      <c r="E200" s="164">
        <v>0.53191489361702127</v>
      </c>
      <c r="F200">
        <v>87.38</v>
      </c>
    </row>
    <row r="201" spans="1:6">
      <c r="A201">
        <v>2387</v>
      </c>
      <c r="B201" t="s">
        <v>854</v>
      </c>
      <c r="C201">
        <v>9.9600000000000009</v>
      </c>
      <c r="D201">
        <f>VLOOKUP(A201,收盤價!A:C,3,0)</f>
        <v>15.25</v>
      </c>
      <c r="E201" s="164">
        <v>0.5311244979919677</v>
      </c>
      <c r="F201">
        <v>87.32</v>
      </c>
    </row>
    <row r="202" spans="1:6">
      <c r="A202">
        <v>1319</v>
      </c>
      <c r="B202" t="s">
        <v>585</v>
      </c>
      <c r="C202">
        <v>25.7</v>
      </c>
      <c r="D202">
        <f>VLOOKUP(A202,收盤價!A:C,3,0)</f>
        <v>39.299999999999997</v>
      </c>
      <c r="E202" s="164">
        <v>0.5291828793774318</v>
      </c>
      <c r="F202">
        <v>87.26</v>
      </c>
    </row>
    <row r="203" spans="1:6">
      <c r="A203">
        <v>3615</v>
      </c>
      <c r="B203" t="s">
        <v>1545</v>
      </c>
      <c r="C203">
        <v>13.15</v>
      </c>
      <c r="D203">
        <f>VLOOKUP(A203,收盤價!A:C,3,0)</f>
        <v>20.100000000000001</v>
      </c>
      <c r="E203" s="164">
        <v>0.52851711026615977</v>
      </c>
      <c r="F203">
        <v>87.19</v>
      </c>
    </row>
    <row r="204" spans="1:6">
      <c r="A204">
        <v>8038</v>
      </c>
      <c r="B204" t="s">
        <v>500</v>
      </c>
      <c r="C204">
        <v>23.95</v>
      </c>
      <c r="D204">
        <f>VLOOKUP(A204,收盤價!A:C,3,0)</f>
        <v>36.6</v>
      </c>
      <c r="E204" s="164">
        <v>0.52818371607515668</v>
      </c>
      <c r="F204">
        <v>87.13</v>
      </c>
    </row>
    <row r="205" spans="1:6">
      <c r="A205">
        <v>3004</v>
      </c>
      <c r="B205" t="s">
        <v>1047</v>
      </c>
      <c r="C205">
        <v>36.6</v>
      </c>
      <c r="D205">
        <f>VLOOKUP(A205,收盤價!A:C,3,0)</f>
        <v>55.9</v>
      </c>
      <c r="E205" s="164">
        <v>0.52732240437158462</v>
      </c>
      <c r="F205">
        <v>87.07</v>
      </c>
    </row>
    <row r="206" spans="1:6">
      <c r="A206">
        <v>2614</v>
      </c>
      <c r="B206" t="s">
        <v>978</v>
      </c>
      <c r="C206">
        <v>4.5199999999999996</v>
      </c>
      <c r="D206">
        <f>VLOOKUP(A206,收盤價!A:C,3,0)</f>
        <v>6.9</v>
      </c>
      <c r="E206" s="164">
        <v>0.52654867256637194</v>
      </c>
      <c r="F206">
        <v>87</v>
      </c>
    </row>
    <row r="207" spans="1:6">
      <c r="A207">
        <v>4944</v>
      </c>
      <c r="B207" t="s">
        <v>1625</v>
      </c>
      <c r="C207">
        <v>8.59</v>
      </c>
      <c r="D207">
        <f>VLOOKUP(A207,收盤價!A:C,3,0)</f>
        <v>13.1</v>
      </c>
      <c r="E207" s="164">
        <v>0.52502910360884747</v>
      </c>
      <c r="F207">
        <v>86.94</v>
      </c>
    </row>
    <row r="208" spans="1:6">
      <c r="A208">
        <v>1522</v>
      </c>
      <c r="B208" t="s">
        <v>657</v>
      </c>
      <c r="C208">
        <v>16.3</v>
      </c>
      <c r="D208">
        <f>VLOOKUP(A208,收盤價!A:C,3,0)</f>
        <v>24.85</v>
      </c>
      <c r="E208" s="164">
        <v>0.52453987730061347</v>
      </c>
      <c r="F208">
        <v>86.88</v>
      </c>
    </row>
    <row r="209" spans="1:6">
      <c r="A209">
        <v>2363</v>
      </c>
      <c r="B209" t="s">
        <v>837</v>
      </c>
      <c r="C209">
        <v>4.7300000000000004</v>
      </c>
      <c r="D209">
        <f>VLOOKUP(A209,收盤價!A:C,3,0)</f>
        <v>7.21</v>
      </c>
      <c r="E209" s="164">
        <v>0.52431289640591949</v>
      </c>
      <c r="F209">
        <v>86.81</v>
      </c>
    </row>
    <row r="210" spans="1:6">
      <c r="A210">
        <v>8066</v>
      </c>
      <c r="B210" t="s">
        <v>1789</v>
      </c>
      <c r="C210">
        <v>75.5</v>
      </c>
      <c r="D210">
        <f>VLOOKUP(A210,收盤價!A:C,3,0)</f>
        <v>115</v>
      </c>
      <c r="E210" s="164">
        <v>0.52317880794701987</v>
      </c>
      <c r="F210">
        <v>86.75</v>
      </c>
    </row>
    <row r="211" spans="1:6">
      <c r="A211">
        <v>3623</v>
      </c>
      <c r="B211" t="s">
        <v>352</v>
      </c>
      <c r="C211">
        <v>29.4</v>
      </c>
      <c r="D211">
        <f>VLOOKUP(A211,收盤價!A:C,3,0)</f>
        <v>44.75</v>
      </c>
      <c r="E211" s="164">
        <v>0.52210884353741505</v>
      </c>
      <c r="F211">
        <v>86.69</v>
      </c>
    </row>
    <row r="212" spans="1:6">
      <c r="A212">
        <v>6111</v>
      </c>
      <c r="B212" t="s">
        <v>1712</v>
      </c>
      <c r="C212">
        <v>64.8</v>
      </c>
      <c r="D212">
        <f>VLOOKUP(A212,收盤價!A:C,3,0)</f>
        <v>98.4</v>
      </c>
      <c r="E212" s="164">
        <v>0.51851851851851871</v>
      </c>
      <c r="F212">
        <v>86.62</v>
      </c>
    </row>
    <row r="213" spans="1:6">
      <c r="A213">
        <v>6150</v>
      </c>
      <c r="B213" t="s">
        <v>1729</v>
      </c>
      <c r="C213">
        <v>4.5</v>
      </c>
      <c r="D213">
        <f>VLOOKUP(A213,收盤價!A:C,3,0)</f>
        <v>6.83</v>
      </c>
      <c r="E213" s="164">
        <v>0.51777777777777778</v>
      </c>
      <c r="F213">
        <v>86.56</v>
      </c>
    </row>
    <row r="214" spans="1:6">
      <c r="A214">
        <v>8431</v>
      </c>
      <c r="B214" t="s">
        <v>519</v>
      </c>
      <c r="C214">
        <v>48.9</v>
      </c>
      <c r="D214">
        <f>VLOOKUP(A214,收盤價!A:C,3,0)</f>
        <v>74.2</v>
      </c>
      <c r="E214" s="164">
        <v>0.51738241308793465</v>
      </c>
      <c r="F214">
        <v>86.5</v>
      </c>
    </row>
    <row r="215" spans="1:6">
      <c r="A215">
        <v>2379</v>
      </c>
      <c r="B215" t="s">
        <v>849</v>
      </c>
      <c r="C215">
        <v>50.7</v>
      </c>
      <c r="D215">
        <f>VLOOKUP(A215,收盤價!A:C,3,0)</f>
        <v>76.900000000000006</v>
      </c>
      <c r="E215" s="164">
        <v>0.5167652859960552</v>
      </c>
      <c r="F215">
        <v>86.44</v>
      </c>
    </row>
    <row r="216" spans="1:6">
      <c r="A216">
        <v>1733</v>
      </c>
      <c r="B216" t="s">
        <v>723</v>
      </c>
      <c r="C216">
        <v>33.25</v>
      </c>
      <c r="D216">
        <f>VLOOKUP(A216,收盤價!A:C,3,0)</f>
        <v>50.4</v>
      </c>
      <c r="E216" s="164">
        <v>0.51578947368421046</v>
      </c>
      <c r="F216">
        <v>86.37</v>
      </c>
    </row>
    <row r="217" spans="1:6">
      <c r="A217">
        <v>1418</v>
      </c>
      <c r="B217" t="s">
        <v>602</v>
      </c>
      <c r="C217">
        <v>3.63</v>
      </c>
      <c r="D217">
        <f>VLOOKUP(A217,收盤價!A:C,3,0)</f>
        <v>5.5</v>
      </c>
      <c r="E217" s="164">
        <v>0.51515151515151525</v>
      </c>
      <c r="F217">
        <v>86.31</v>
      </c>
    </row>
    <row r="218" spans="1:6">
      <c r="A218">
        <v>2428</v>
      </c>
      <c r="B218" t="s">
        <v>882</v>
      </c>
      <c r="C218">
        <v>35.950000000000003</v>
      </c>
      <c r="D218">
        <f>VLOOKUP(A218,收盤價!A:C,3,0)</f>
        <v>54.4</v>
      </c>
      <c r="E218" s="164">
        <v>0.51321279554937393</v>
      </c>
      <c r="F218">
        <v>86.25</v>
      </c>
    </row>
    <row r="219" spans="1:6">
      <c r="A219">
        <v>8163</v>
      </c>
      <c r="B219" t="s">
        <v>1352</v>
      </c>
      <c r="C219">
        <v>13</v>
      </c>
      <c r="D219">
        <f>VLOOKUP(A219,收盤價!A:C,3,0)</f>
        <v>19.649999999999999</v>
      </c>
      <c r="E219" s="164">
        <v>0.51153846153846139</v>
      </c>
      <c r="F219">
        <v>86.18</v>
      </c>
    </row>
    <row r="220" spans="1:6">
      <c r="A220">
        <v>2235</v>
      </c>
      <c r="B220" t="s">
        <v>280</v>
      </c>
      <c r="C220">
        <v>94.1</v>
      </c>
      <c r="D220">
        <f>VLOOKUP(A220,收盤價!A:C,3,0)</f>
        <v>142</v>
      </c>
      <c r="E220" s="164">
        <v>0.50903294367693952</v>
      </c>
      <c r="F220">
        <v>86.12</v>
      </c>
    </row>
    <row r="221" spans="1:6">
      <c r="A221">
        <v>4745</v>
      </c>
      <c r="B221" t="s">
        <v>1618</v>
      </c>
      <c r="C221">
        <v>44.6</v>
      </c>
      <c r="D221">
        <f>VLOOKUP(A221,收盤價!A:C,3,0)</f>
        <v>67.3</v>
      </c>
      <c r="E221" s="164">
        <v>0.50896860986547077</v>
      </c>
      <c r="F221">
        <v>86.06</v>
      </c>
    </row>
    <row r="222" spans="1:6">
      <c r="A222">
        <v>6196</v>
      </c>
      <c r="B222" t="s">
        <v>1288</v>
      </c>
      <c r="C222">
        <v>16.25</v>
      </c>
      <c r="D222">
        <f>VLOOKUP(A222,收盤價!A:C,3,0)</f>
        <v>24.5</v>
      </c>
      <c r="E222" s="164">
        <v>0.50769230769230766</v>
      </c>
      <c r="F222">
        <v>85.99</v>
      </c>
    </row>
    <row r="223" spans="1:6">
      <c r="A223">
        <v>4737</v>
      </c>
      <c r="B223" t="s">
        <v>1201</v>
      </c>
      <c r="C223">
        <v>42.8</v>
      </c>
      <c r="D223">
        <f>VLOOKUP(A223,收盤價!A:C,3,0)</f>
        <v>64.5</v>
      </c>
      <c r="E223" s="164">
        <v>0.50700934579439261</v>
      </c>
      <c r="F223">
        <v>85.93</v>
      </c>
    </row>
    <row r="224" spans="1:6">
      <c r="A224">
        <v>4126</v>
      </c>
      <c r="B224" t="s">
        <v>366</v>
      </c>
      <c r="C224">
        <v>52.8</v>
      </c>
      <c r="D224">
        <f>VLOOKUP(A224,收盤價!A:C,3,0)</f>
        <v>79.5</v>
      </c>
      <c r="E224" s="164">
        <v>0.50568181818181823</v>
      </c>
      <c r="F224">
        <v>85.87</v>
      </c>
    </row>
    <row r="225" spans="1:6">
      <c r="A225">
        <v>2484</v>
      </c>
      <c r="B225" t="s">
        <v>926</v>
      </c>
      <c r="C225">
        <v>13.7</v>
      </c>
      <c r="D225">
        <f>VLOOKUP(A225,收盤價!A:C,3,0)</f>
        <v>20.6</v>
      </c>
      <c r="E225" s="164">
        <v>0.50364963503649651</v>
      </c>
      <c r="F225">
        <v>85.8</v>
      </c>
    </row>
    <row r="226" spans="1:6">
      <c r="A226">
        <v>3588</v>
      </c>
      <c r="B226" t="s">
        <v>1153</v>
      </c>
      <c r="C226">
        <v>21.95</v>
      </c>
      <c r="D226">
        <f>VLOOKUP(A226,收盤價!A:C,3,0)</f>
        <v>33</v>
      </c>
      <c r="E226" s="164">
        <v>0.50341685649202739</v>
      </c>
      <c r="F226">
        <v>85.74</v>
      </c>
    </row>
    <row r="227" spans="1:6">
      <c r="A227">
        <v>3338</v>
      </c>
      <c r="B227" t="s">
        <v>1116</v>
      </c>
      <c r="C227">
        <v>16.8</v>
      </c>
      <c r="D227">
        <f>VLOOKUP(A227,收盤價!A:C,3,0)</f>
        <v>25.25</v>
      </c>
      <c r="E227" s="164">
        <v>0.50297619047619047</v>
      </c>
      <c r="F227">
        <v>85.68</v>
      </c>
    </row>
    <row r="228" spans="1:6">
      <c r="A228">
        <v>3268</v>
      </c>
      <c r="B228" t="s">
        <v>309</v>
      </c>
      <c r="C228">
        <v>11.25</v>
      </c>
      <c r="D228">
        <f>VLOOKUP(A228,收盤價!A:C,3,0)</f>
        <v>16.899999999999999</v>
      </c>
      <c r="E228" s="164">
        <v>0.50222222222222213</v>
      </c>
      <c r="F228">
        <v>85.62</v>
      </c>
    </row>
    <row r="229" spans="1:6">
      <c r="A229">
        <v>5272</v>
      </c>
      <c r="B229" t="s">
        <v>413</v>
      </c>
      <c r="C229">
        <v>29.35</v>
      </c>
      <c r="D229">
        <f>VLOOKUP(A229,收盤價!A:C,3,0)</f>
        <v>44.05</v>
      </c>
      <c r="E229" s="164">
        <v>0.50085178875638825</v>
      </c>
      <c r="F229">
        <v>85.55</v>
      </c>
    </row>
    <row r="230" spans="1:6">
      <c r="A230">
        <v>8936</v>
      </c>
      <c r="B230" t="s">
        <v>1845</v>
      </c>
      <c r="C230">
        <v>27</v>
      </c>
      <c r="D230">
        <f>VLOOKUP(A230,收盤價!A:C,3,0)</f>
        <v>40.5</v>
      </c>
      <c r="E230" s="164">
        <v>0.5</v>
      </c>
      <c r="F230">
        <v>85.49</v>
      </c>
    </row>
    <row r="231" spans="1:6">
      <c r="A231">
        <v>3006</v>
      </c>
      <c r="B231" t="s">
        <v>1049</v>
      </c>
      <c r="C231">
        <v>22.2</v>
      </c>
      <c r="D231">
        <f>VLOOKUP(A231,收盤價!A:C,3,0)</f>
        <v>33.299999999999997</v>
      </c>
      <c r="E231" s="164">
        <v>0.49999999999999994</v>
      </c>
      <c r="F231">
        <v>85.43</v>
      </c>
    </row>
    <row r="232" spans="1:6">
      <c r="A232">
        <v>1783</v>
      </c>
      <c r="B232" t="s">
        <v>730</v>
      </c>
      <c r="C232">
        <v>16.8</v>
      </c>
      <c r="D232">
        <f>VLOOKUP(A232,收盤價!A:C,3,0)</f>
        <v>25.2</v>
      </c>
      <c r="E232" s="164">
        <v>0.49999999999999989</v>
      </c>
      <c r="F232">
        <v>85.36</v>
      </c>
    </row>
    <row r="233" spans="1:6">
      <c r="A233">
        <v>6167</v>
      </c>
      <c r="B233" t="s">
        <v>1732</v>
      </c>
      <c r="C233">
        <v>2.91</v>
      </c>
      <c r="D233">
        <f>VLOOKUP(A233,收盤價!A:C,3,0)</f>
        <v>4.3600000000000003</v>
      </c>
      <c r="E233" s="164">
        <v>0.49828178694158082</v>
      </c>
      <c r="F233">
        <v>85.3</v>
      </c>
    </row>
    <row r="234" spans="1:6">
      <c r="A234">
        <v>9802</v>
      </c>
      <c r="B234" t="s">
        <v>1397</v>
      </c>
      <c r="C234">
        <v>36.549999999999997</v>
      </c>
      <c r="D234">
        <f>VLOOKUP(A234,收盤價!A:C,3,0)</f>
        <v>54.7</v>
      </c>
      <c r="E234" s="164">
        <v>0.4965800273597813</v>
      </c>
      <c r="F234">
        <v>85.24</v>
      </c>
    </row>
    <row r="235" spans="1:6">
      <c r="A235">
        <v>6116</v>
      </c>
      <c r="B235" t="s">
        <v>1262</v>
      </c>
      <c r="C235">
        <v>2.65</v>
      </c>
      <c r="D235">
        <f>VLOOKUP(A235,收盤價!A:C,3,0)</f>
        <v>3.96</v>
      </c>
      <c r="E235" s="164">
        <v>0.49433962264150949</v>
      </c>
      <c r="F235">
        <v>85.17</v>
      </c>
    </row>
    <row r="236" spans="1:6">
      <c r="A236">
        <v>3529</v>
      </c>
      <c r="B236" t="s">
        <v>340</v>
      </c>
      <c r="C236">
        <v>257.5</v>
      </c>
      <c r="D236">
        <f>VLOOKUP(A236,收盤價!A:C,3,0)</f>
        <v>384.5</v>
      </c>
      <c r="E236" s="164">
        <v>0.49320388349514566</v>
      </c>
      <c r="F236">
        <v>85.11</v>
      </c>
    </row>
    <row r="237" spans="1:6">
      <c r="A237">
        <v>4138</v>
      </c>
      <c r="B237" t="s">
        <v>1573</v>
      </c>
      <c r="C237">
        <v>47.9</v>
      </c>
      <c r="D237">
        <f>VLOOKUP(A237,收盤價!A:C,3,0)</f>
        <v>71.5</v>
      </c>
      <c r="E237" s="164">
        <v>0.49269311064718169</v>
      </c>
      <c r="F237">
        <v>85.05</v>
      </c>
    </row>
    <row r="238" spans="1:6">
      <c r="A238">
        <v>4609</v>
      </c>
      <c r="B238" t="s">
        <v>1610</v>
      </c>
      <c r="C238">
        <v>6.5</v>
      </c>
      <c r="D238">
        <f>VLOOKUP(A238,收盤價!A:C,3,0)</f>
        <v>9.6999999999999993</v>
      </c>
      <c r="E238" s="164">
        <v>0.49230769230769222</v>
      </c>
      <c r="F238">
        <v>84.98</v>
      </c>
    </row>
    <row r="239" spans="1:6">
      <c r="A239">
        <v>3131</v>
      </c>
      <c r="B239" t="s">
        <v>1479</v>
      </c>
      <c r="C239">
        <v>147</v>
      </c>
      <c r="D239">
        <f>VLOOKUP(A239,收盤價!A:C,3,0)</f>
        <v>219</v>
      </c>
      <c r="E239" s="164">
        <v>0.48979591836734693</v>
      </c>
      <c r="F239">
        <v>84.92</v>
      </c>
    </row>
    <row r="240" spans="1:6">
      <c r="A240">
        <v>5289</v>
      </c>
      <c r="B240" t="s">
        <v>1651</v>
      </c>
      <c r="C240">
        <v>64.099999999999994</v>
      </c>
      <c r="D240">
        <f>VLOOKUP(A240,收盤價!A:C,3,0)</f>
        <v>95.4</v>
      </c>
      <c r="E240" s="164">
        <v>0.48829953198127946</v>
      </c>
      <c r="F240">
        <v>84.86</v>
      </c>
    </row>
    <row r="241" spans="1:6">
      <c r="A241">
        <v>4133</v>
      </c>
      <c r="B241" t="s">
        <v>1183</v>
      </c>
      <c r="C241">
        <v>24.3</v>
      </c>
      <c r="D241">
        <f>VLOOKUP(A241,收盤價!A:C,3,0)</f>
        <v>36.15</v>
      </c>
      <c r="E241" s="164">
        <v>0.48765432098765421</v>
      </c>
      <c r="F241">
        <v>84.79</v>
      </c>
    </row>
    <row r="242" spans="1:6">
      <c r="A242">
        <v>5469</v>
      </c>
      <c r="B242" t="s">
        <v>1239</v>
      </c>
      <c r="C242">
        <v>7.1</v>
      </c>
      <c r="D242">
        <f>VLOOKUP(A242,收盤價!A:C,3,0)</f>
        <v>10.55</v>
      </c>
      <c r="E242" s="164">
        <v>0.48591549295774666</v>
      </c>
      <c r="F242">
        <v>84.73</v>
      </c>
    </row>
    <row r="243" spans="1:6">
      <c r="A243">
        <v>5274</v>
      </c>
      <c r="B243" t="s">
        <v>1648</v>
      </c>
      <c r="C243">
        <v>247</v>
      </c>
      <c r="D243">
        <f>VLOOKUP(A243,收盤價!A:C,3,0)</f>
        <v>367</v>
      </c>
      <c r="E243" s="164">
        <v>0.48582995951417002</v>
      </c>
      <c r="F243">
        <v>84.67</v>
      </c>
    </row>
    <row r="244" spans="1:6">
      <c r="A244">
        <v>3014</v>
      </c>
      <c r="B244" t="s">
        <v>1054</v>
      </c>
      <c r="C244">
        <v>20.8</v>
      </c>
      <c r="D244">
        <f>VLOOKUP(A244,收盤價!A:C,3,0)</f>
        <v>30.9</v>
      </c>
      <c r="E244" s="164">
        <v>0.48557692307692296</v>
      </c>
      <c r="F244">
        <v>84.61</v>
      </c>
    </row>
    <row r="245" spans="1:6">
      <c r="A245">
        <v>2493</v>
      </c>
      <c r="B245" t="s">
        <v>933</v>
      </c>
      <c r="C245">
        <v>15.55</v>
      </c>
      <c r="D245">
        <f>VLOOKUP(A245,收盤價!A:C,3,0)</f>
        <v>23.1</v>
      </c>
      <c r="E245" s="164">
        <v>0.48553054662379425</v>
      </c>
      <c r="F245">
        <v>84.54</v>
      </c>
    </row>
    <row r="246" spans="1:6">
      <c r="A246">
        <v>6227</v>
      </c>
      <c r="B246" t="s">
        <v>475</v>
      </c>
      <c r="C246">
        <v>11.65</v>
      </c>
      <c r="D246">
        <f>VLOOKUP(A246,收盤價!A:C,3,0)</f>
        <v>17.3</v>
      </c>
      <c r="E246" s="164">
        <v>0.48497854077253222</v>
      </c>
      <c r="F246">
        <v>84.48</v>
      </c>
    </row>
    <row r="247" spans="1:6">
      <c r="A247">
        <v>4105</v>
      </c>
      <c r="B247" t="s">
        <v>1562</v>
      </c>
      <c r="C247">
        <v>76.099999999999994</v>
      </c>
      <c r="D247">
        <f>VLOOKUP(A247,收盤價!A:C,3,0)</f>
        <v>113</v>
      </c>
      <c r="E247" s="164">
        <v>0.48488830486202378</v>
      </c>
      <c r="F247">
        <v>84.42</v>
      </c>
    </row>
    <row r="248" spans="1:6">
      <c r="A248">
        <v>2376</v>
      </c>
      <c r="B248" t="s">
        <v>847</v>
      </c>
      <c r="C248">
        <v>24.75</v>
      </c>
      <c r="D248">
        <f>VLOOKUP(A248,收盤價!A:C,3,0)</f>
        <v>36.75</v>
      </c>
      <c r="E248" s="164">
        <v>0.48484848484848486</v>
      </c>
      <c r="F248">
        <v>84.35</v>
      </c>
    </row>
    <row r="249" spans="1:6">
      <c r="A249">
        <v>2456</v>
      </c>
      <c r="B249" t="s">
        <v>904</v>
      </c>
      <c r="C249">
        <v>40.049999999999997</v>
      </c>
      <c r="D249">
        <f>VLOOKUP(A249,收盤價!A:C,3,0)</f>
        <v>59.4</v>
      </c>
      <c r="E249" s="164">
        <v>0.48314606741573041</v>
      </c>
      <c r="F249">
        <v>84.29</v>
      </c>
    </row>
    <row r="250" spans="1:6">
      <c r="A250">
        <v>5264</v>
      </c>
      <c r="B250" t="s">
        <v>1232</v>
      </c>
      <c r="C250">
        <v>112</v>
      </c>
      <c r="D250">
        <f>VLOOKUP(A250,收盤價!A:C,3,0)</f>
        <v>166</v>
      </c>
      <c r="E250" s="164">
        <v>0.48214285714285715</v>
      </c>
      <c r="F250">
        <v>84.23</v>
      </c>
    </row>
    <row r="251" spans="1:6">
      <c r="A251">
        <v>4747</v>
      </c>
      <c r="B251" t="s">
        <v>1619</v>
      </c>
      <c r="C251">
        <v>33.450000000000003</v>
      </c>
      <c r="D251">
        <f>VLOOKUP(A251,收盤價!A:C,3,0)</f>
        <v>49.55</v>
      </c>
      <c r="E251" s="164">
        <v>0.48131539611360219</v>
      </c>
      <c r="F251">
        <v>84.16</v>
      </c>
    </row>
    <row r="252" spans="1:6">
      <c r="A252">
        <v>5438</v>
      </c>
      <c r="B252" t="s">
        <v>1673</v>
      </c>
      <c r="C252">
        <v>9.0500000000000007</v>
      </c>
      <c r="D252">
        <f>VLOOKUP(A252,收盤價!A:C,3,0)</f>
        <v>13.4</v>
      </c>
      <c r="E252" s="164">
        <v>0.4806629834254143</v>
      </c>
      <c r="F252">
        <v>84.1</v>
      </c>
    </row>
    <row r="253" spans="1:6">
      <c r="A253">
        <v>1536</v>
      </c>
      <c r="B253" t="s">
        <v>669</v>
      </c>
      <c r="C253">
        <v>88.5</v>
      </c>
      <c r="D253">
        <f>VLOOKUP(A253,收盤價!A:C,3,0)</f>
        <v>131</v>
      </c>
      <c r="E253" s="164">
        <v>0.48022598870056499</v>
      </c>
      <c r="F253">
        <v>84.04</v>
      </c>
    </row>
    <row r="254" spans="1:6">
      <c r="A254">
        <v>2233</v>
      </c>
      <c r="B254" t="s">
        <v>279</v>
      </c>
      <c r="C254">
        <v>51.9</v>
      </c>
      <c r="D254">
        <f>VLOOKUP(A254,收盤價!A:C,3,0)</f>
        <v>76.8</v>
      </c>
      <c r="E254" s="164">
        <v>0.47976878612716761</v>
      </c>
      <c r="F254">
        <v>83.97</v>
      </c>
    </row>
    <row r="255" spans="1:6">
      <c r="A255">
        <v>3059</v>
      </c>
      <c r="B255" t="s">
        <v>1095</v>
      </c>
      <c r="C255">
        <v>20.45</v>
      </c>
      <c r="D255">
        <f>VLOOKUP(A255,收盤價!A:C,3,0)</f>
        <v>30.25</v>
      </c>
      <c r="E255" s="164">
        <v>0.47921760391198048</v>
      </c>
      <c r="F255">
        <v>83.91</v>
      </c>
    </row>
    <row r="256" spans="1:6">
      <c r="A256">
        <v>8069</v>
      </c>
      <c r="B256" t="s">
        <v>1791</v>
      </c>
      <c r="C256">
        <v>10.35</v>
      </c>
      <c r="D256">
        <f>VLOOKUP(A256,收盤價!A:C,3,0)</f>
        <v>15.3</v>
      </c>
      <c r="E256" s="164">
        <v>0.47826086956521752</v>
      </c>
      <c r="F256">
        <v>83.85</v>
      </c>
    </row>
    <row r="257" spans="1:6">
      <c r="A257">
        <v>2458</v>
      </c>
      <c r="B257" t="s">
        <v>906</v>
      </c>
      <c r="C257">
        <v>27.5</v>
      </c>
      <c r="D257">
        <f>VLOOKUP(A257,收盤價!A:C,3,0)</f>
        <v>40.6</v>
      </c>
      <c r="E257" s="164">
        <v>0.47636363636363643</v>
      </c>
      <c r="F257">
        <v>83.79</v>
      </c>
    </row>
    <row r="258" spans="1:6">
      <c r="A258">
        <v>9945</v>
      </c>
      <c r="B258" t="s">
        <v>1431</v>
      </c>
      <c r="C258">
        <v>30.15</v>
      </c>
      <c r="D258">
        <f>VLOOKUP(A258,收盤價!A:C,3,0)</f>
        <v>44.5</v>
      </c>
      <c r="E258" s="164">
        <v>0.47595356550580437</v>
      </c>
      <c r="F258">
        <v>83.72</v>
      </c>
    </row>
    <row r="259" spans="1:6">
      <c r="A259">
        <v>3537</v>
      </c>
      <c r="B259" t="s">
        <v>341</v>
      </c>
      <c r="C259">
        <v>13.25</v>
      </c>
      <c r="D259">
        <f>VLOOKUP(A259,收盤價!A:C,3,0)</f>
        <v>19.55</v>
      </c>
      <c r="E259" s="164">
        <v>0.47547169811320761</v>
      </c>
      <c r="F259">
        <v>83.66</v>
      </c>
    </row>
    <row r="260" spans="1:6">
      <c r="A260">
        <v>3498</v>
      </c>
      <c r="B260" t="s">
        <v>1524</v>
      </c>
      <c r="C260">
        <v>47.8</v>
      </c>
      <c r="D260">
        <f>VLOOKUP(A260,收盤價!A:C,3,0)</f>
        <v>70.5</v>
      </c>
      <c r="E260" s="164">
        <v>0.47489539748953985</v>
      </c>
      <c r="F260">
        <v>83.6</v>
      </c>
    </row>
    <row r="261" spans="1:6">
      <c r="A261">
        <v>1512</v>
      </c>
      <c r="B261" t="s">
        <v>649</v>
      </c>
      <c r="C261">
        <v>3.14</v>
      </c>
      <c r="D261">
        <f>VLOOKUP(A261,收盤價!A:C,3,0)</f>
        <v>4.63</v>
      </c>
      <c r="E261" s="164">
        <v>0.47452229299363047</v>
      </c>
      <c r="F261">
        <v>83.53</v>
      </c>
    </row>
    <row r="262" spans="1:6">
      <c r="A262">
        <v>8409</v>
      </c>
      <c r="B262" t="s">
        <v>1828</v>
      </c>
      <c r="C262">
        <v>21.5</v>
      </c>
      <c r="D262">
        <f>VLOOKUP(A262,收盤價!A:C,3,0)</f>
        <v>31.7</v>
      </c>
      <c r="E262" s="164">
        <v>0.47441860465116276</v>
      </c>
      <c r="F262">
        <v>83.47</v>
      </c>
    </row>
    <row r="263" spans="1:6">
      <c r="A263">
        <v>3057</v>
      </c>
      <c r="B263" t="s">
        <v>1093</v>
      </c>
      <c r="C263">
        <v>12.9</v>
      </c>
      <c r="D263">
        <f>VLOOKUP(A263,收盤價!A:C,3,0)</f>
        <v>19</v>
      </c>
      <c r="E263" s="164">
        <v>0.47286821705426352</v>
      </c>
      <c r="F263">
        <v>83.41</v>
      </c>
    </row>
    <row r="264" spans="1:6">
      <c r="A264">
        <v>2404</v>
      </c>
      <c r="B264" t="s">
        <v>864</v>
      </c>
      <c r="C264">
        <v>29</v>
      </c>
      <c r="D264">
        <f>VLOOKUP(A264,收盤價!A:C,3,0)</f>
        <v>42.7</v>
      </c>
      <c r="E264" s="164">
        <v>0.47241379310344839</v>
      </c>
      <c r="F264">
        <v>83.34</v>
      </c>
    </row>
    <row r="265" spans="1:6">
      <c r="A265">
        <v>3003</v>
      </c>
      <c r="B265" t="s">
        <v>1046</v>
      </c>
      <c r="C265">
        <v>26.9</v>
      </c>
      <c r="D265">
        <f>VLOOKUP(A265,收盤價!A:C,3,0)</f>
        <v>39.6</v>
      </c>
      <c r="E265" s="164">
        <v>0.47211895910780682</v>
      </c>
      <c r="F265">
        <v>83.28</v>
      </c>
    </row>
    <row r="266" spans="1:6">
      <c r="A266">
        <v>2421</v>
      </c>
      <c r="B266" t="s">
        <v>876</v>
      </c>
      <c r="C266">
        <v>12.5</v>
      </c>
      <c r="D266">
        <f>VLOOKUP(A266,收盤價!A:C,3,0)</f>
        <v>18.399999999999999</v>
      </c>
      <c r="E266" s="164">
        <v>0.47199999999999986</v>
      </c>
      <c r="F266">
        <v>83.22</v>
      </c>
    </row>
    <row r="267" spans="1:6">
      <c r="A267">
        <v>1734</v>
      </c>
      <c r="B267" t="s">
        <v>724</v>
      </c>
      <c r="C267">
        <v>21.4</v>
      </c>
      <c r="D267">
        <f>VLOOKUP(A267,收盤價!A:C,3,0)</f>
        <v>31.5</v>
      </c>
      <c r="E267" s="164">
        <v>0.47196261682243001</v>
      </c>
      <c r="F267">
        <v>83.15</v>
      </c>
    </row>
    <row r="268" spans="1:6">
      <c r="A268">
        <v>3611</v>
      </c>
      <c r="B268" t="s">
        <v>351</v>
      </c>
      <c r="C268">
        <v>210</v>
      </c>
      <c r="D268">
        <f>VLOOKUP(A268,收盤價!A:C,3,0)</f>
        <v>309</v>
      </c>
      <c r="E268" s="164">
        <v>0.47142857142857142</v>
      </c>
      <c r="F268">
        <v>83.09</v>
      </c>
    </row>
    <row r="269" spans="1:6">
      <c r="A269">
        <v>1721</v>
      </c>
      <c r="B269" t="s">
        <v>712</v>
      </c>
      <c r="C269">
        <v>9.2100000000000009</v>
      </c>
      <c r="D269">
        <f>VLOOKUP(A269,收盤價!A:C,3,0)</f>
        <v>13.55</v>
      </c>
      <c r="E269" s="164">
        <v>0.47122692725298582</v>
      </c>
      <c r="F269">
        <v>83.03</v>
      </c>
    </row>
    <row r="270" spans="1:6">
      <c r="A270">
        <v>1711</v>
      </c>
      <c r="B270" t="s">
        <v>704</v>
      </c>
      <c r="C270">
        <v>14.9</v>
      </c>
      <c r="D270">
        <f>VLOOKUP(A270,收盤價!A:C,3,0)</f>
        <v>21.9</v>
      </c>
      <c r="E270" s="164">
        <v>0.46979865771812068</v>
      </c>
      <c r="F270">
        <v>82.97</v>
      </c>
    </row>
    <row r="271" spans="1:6">
      <c r="A271">
        <v>2007</v>
      </c>
      <c r="B271" t="s">
        <v>749</v>
      </c>
      <c r="C271">
        <v>3.06</v>
      </c>
      <c r="D271">
        <f>VLOOKUP(A271,收盤價!A:C,3,0)</f>
        <v>4.49</v>
      </c>
      <c r="E271" s="164">
        <v>0.46732026143790856</v>
      </c>
      <c r="F271">
        <v>82.9</v>
      </c>
    </row>
    <row r="272" spans="1:6">
      <c r="A272">
        <v>4702</v>
      </c>
      <c r="B272" t="s">
        <v>386</v>
      </c>
      <c r="C272">
        <v>9</v>
      </c>
      <c r="D272">
        <f>VLOOKUP(A272,收盤價!A:C,3,0)</f>
        <v>13.2</v>
      </c>
      <c r="E272" s="164">
        <v>0.46666666666666656</v>
      </c>
      <c r="F272">
        <v>82.84</v>
      </c>
    </row>
    <row r="273" spans="1:6">
      <c r="A273">
        <v>1707</v>
      </c>
      <c r="B273" t="s">
        <v>700</v>
      </c>
      <c r="C273">
        <v>134</v>
      </c>
      <c r="D273">
        <f>VLOOKUP(A273,收盤價!A:C,3,0)</f>
        <v>196.5</v>
      </c>
      <c r="E273" s="164">
        <v>0.46641791044776121</v>
      </c>
      <c r="F273">
        <v>82.78</v>
      </c>
    </row>
    <row r="274" spans="1:6">
      <c r="A274">
        <v>4119</v>
      </c>
      <c r="B274" t="s">
        <v>1182</v>
      </c>
      <c r="C274">
        <v>69.900000000000006</v>
      </c>
      <c r="D274">
        <f>VLOOKUP(A274,收盤價!A:C,3,0)</f>
        <v>102.5</v>
      </c>
      <c r="E274" s="164">
        <v>0.46638054363376241</v>
      </c>
      <c r="F274">
        <v>82.71</v>
      </c>
    </row>
    <row r="275" spans="1:6">
      <c r="A275">
        <v>4909</v>
      </c>
      <c r="B275" t="s">
        <v>394</v>
      </c>
      <c r="C275">
        <v>16.3</v>
      </c>
      <c r="D275">
        <f>VLOOKUP(A275,收盤價!A:C,3,0)</f>
        <v>23.85</v>
      </c>
      <c r="E275" s="164">
        <v>0.4631901840490798</v>
      </c>
      <c r="F275">
        <v>82.65</v>
      </c>
    </row>
    <row r="276" spans="1:6">
      <c r="A276">
        <v>6259</v>
      </c>
      <c r="B276" t="s">
        <v>486</v>
      </c>
      <c r="C276">
        <v>6.09</v>
      </c>
      <c r="D276">
        <f>VLOOKUP(A276,收盤價!A:C,3,0)</f>
        <v>8.9</v>
      </c>
      <c r="E276" s="164">
        <v>0.46141215106732358</v>
      </c>
      <c r="F276">
        <v>82.59</v>
      </c>
    </row>
    <row r="277" spans="1:6">
      <c r="A277">
        <v>8450</v>
      </c>
      <c r="B277" t="s">
        <v>523</v>
      </c>
      <c r="C277">
        <v>57</v>
      </c>
      <c r="D277">
        <f>VLOOKUP(A277,收盤價!A:C,3,0)</f>
        <v>83.2</v>
      </c>
      <c r="E277" s="164">
        <v>0.45964912280701758</v>
      </c>
      <c r="F277">
        <v>82.52</v>
      </c>
    </row>
    <row r="278" spans="1:6">
      <c r="A278">
        <v>1817</v>
      </c>
      <c r="B278" t="s">
        <v>739</v>
      </c>
      <c r="C278">
        <v>28</v>
      </c>
      <c r="D278">
        <f>VLOOKUP(A278,收盤價!A:C,3,0)</f>
        <v>40.799999999999997</v>
      </c>
      <c r="E278" s="164">
        <v>0.45714285714285702</v>
      </c>
      <c r="F278">
        <v>82.46</v>
      </c>
    </row>
    <row r="279" spans="1:6">
      <c r="A279">
        <v>4120</v>
      </c>
      <c r="B279" t="s">
        <v>365</v>
      </c>
      <c r="C279">
        <v>43.5</v>
      </c>
      <c r="D279">
        <f>VLOOKUP(A279,收盤價!A:C,3,0)</f>
        <v>63.3</v>
      </c>
      <c r="E279" s="164">
        <v>0.45517241379310336</v>
      </c>
      <c r="F279">
        <v>82.4</v>
      </c>
    </row>
    <row r="280" spans="1:6">
      <c r="A280">
        <v>910482</v>
      </c>
      <c r="B280" t="s">
        <v>1376</v>
      </c>
      <c r="C280">
        <v>1.32</v>
      </c>
      <c r="D280">
        <f>VLOOKUP(A280,收盤價!A:C,3,0)</f>
        <v>1.92</v>
      </c>
      <c r="E280" s="164">
        <v>0.45454545454545442</v>
      </c>
      <c r="F280">
        <v>82.33</v>
      </c>
    </row>
    <row r="281" spans="1:6">
      <c r="A281">
        <v>5284</v>
      </c>
      <c r="B281" t="s">
        <v>1650</v>
      </c>
      <c r="C281">
        <v>49.3</v>
      </c>
      <c r="D281">
        <f>VLOOKUP(A281,收盤價!A:C,3,0)</f>
        <v>71.7</v>
      </c>
      <c r="E281" s="164">
        <v>0.45436105476673444</v>
      </c>
      <c r="F281">
        <v>82.27</v>
      </c>
    </row>
    <row r="282" spans="1:6">
      <c r="A282">
        <v>2314</v>
      </c>
      <c r="B282" t="s">
        <v>803</v>
      </c>
      <c r="C282">
        <v>6.98</v>
      </c>
      <c r="D282">
        <f>VLOOKUP(A282,收盤價!A:C,3,0)</f>
        <v>10.15</v>
      </c>
      <c r="E282" s="164">
        <v>0.45415472779369626</v>
      </c>
      <c r="F282">
        <v>82.21</v>
      </c>
    </row>
    <row r="283" spans="1:6">
      <c r="A283">
        <v>1464</v>
      </c>
      <c r="B283" t="s">
        <v>631</v>
      </c>
      <c r="C283">
        <v>22.5</v>
      </c>
      <c r="D283">
        <f>VLOOKUP(A283,收盤價!A:C,3,0)</f>
        <v>32.700000000000003</v>
      </c>
      <c r="E283" s="164">
        <v>0.45333333333333348</v>
      </c>
      <c r="F283">
        <v>82.15</v>
      </c>
    </row>
    <row r="284" spans="1:6">
      <c r="A284">
        <v>3594</v>
      </c>
      <c r="B284" t="s">
        <v>349</v>
      </c>
      <c r="C284">
        <v>19.75</v>
      </c>
      <c r="D284">
        <f>VLOOKUP(A284,收盤價!A:C,3,0)</f>
        <v>28.7</v>
      </c>
      <c r="E284" s="164">
        <v>0.45316455696202529</v>
      </c>
      <c r="F284">
        <v>82.08</v>
      </c>
    </row>
    <row r="285" spans="1:6">
      <c r="A285">
        <v>3037</v>
      </c>
      <c r="B285" t="s">
        <v>1075</v>
      </c>
      <c r="C285">
        <v>10.3</v>
      </c>
      <c r="D285">
        <f>VLOOKUP(A285,收盤價!A:C,3,0)</f>
        <v>14.95</v>
      </c>
      <c r="E285" s="164">
        <v>0.45145631067961151</v>
      </c>
      <c r="F285">
        <v>82.02</v>
      </c>
    </row>
    <row r="286" spans="1:6">
      <c r="A286">
        <v>6415</v>
      </c>
      <c r="B286" t="s">
        <v>1322</v>
      </c>
      <c r="C286">
        <v>262</v>
      </c>
      <c r="D286">
        <f>VLOOKUP(A286,收盤價!A:C,3,0)</f>
        <v>380</v>
      </c>
      <c r="E286" s="164">
        <v>0.45038167938931295</v>
      </c>
      <c r="F286">
        <v>81.96</v>
      </c>
    </row>
    <row r="287" spans="1:6">
      <c r="A287">
        <v>3455</v>
      </c>
      <c r="B287" t="s">
        <v>329</v>
      </c>
      <c r="C287">
        <v>20.350000000000001</v>
      </c>
      <c r="D287">
        <f>VLOOKUP(A287,收盤價!A:C,3,0)</f>
        <v>29.5</v>
      </c>
      <c r="E287" s="164">
        <v>0.44963144963144952</v>
      </c>
      <c r="F287">
        <v>81.89</v>
      </c>
    </row>
    <row r="288" spans="1:6">
      <c r="A288">
        <v>5351</v>
      </c>
      <c r="B288" t="s">
        <v>1663</v>
      </c>
      <c r="C288">
        <v>9.6300000000000008</v>
      </c>
      <c r="D288">
        <f>VLOOKUP(A288,收盤價!A:C,3,0)</f>
        <v>13.95</v>
      </c>
      <c r="E288" s="164">
        <v>0.44859813084112132</v>
      </c>
      <c r="F288">
        <v>81.83</v>
      </c>
    </row>
    <row r="289" spans="1:6">
      <c r="A289">
        <v>1730</v>
      </c>
      <c r="B289" t="s">
        <v>720</v>
      </c>
      <c r="C289">
        <v>26.7</v>
      </c>
      <c r="D289">
        <f>VLOOKUP(A289,收盤價!A:C,3,0)</f>
        <v>38.65</v>
      </c>
      <c r="E289" s="164">
        <v>0.44756554307116103</v>
      </c>
      <c r="F289">
        <v>81.77</v>
      </c>
    </row>
    <row r="290" spans="1:6">
      <c r="A290">
        <v>3064</v>
      </c>
      <c r="B290" t="s">
        <v>1466</v>
      </c>
      <c r="C290">
        <v>15.35</v>
      </c>
      <c r="D290">
        <f>VLOOKUP(A290,收盤價!A:C,3,0)</f>
        <v>22.2</v>
      </c>
      <c r="E290" s="164">
        <v>0.44625407166123776</v>
      </c>
      <c r="F290">
        <v>81.7</v>
      </c>
    </row>
    <row r="291" spans="1:6">
      <c r="A291">
        <v>3501</v>
      </c>
      <c r="B291" t="s">
        <v>1133</v>
      </c>
      <c r="C291">
        <v>39.5</v>
      </c>
      <c r="D291">
        <f>VLOOKUP(A291,收盤價!A:C,3,0)</f>
        <v>57.1</v>
      </c>
      <c r="E291" s="164">
        <v>0.4455696202531646</v>
      </c>
      <c r="F291">
        <v>81.64</v>
      </c>
    </row>
    <row r="292" spans="1:6">
      <c r="A292">
        <v>3169</v>
      </c>
      <c r="B292" t="s">
        <v>1482</v>
      </c>
      <c r="C292">
        <v>21</v>
      </c>
      <c r="D292">
        <f>VLOOKUP(A292,收盤價!A:C,3,0)</f>
        <v>30.35</v>
      </c>
      <c r="E292" s="164">
        <v>0.44523809523809532</v>
      </c>
      <c r="F292">
        <v>81.58</v>
      </c>
    </row>
    <row r="293" spans="1:6">
      <c r="A293">
        <v>4160</v>
      </c>
      <c r="B293" t="s">
        <v>1577</v>
      </c>
      <c r="C293">
        <v>22.8</v>
      </c>
      <c r="D293">
        <f>VLOOKUP(A293,收盤價!A:C,3,0)</f>
        <v>32.9</v>
      </c>
      <c r="E293" s="164">
        <v>0.44298245614035076</v>
      </c>
      <c r="F293">
        <v>81.510000000000005</v>
      </c>
    </row>
    <row r="294" spans="1:6">
      <c r="A294">
        <v>3230</v>
      </c>
      <c r="B294" t="s">
        <v>1493</v>
      </c>
      <c r="C294">
        <v>4.3600000000000003</v>
      </c>
      <c r="D294">
        <f>VLOOKUP(A294,收盤價!A:C,3,0)</f>
        <v>6.28</v>
      </c>
      <c r="E294" s="164">
        <v>0.44036697247706419</v>
      </c>
      <c r="F294">
        <v>81.45</v>
      </c>
    </row>
    <row r="295" spans="1:6">
      <c r="A295">
        <v>1568</v>
      </c>
      <c r="B295" t="s">
        <v>677</v>
      </c>
      <c r="C295">
        <v>14.1</v>
      </c>
      <c r="D295">
        <f>VLOOKUP(A295,收盤價!A:C,3,0)</f>
        <v>20.3</v>
      </c>
      <c r="E295" s="164">
        <v>0.43971631205673767</v>
      </c>
      <c r="F295">
        <v>81.39</v>
      </c>
    </row>
    <row r="296" spans="1:6">
      <c r="A296">
        <v>2420</v>
      </c>
      <c r="B296" t="s">
        <v>875</v>
      </c>
      <c r="C296">
        <v>32.299999999999997</v>
      </c>
      <c r="D296">
        <f>VLOOKUP(A296,收盤價!A:C,3,0)</f>
        <v>46.45</v>
      </c>
      <c r="E296" s="164">
        <v>0.43808049535603738</v>
      </c>
      <c r="F296">
        <v>81.319999999999993</v>
      </c>
    </row>
    <row r="297" spans="1:6">
      <c r="A297">
        <v>6207</v>
      </c>
      <c r="B297" t="s">
        <v>470</v>
      </c>
      <c r="C297">
        <v>20.95</v>
      </c>
      <c r="D297">
        <f>VLOOKUP(A297,收盤價!A:C,3,0)</f>
        <v>30.1</v>
      </c>
      <c r="E297" s="164">
        <v>0.43675417661097865</v>
      </c>
      <c r="F297">
        <v>81.260000000000005</v>
      </c>
    </row>
    <row r="298" spans="1:6">
      <c r="A298">
        <v>8933</v>
      </c>
      <c r="B298" t="s">
        <v>1843</v>
      </c>
      <c r="C298">
        <v>11.7</v>
      </c>
      <c r="D298">
        <f>VLOOKUP(A298,收盤價!A:C,3,0)</f>
        <v>16.8</v>
      </c>
      <c r="E298" s="164">
        <v>0.43589743589743607</v>
      </c>
      <c r="F298">
        <v>81.2</v>
      </c>
    </row>
    <row r="299" spans="1:6">
      <c r="A299">
        <v>4104</v>
      </c>
      <c r="B299" t="s">
        <v>1179</v>
      </c>
      <c r="C299">
        <v>37</v>
      </c>
      <c r="D299">
        <f>VLOOKUP(A299,收盤價!A:C,3,0)</f>
        <v>53.1</v>
      </c>
      <c r="E299" s="164">
        <v>0.43513513513513519</v>
      </c>
      <c r="F299">
        <v>81.14</v>
      </c>
    </row>
    <row r="300" spans="1:6">
      <c r="A300">
        <v>8403</v>
      </c>
      <c r="B300" t="s">
        <v>1826</v>
      </c>
      <c r="C300">
        <v>35.299999999999997</v>
      </c>
      <c r="D300">
        <f>VLOOKUP(A300,收盤價!A:C,3,0)</f>
        <v>50.6</v>
      </c>
      <c r="E300" s="164">
        <v>0.43342776203966021</v>
      </c>
      <c r="F300">
        <v>81.069999999999993</v>
      </c>
    </row>
    <row r="301" spans="1:6">
      <c r="A301">
        <v>8147</v>
      </c>
      <c r="B301" t="s">
        <v>1807</v>
      </c>
      <c r="C301">
        <v>34.5</v>
      </c>
      <c r="D301">
        <f>VLOOKUP(A301,收盤價!A:C,3,0)</f>
        <v>49.45</v>
      </c>
      <c r="E301" s="164">
        <v>0.4333333333333334</v>
      </c>
      <c r="F301">
        <v>81.010000000000005</v>
      </c>
    </row>
    <row r="302" spans="1:6">
      <c r="A302">
        <v>8222</v>
      </c>
      <c r="B302" t="s">
        <v>1357</v>
      </c>
      <c r="C302">
        <v>15.95</v>
      </c>
      <c r="D302">
        <f>VLOOKUP(A302,收盤價!A:C,3,0)</f>
        <v>22.85</v>
      </c>
      <c r="E302" s="164">
        <v>0.43260188087774309</v>
      </c>
      <c r="F302">
        <v>80.95</v>
      </c>
    </row>
    <row r="303" spans="1:6">
      <c r="A303">
        <v>4123</v>
      </c>
      <c r="B303" t="s">
        <v>1568</v>
      </c>
      <c r="C303">
        <v>55.2</v>
      </c>
      <c r="D303">
        <f>VLOOKUP(A303,收盤價!A:C,3,0)</f>
        <v>79</v>
      </c>
      <c r="E303" s="164">
        <v>0.43115942028985499</v>
      </c>
      <c r="F303">
        <v>80.88</v>
      </c>
    </row>
    <row r="304" spans="1:6">
      <c r="A304">
        <v>2321</v>
      </c>
      <c r="B304" t="s">
        <v>806</v>
      </c>
      <c r="C304">
        <v>1.37</v>
      </c>
      <c r="D304">
        <f>VLOOKUP(A304,收盤價!A:C,3,0)</f>
        <v>1.96</v>
      </c>
      <c r="E304" s="164">
        <v>0.43065693430656921</v>
      </c>
      <c r="F304">
        <v>80.819999999999993</v>
      </c>
    </row>
    <row r="305" spans="1:6">
      <c r="A305">
        <v>1737</v>
      </c>
      <c r="B305" t="s">
        <v>727</v>
      </c>
      <c r="C305">
        <v>18.350000000000001</v>
      </c>
      <c r="D305">
        <f>VLOOKUP(A305,收盤價!A:C,3,0)</f>
        <v>26.25</v>
      </c>
      <c r="E305" s="164">
        <v>0.43051771117166199</v>
      </c>
      <c r="F305">
        <v>80.760000000000005</v>
      </c>
    </row>
    <row r="306" spans="1:6">
      <c r="A306">
        <v>3630</v>
      </c>
      <c r="B306" t="s">
        <v>355</v>
      </c>
      <c r="C306">
        <v>12.35</v>
      </c>
      <c r="D306">
        <f>VLOOKUP(A306,收盤價!A:C,3,0)</f>
        <v>17.649999999999999</v>
      </c>
      <c r="E306" s="164">
        <v>0.42914979757085014</v>
      </c>
      <c r="F306">
        <v>80.69</v>
      </c>
    </row>
    <row r="307" spans="1:6">
      <c r="A307">
        <v>8110</v>
      </c>
      <c r="B307" t="s">
        <v>1347</v>
      </c>
      <c r="C307">
        <v>6.75</v>
      </c>
      <c r="D307">
        <f>VLOOKUP(A307,收盤價!A:C,3,0)</f>
        <v>9.64</v>
      </c>
      <c r="E307" s="164">
        <v>0.42814814814814822</v>
      </c>
      <c r="F307">
        <v>80.63</v>
      </c>
    </row>
    <row r="308" spans="1:6">
      <c r="A308">
        <v>8091</v>
      </c>
      <c r="B308" t="s">
        <v>1798</v>
      </c>
      <c r="C308">
        <v>45.8</v>
      </c>
      <c r="D308">
        <f>VLOOKUP(A308,收盤價!A:C,3,0)</f>
        <v>65.400000000000006</v>
      </c>
      <c r="E308" s="164">
        <v>0.42794759825327533</v>
      </c>
      <c r="F308">
        <v>80.569999999999993</v>
      </c>
    </row>
    <row r="309" spans="1:6">
      <c r="A309">
        <v>3149</v>
      </c>
      <c r="B309" t="s">
        <v>1101</v>
      </c>
      <c r="C309">
        <v>9.56</v>
      </c>
      <c r="D309">
        <f>VLOOKUP(A309,收盤價!A:C,3,0)</f>
        <v>13.65</v>
      </c>
      <c r="E309" s="164">
        <v>0.42782426778242671</v>
      </c>
      <c r="F309">
        <v>80.5</v>
      </c>
    </row>
    <row r="310" spans="1:6">
      <c r="A310">
        <v>6274</v>
      </c>
      <c r="B310" t="s">
        <v>490</v>
      </c>
      <c r="C310">
        <v>20</v>
      </c>
      <c r="D310">
        <f>VLOOKUP(A310,收盤價!A:C,3,0)</f>
        <v>28.55</v>
      </c>
      <c r="E310" s="164">
        <v>0.42750000000000005</v>
      </c>
      <c r="F310">
        <v>80.44</v>
      </c>
    </row>
    <row r="311" spans="1:6">
      <c r="A311">
        <v>6138</v>
      </c>
      <c r="B311" t="s">
        <v>1723</v>
      </c>
      <c r="C311">
        <v>15.15</v>
      </c>
      <c r="D311">
        <f>VLOOKUP(A311,收盤價!A:C,3,0)</f>
        <v>21.6</v>
      </c>
      <c r="E311" s="164">
        <v>0.42574257425742579</v>
      </c>
      <c r="F311">
        <v>80.38</v>
      </c>
    </row>
    <row r="312" spans="1:6">
      <c r="A312">
        <v>1558</v>
      </c>
      <c r="B312" t="s">
        <v>675</v>
      </c>
      <c r="C312">
        <v>101</v>
      </c>
      <c r="D312">
        <f>VLOOKUP(A312,收盤價!A:C,3,0)</f>
        <v>144</v>
      </c>
      <c r="E312" s="164">
        <v>0.42574257425742573</v>
      </c>
      <c r="F312">
        <v>80.319999999999993</v>
      </c>
    </row>
    <row r="313" spans="1:6">
      <c r="A313">
        <v>9935</v>
      </c>
      <c r="B313" t="s">
        <v>1422</v>
      </c>
      <c r="C313">
        <v>7.65</v>
      </c>
      <c r="D313">
        <f>VLOOKUP(A313,收盤價!A:C,3,0)</f>
        <v>10.9</v>
      </c>
      <c r="E313" s="164">
        <v>0.42483660130718953</v>
      </c>
      <c r="F313">
        <v>80.25</v>
      </c>
    </row>
    <row r="314" spans="1:6">
      <c r="A314">
        <v>3257</v>
      </c>
      <c r="B314" t="s">
        <v>1108</v>
      </c>
      <c r="C314">
        <v>33</v>
      </c>
      <c r="D314">
        <f>VLOOKUP(A314,收盤價!A:C,3,0)</f>
        <v>47</v>
      </c>
      <c r="E314" s="164">
        <v>0.42424242424242425</v>
      </c>
      <c r="F314">
        <v>80.19</v>
      </c>
    </row>
    <row r="315" spans="1:6">
      <c r="A315">
        <v>3051</v>
      </c>
      <c r="B315" t="s">
        <v>1088</v>
      </c>
      <c r="C315">
        <v>4.8</v>
      </c>
      <c r="D315">
        <f>VLOOKUP(A315,收盤價!A:C,3,0)</f>
        <v>6.83</v>
      </c>
      <c r="E315" s="164">
        <v>0.42291666666666672</v>
      </c>
      <c r="F315">
        <v>80.13</v>
      </c>
    </row>
    <row r="316" spans="1:6">
      <c r="A316">
        <v>5328</v>
      </c>
      <c r="B316" t="s">
        <v>1658</v>
      </c>
      <c r="C316">
        <v>3.86</v>
      </c>
      <c r="D316">
        <f>VLOOKUP(A316,收盤價!A:C,3,0)</f>
        <v>5.49</v>
      </c>
      <c r="E316" s="164">
        <v>0.4222797927461141</v>
      </c>
      <c r="F316">
        <v>80.06</v>
      </c>
    </row>
    <row r="317" spans="1:6">
      <c r="A317">
        <v>4106</v>
      </c>
      <c r="B317" t="s">
        <v>1180</v>
      </c>
      <c r="C317">
        <v>28.3</v>
      </c>
      <c r="D317">
        <f>VLOOKUP(A317,收盤價!A:C,3,0)</f>
        <v>40.25</v>
      </c>
      <c r="E317" s="164">
        <v>0.42226148409893988</v>
      </c>
      <c r="F317">
        <v>80</v>
      </c>
    </row>
    <row r="318" spans="1:6">
      <c r="A318">
        <v>3043</v>
      </c>
      <c r="B318" t="s">
        <v>1080</v>
      </c>
      <c r="C318">
        <v>2.2999999999999998</v>
      </c>
      <c r="D318">
        <f>VLOOKUP(A318,收盤價!A:C,3,0)</f>
        <v>3.27</v>
      </c>
      <c r="E318" s="164">
        <v>0.42173913043478273</v>
      </c>
      <c r="F318">
        <v>79.94</v>
      </c>
    </row>
    <row r="319" spans="1:6">
      <c r="A319">
        <v>3305</v>
      </c>
      <c r="B319" t="s">
        <v>1111</v>
      </c>
      <c r="C319">
        <v>18.5</v>
      </c>
      <c r="D319">
        <f>VLOOKUP(A319,收盤價!A:C,3,0)</f>
        <v>26.3</v>
      </c>
      <c r="E319" s="164">
        <v>0.42162162162162165</v>
      </c>
      <c r="F319">
        <v>79.87</v>
      </c>
    </row>
    <row r="320" spans="1:6">
      <c r="A320">
        <v>2504</v>
      </c>
      <c r="B320" t="s">
        <v>940</v>
      </c>
      <c r="C320">
        <v>6.67</v>
      </c>
      <c r="D320">
        <f>VLOOKUP(A320,收盤價!A:C,3,0)</f>
        <v>9.48</v>
      </c>
      <c r="E320" s="164">
        <v>0.42128935532233891</v>
      </c>
      <c r="F320">
        <v>79.81</v>
      </c>
    </row>
    <row r="321" spans="1:6">
      <c r="A321">
        <v>5443</v>
      </c>
      <c r="B321" t="s">
        <v>1674</v>
      </c>
      <c r="C321">
        <v>9.4</v>
      </c>
      <c r="D321">
        <f>VLOOKUP(A321,收盤價!A:C,3,0)</f>
        <v>13.35</v>
      </c>
      <c r="E321" s="164">
        <v>0.42021276595744672</v>
      </c>
      <c r="F321">
        <v>79.75</v>
      </c>
    </row>
    <row r="322" spans="1:6">
      <c r="A322">
        <v>3583</v>
      </c>
      <c r="B322" t="s">
        <v>1151</v>
      </c>
      <c r="C322">
        <v>55.8</v>
      </c>
      <c r="D322">
        <f>VLOOKUP(A322,收盤價!A:C,3,0)</f>
        <v>79.2</v>
      </c>
      <c r="E322" s="164">
        <v>0.41935483870967755</v>
      </c>
      <c r="F322">
        <v>79.680000000000007</v>
      </c>
    </row>
    <row r="323" spans="1:6">
      <c r="A323">
        <v>4114</v>
      </c>
      <c r="B323" t="s">
        <v>1566</v>
      </c>
      <c r="C323">
        <v>26</v>
      </c>
      <c r="D323">
        <f>VLOOKUP(A323,收盤價!A:C,3,0)</f>
        <v>36.9</v>
      </c>
      <c r="E323" s="164">
        <v>0.41923076923076918</v>
      </c>
      <c r="F323">
        <v>79.62</v>
      </c>
    </row>
    <row r="324" spans="1:6">
      <c r="A324">
        <v>6235</v>
      </c>
      <c r="B324" t="s">
        <v>1303</v>
      </c>
      <c r="C324">
        <v>5.95</v>
      </c>
      <c r="D324">
        <f>VLOOKUP(A324,收盤價!A:C,3,0)</f>
        <v>8.44</v>
      </c>
      <c r="E324" s="164">
        <v>0.41848739495798309</v>
      </c>
      <c r="F324">
        <v>79.56</v>
      </c>
    </row>
    <row r="325" spans="1:6">
      <c r="A325">
        <v>6211</v>
      </c>
      <c r="B325" t="s">
        <v>1746</v>
      </c>
      <c r="C325">
        <v>14.95</v>
      </c>
      <c r="D325">
        <f>VLOOKUP(A325,收盤價!A:C,3,0)</f>
        <v>21.2</v>
      </c>
      <c r="E325" s="164">
        <v>0.41806020066889632</v>
      </c>
      <c r="F325">
        <v>79.5</v>
      </c>
    </row>
    <row r="326" spans="1:6">
      <c r="A326">
        <v>2915</v>
      </c>
      <c r="B326" t="s">
        <v>1042</v>
      </c>
      <c r="C326">
        <v>46.55</v>
      </c>
      <c r="D326">
        <f>VLOOKUP(A326,收盤價!A:C,3,0)</f>
        <v>66</v>
      </c>
      <c r="E326" s="164">
        <v>0.41783029001074123</v>
      </c>
      <c r="F326">
        <v>79.430000000000007</v>
      </c>
    </row>
    <row r="327" spans="1:6">
      <c r="A327">
        <v>8155</v>
      </c>
      <c r="B327" t="s">
        <v>1808</v>
      </c>
      <c r="C327">
        <v>13.05</v>
      </c>
      <c r="D327">
        <f>VLOOKUP(A327,收盤價!A:C,3,0)</f>
        <v>18.5</v>
      </c>
      <c r="E327" s="164">
        <v>0.41762452107279685</v>
      </c>
      <c r="F327">
        <v>79.37</v>
      </c>
    </row>
    <row r="328" spans="1:6">
      <c r="A328">
        <v>2462</v>
      </c>
      <c r="B328" t="s">
        <v>910</v>
      </c>
      <c r="C328">
        <v>12.85</v>
      </c>
      <c r="D328">
        <f>VLOOKUP(A328,收盤價!A:C,3,0)</f>
        <v>18.2</v>
      </c>
      <c r="E328" s="164">
        <v>0.41634241245136183</v>
      </c>
      <c r="F328">
        <v>79.31</v>
      </c>
    </row>
    <row r="329" spans="1:6">
      <c r="A329">
        <v>6168</v>
      </c>
      <c r="B329" t="s">
        <v>1279</v>
      </c>
      <c r="C329">
        <v>9.2200000000000006</v>
      </c>
      <c r="D329">
        <f>VLOOKUP(A329,收盤價!A:C,3,0)</f>
        <v>13.05</v>
      </c>
      <c r="E329" s="164">
        <v>0.41540130151843818</v>
      </c>
      <c r="F329">
        <v>79.239999999999995</v>
      </c>
    </row>
    <row r="330" spans="1:6">
      <c r="A330">
        <v>3114</v>
      </c>
      <c r="B330" t="s">
        <v>1474</v>
      </c>
      <c r="C330">
        <v>9.91</v>
      </c>
      <c r="D330">
        <f>VLOOKUP(A330,收盤價!A:C,3,0)</f>
        <v>14</v>
      </c>
      <c r="E330" s="164">
        <v>0.41271442986881934</v>
      </c>
      <c r="F330">
        <v>79.180000000000007</v>
      </c>
    </row>
    <row r="331" spans="1:6">
      <c r="A331">
        <v>5309</v>
      </c>
      <c r="B331" t="s">
        <v>1653</v>
      </c>
      <c r="C331">
        <v>13.7</v>
      </c>
      <c r="D331">
        <f>VLOOKUP(A331,收盤價!A:C,3,0)</f>
        <v>19.350000000000001</v>
      </c>
      <c r="E331" s="164">
        <v>0.41240875912408775</v>
      </c>
      <c r="F331">
        <v>79.12</v>
      </c>
    </row>
    <row r="332" spans="1:6">
      <c r="A332">
        <v>4999</v>
      </c>
      <c r="B332" t="s">
        <v>1224</v>
      </c>
      <c r="C332">
        <v>32.5</v>
      </c>
      <c r="D332">
        <f>VLOOKUP(A332,收盤價!A:C,3,0)</f>
        <v>45.9</v>
      </c>
      <c r="E332" s="164">
        <v>0.41230769230769226</v>
      </c>
      <c r="F332">
        <v>79.05</v>
      </c>
    </row>
    <row r="333" spans="1:6">
      <c r="A333">
        <v>1340</v>
      </c>
      <c r="B333" t="s">
        <v>594</v>
      </c>
      <c r="C333">
        <v>51.2</v>
      </c>
      <c r="D333">
        <f>VLOOKUP(A333,收盤價!A:C,3,0)</f>
        <v>72.3</v>
      </c>
      <c r="E333" s="164">
        <v>0.41210937499999989</v>
      </c>
      <c r="F333">
        <v>78.989999999999995</v>
      </c>
    </row>
    <row r="334" spans="1:6">
      <c r="A334">
        <v>8422</v>
      </c>
      <c r="B334" t="s">
        <v>1365</v>
      </c>
      <c r="C334">
        <v>130</v>
      </c>
      <c r="D334">
        <f>VLOOKUP(A334,收盤價!A:C,3,0)</f>
        <v>183.5</v>
      </c>
      <c r="E334" s="164">
        <v>0.41153846153846152</v>
      </c>
      <c r="F334">
        <v>78.930000000000007</v>
      </c>
    </row>
    <row r="335" spans="1:6">
      <c r="A335">
        <v>3450</v>
      </c>
      <c r="B335" t="s">
        <v>1128</v>
      </c>
      <c r="C335">
        <v>98.6</v>
      </c>
      <c r="D335">
        <f>VLOOKUP(A335,收盤價!A:C,3,0)</f>
        <v>139</v>
      </c>
      <c r="E335" s="164">
        <v>0.4097363083164301</v>
      </c>
      <c r="F335">
        <v>78.86</v>
      </c>
    </row>
    <row r="336" spans="1:6">
      <c r="A336">
        <v>8420</v>
      </c>
      <c r="B336" t="s">
        <v>516</v>
      </c>
      <c r="C336">
        <v>16.350000000000001</v>
      </c>
      <c r="D336">
        <f>VLOOKUP(A336,收盤價!A:C,3,0)</f>
        <v>23</v>
      </c>
      <c r="E336" s="164">
        <v>0.40672782874617724</v>
      </c>
      <c r="F336">
        <v>78.8</v>
      </c>
    </row>
    <row r="337" spans="1:6">
      <c r="A337">
        <v>4911</v>
      </c>
      <c r="B337" t="s">
        <v>395</v>
      </c>
      <c r="C337">
        <v>61.6</v>
      </c>
      <c r="D337">
        <f>VLOOKUP(A337,收盤價!A:C,3,0)</f>
        <v>86.6</v>
      </c>
      <c r="E337" s="164">
        <v>0.40584415584415573</v>
      </c>
      <c r="F337">
        <v>78.739999999999995</v>
      </c>
    </row>
    <row r="338" spans="1:6">
      <c r="A338">
        <v>6279</v>
      </c>
      <c r="B338" t="s">
        <v>1762</v>
      </c>
      <c r="C338">
        <v>102.5</v>
      </c>
      <c r="D338">
        <f>VLOOKUP(A338,收盤價!A:C,3,0)</f>
        <v>144</v>
      </c>
      <c r="E338" s="164">
        <v>0.40487804878048783</v>
      </c>
      <c r="F338">
        <v>78.680000000000007</v>
      </c>
    </row>
    <row r="339" spans="1:6">
      <c r="A339">
        <v>4725</v>
      </c>
      <c r="B339" t="s">
        <v>1199</v>
      </c>
      <c r="C339">
        <v>10.75</v>
      </c>
      <c r="D339">
        <f>VLOOKUP(A339,收盤價!A:C,3,0)</f>
        <v>15.1</v>
      </c>
      <c r="E339" s="164">
        <v>0.40465116279069763</v>
      </c>
      <c r="F339">
        <v>78.61</v>
      </c>
    </row>
    <row r="340" spans="1:6">
      <c r="A340">
        <v>4415</v>
      </c>
      <c r="B340" t="s">
        <v>1591</v>
      </c>
      <c r="C340">
        <v>13.6</v>
      </c>
      <c r="D340">
        <f>VLOOKUP(A340,收盤價!A:C,3,0)</f>
        <v>19.100000000000001</v>
      </c>
      <c r="E340" s="164">
        <v>0.40441176470588247</v>
      </c>
      <c r="F340">
        <v>78.55</v>
      </c>
    </row>
    <row r="341" spans="1:6">
      <c r="A341">
        <v>3540</v>
      </c>
      <c r="B341" t="s">
        <v>1533</v>
      </c>
      <c r="C341">
        <v>9.4</v>
      </c>
      <c r="D341">
        <f>VLOOKUP(A341,收盤價!A:C,3,0)</f>
        <v>13.2</v>
      </c>
      <c r="E341" s="164">
        <v>0.40425531914893603</v>
      </c>
      <c r="F341">
        <v>78.489999999999995</v>
      </c>
    </row>
    <row r="342" spans="1:6">
      <c r="A342">
        <v>3152</v>
      </c>
      <c r="B342" t="s">
        <v>1480</v>
      </c>
      <c r="C342">
        <v>172</v>
      </c>
      <c r="D342">
        <f>VLOOKUP(A342,收盤價!A:C,3,0)</f>
        <v>241.5</v>
      </c>
      <c r="E342" s="164">
        <v>0.40406976744186046</v>
      </c>
      <c r="F342">
        <v>78.42</v>
      </c>
    </row>
    <row r="343" spans="1:6">
      <c r="A343">
        <v>1752</v>
      </c>
      <c r="B343" t="s">
        <v>269</v>
      </c>
      <c r="C343">
        <v>35</v>
      </c>
      <c r="D343">
        <f>VLOOKUP(A343,收盤價!A:C,3,0)</f>
        <v>49.1</v>
      </c>
      <c r="E343" s="164">
        <v>0.40285714285714291</v>
      </c>
      <c r="F343">
        <v>78.36</v>
      </c>
    </row>
    <row r="344" spans="1:6">
      <c r="A344">
        <v>8234</v>
      </c>
      <c r="B344" t="s">
        <v>512</v>
      </c>
      <c r="C344">
        <v>21.6</v>
      </c>
      <c r="D344">
        <f>VLOOKUP(A344,收盤價!A:C,3,0)</f>
        <v>30.3</v>
      </c>
      <c r="E344" s="164">
        <v>0.40277777777777773</v>
      </c>
      <c r="F344">
        <v>78.3</v>
      </c>
    </row>
    <row r="345" spans="1:6">
      <c r="A345">
        <v>1813</v>
      </c>
      <c r="B345" t="s">
        <v>273</v>
      </c>
      <c r="C345">
        <v>20.7</v>
      </c>
      <c r="D345">
        <f>VLOOKUP(A345,收盤價!A:C,3,0)</f>
        <v>29</v>
      </c>
      <c r="E345" s="164">
        <v>0.40096618357487929</v>
      </c>
      <c r="F345">
        <v>78.23</v>
      </c>
    </row>
    <row r="346" spans="1:6">
      <c r="A346">
        <v>3646</v>
      </c>
      <c r="B346" t="s">
        <v>1550</v>
      </c>
      <c r="C346">
        <v>10.35</v>
      </c>
      <c r="D346">
        <f>VLOOKUP(A346,收盤價!A:C,3,0)</f>
        <v>14.5</v>
      </c>
      <c r="E346" s="164">
        <v>0.40096618357487929</v>
      </c>
      <c r="F346">
        <v>78.17</v>
      </c>
    </row>
    <row r="347" spans="1:6">
      <c r="A347">
        <v>3011</v>
      </c>
      <c r="B347" t="s">
        <v>1052</v>
      </c>
      <c r="C347">
        <v>4.1900000000000004</v>
      </c>
      <c r="D347">
        <f>VLOOKUP(A347,收盤價!A:C,3,0)</f>
        <v>5.86</v>
      </c>
      <c r="E347" s="164">
        <v>0.39856801909307871</v>
      </c>
      <c r="F347">
        <v>78.11</v>
      </c>
    </row>
    <row r="348" spans="1:6">
      <c r="A348">
        <v>3491</v>
      </c>
      <c r="B348" t="s">
        <v>1522</v>
      </c>
      <c r="C348">
        <v>54.5</v>
      </c>
      <c r="D348">
        <f>VLOOKUP(A348,收盤價!A:C,3,0)</f>
        <v>76.2</v>
      </c>
      <c r="E348" s="164">
        <v>0.39816513761467898</v>
      </c>
      <c r="F348">
        <v>78.040000000000006</v>
      </c>
    </row>
    <row r="349" spans="1:6">
      <c r="A349">
        <v>3622</v>
      </c>
      <c r="B349" t="s">
        <v>1161</v>
      </c>
      <c r="C349">
        <v>8.1199999999999992</v>
      </c>
      <c r="D349">
        <f>VLOOKUP(A349,收盤價!A:C,3,0)</f>
        <v>11.35</v>
      </c>
      <c r="E349" s="164">
        <v>0.39778325123152719</v>
      </c>
      <c r="F349">
        <v>77.98</v>
      </c>
    </row>
    <row r="350" spans="1:6">
      <c r="A350">
        <v>3698</v>
      </c>
      <c r="B350" t="s">
        <v>1172</v>
      </c>
      <c r="C350">
        <v>12.1</v>
      </c>
      <c r="D350">
        <f>VLOOKUP(A350,收盤價!A:C,3,0)</f>
        <v>16.899999999999999</v>
      </c>
      <c r="E350" s="164">
        <v>0.39669421487603296</v>
      </c>
      <c r="F350">
        <v>77.92</v>
      </c>
    </row>
    <row r="351" spans="1:6">
      <c r="A351">
        <v>1460</v>
      </c>
      <c r="B351" t="s">
        <v>629</v>
      </c>
      <c r="C351">
        <v>11.9</v>
      </c>
      <c r="D351">
        <f>VLOOKUP(A351,收盤價!A:C,3,0)</f>
        <v>16.600000000000001</v>
      </c>
      <c r="E351" s="164">
        <v>0.39495798319327741</v>
      </c>
      <c r="F351">
        <v>77.849999999999994</v>
      </c>
    </row>
    <row r="352" spans="1:6">
      <c r="A352">
        <v>3504</v>
      </c>
      <c r="B352" t="s">
        <v>1134</v>
      </c>
      <c r="C352">
        <v>27.1</v>
      </c>
      <c r="D352">
        <f>VLOOKUP(A352,收盤價!A:C,3,0)</f>
        <v>37.799999999999997</v>
      </c>
      <c r="E352" s="164">
        <v>0.39483394833948321</v>
      </c>
      <c r="F352">
        <v>77.790000000000006</v>
      </c>
    </row>
    <row r="353" spans="1:6">
      <c r="A353">
        <v>3672</v>
      </c>
      <c r="B353" t="s">
        <v>360</v>
      </c>
      <c r="C353">
        <v>27.5</v>
      </c>
      <c r="D353">
        <f>VLOOKUP(A353,收盤價!A:C,3,0)</f>
        <v>38.299999999999997</v>
      </c>
      <c r="E353" s="164">
        <v>0.39272727272727265</v>
      </c>
      <c r="F353">
        <v>77.73</v>
      </c>
    </row>
    <row r="354" spans="1:6">
      <c r="A354">
        <v>2465</v>
      </c>
      <c r="B354" t="s">
        <v>912</v>
      </c>
      <c r="C354">
        <v>7.4</v>
      </c>
      <c r="D354">
        <f>VLOOKUP(A354,收盤價!A:C,3,0)</f>
        <v>10.3</v>
      </c>
      <c r="E354" s="164">
        <v>0.39189189189189194</v>
      </c>
      <c r="F354">
        <v>77.67</v>
      </c>
    </row>
    <row r="355" spans="1:6">
      <c r="A355">
        <v>8088</v>
      </c>
      <c r="B355" t="s">
        <v>510</v>
      </c>
      <c r="C355">
        <v>12.25</v>
      </c>
      <c r="D355">
        <f>VLOOKUP(A355,收盤價!A:C,3,0)</f>
        <v>17.05</v>
      </c>
      <c r="E355" s="164">
        <v>0.39183673469387759</v>
      </c>
      <c r="F355">
        <v>77.599999999999994</v>
      </c>
    </row>
    <row r="356" spans="1:6">
      <c r="A356">
        <v>3527</v>
      </c>
      <c r="B356" t="s">
        <v>339</v>
      </c>
      <c r="C356">
        <v>32.450000000000003</v>
      </c>
      <c r="D356">
        <f>VLOOKUP(A356,收盤價!A:C,3,0)</f>
        <v>45.1</v>
      </c>
      <c r="E356" s="164">
        <v>0.38983050847457618</v>
      </c>
      <c r="F356">
        <v>77.540000000000006</v>
      </c>
    </row>
    <row r="357" spans="1:6">
      <c r="A357">
        <v>1731</v>
      </c>
      <c r="B357" t="s">
        <v>721</v>
      </c>
      <c r="C357">
        <v>10.4</v>
      </c>
      <c r="D357">
        <f>VLOOKUP(A357,收盤價!A:C,3,0)</f>
        <v>14.45</v>
      </c>
      <c r="E357" s="164">
        <v>0.38942307692307682</v>
      </c>
      <c r="F357">
        <v>77.48</v>
      </c>
    </row>
    <row r="358" spans="1:6">
      <c r="A358">
        <v>1787</v>
      </c>
      <c r="B358" t="s">
        <v>271</v>
      </c>
      <c r="C358">
        <v>16.899999999999999</v>
      </c>
      <c r="D358">
        <f>VLOOKUP(A358,收盤價!A:C,3,0)</f>
        <v>23.45</v>
      </c>
      <c r="E358" s="164">
        <v>0.38757396449704151</v>
      </c>
      <c r="F358">
        <v>77.41</v>
      </c>
    </row>
    <row r="359" spans="1:6">
      <c r="A359">
        <v>1467</v>
      </c>
      <c r="B359" t="s">
        <v>634</v>
      </c>
      <c r="C359">
        <v>10.5</v>
      </c>
      <c r="D359">
        <f>VLOOKUP(A359,收盤價!A:C,3,0)</f>
        <v>14.55</v>
      </c>
      <c r="E359" s="164">
        <v>0.38571428571428579</v>
      </c>
      <c r="F359">
        <v>77.349999999999994</v>
      </c>
    </row>
    <row r="360" spans="1:6">
      <c r="A360">
        <v>6205</v>
      </c>
      <c r="B360" t="s">
        <v>1292</v>
      </c>
      <c r="C360">
        <v>20.9</v>
      </c>
      <c r="D360">
        <f>VLOOKUP(A360,收盤價!A:C,3,0)</f>
        <v>28.95</v>
      </c>
      <c r="E360" s="164">
        <v>0.3851674641148326</v>
      </c>
      <c r="F360">
        <v>77.290000000000006</v>
      </c>
    </row>
    <row r="361" spans="1:6">
      <c r="A361">
        <v>3533</v>
      </c>
      <c r="B361" t="s">
        <v>1140</v>
      </c>
      <c r="C361">
        <v>86.3</v>
      </c>
      <c r="D361">
        <f>VLOOKUP(A361,收盤價!A:C,3,0)</f>
        <v>119.5</v>
      </c>
      <c r="E361" s="164">
        <v>0.38470451911935116</v>
      </c>
      <c r="F361">
        <v>77.22</v>
      </c>
    </row>
    <row r="362" spans="1:6">
      <c r="A362">
        <v>8406</v>
      </c>
      <c r="B362" t="s">
        <v>1827</v>
      </c>
      <c r="C362">
        <v>305</v>
      </c>
      <c r="D362">
        <f>VLOOKUP(A362,收盤價!A:C,3,0)</f>
        <v>422</v>
      </c>
      <c r="E362" s="164">
        <v>0.38360655737704918</v>
      </c>
      <c r="F362">
        <v>77.16</v>
      </c>
    </row>
    <row r="363" spans="1:6">
      <c r="A363">
        <v>1569</v>
      </c>
      <c r="B363" t="s">
        <v>266</v>
      </c>
      <c r="C363">
        <v>7.2</v>
      </c>
      <c r="D363">
        <f>VLOOKUP(A363,收盤價!A:C,3,0)</f>
        <v>9.9600000000000009</v>
      </c>
      <c r="E363" s="164">
        <v>0.38333333333333341</v>
      </c>
      <c r="F363">
        <v>77.099999999999994</v>
      </c>
    </row>
    <row r="364" spans="1:6">
      <c r="A364">
        <v>2367</v>
      </c>
      <c r="B364" t="s">
        <v>840</v>
      </c>
      <c r="C364">
        <v>9.15</v>
      </c>
      <c r="D364">
        <f>VLOOKUP(A364,收盤價!A:C,3,0)</f>
        <v>12.65</v>
      </c>
      <c r="E364" s="164">
        <v>0.38251366120218577</v>
      </c>
      <c r="F364">
        <v>77.03</v>
      </c>
    </row>
    <row r="365" spans="1:6">
      <c r="A365">
        <v>1786</v>
      </c>
      <c r="B365" t="s">
        <v>731</v>
      </c>
      <c r="C365">
        <v>45.45</v>
      </c>
      <c r="D365">
        <f>VLOOKUP(A365,收盤價!A:C,3,0)</f>
        <v>62.8</v>
      </c>
      <c r="E365" s="164">
        <v>0.38173817381738157</v>
      </c>
      <c r="F365">
        <v>76.97</v>
      </c>
    </row>
    <row r="366" spans="1:6">
      <c r="A366">
        <v>6426</v>
      </c>
      <c r="B366" t="s">
        <v>494</v>
      </c>
      <c r="C366">
        <v>25.2</v>
      </c>
      <c r="D366">
        <f>VLOOKUP(A366,收盤價!A:C,3,0)</f>
        <v>34.799999999999997</v>
      </c>
      <c r="E366" s="164">
        <v>0.38095238095238088</v>
      </c>
      <c r="F366">
        <v>76.91</v>
      </c>
    </row>
    <row r="367" spans="1:6">
      <c r="A367">
        <v>3088</v>
      </c>
      <c r="B367" t="s">
        <v>287</v>
      </c>
      <c r="C367">
        <v>51.6</v>
      </c>
      <c r="D367">
        <f>VLOOKUP(A367,收盤價!A:C,3,0)</f>
        <v>71.2</v>
      </c>
      <c r="E367" s="164">
        <v>0.37984496124031009</v>
      </c>
      <c r="F367">
        <v>76.849999999999994</v>
      </c>
    </row>
    <row r="368" spans="1:6">
      <c r="A368">
        <v>2221</v>
      </c>
      <c r="B368" t="s">
        <v>1454</v>
      </c>
      <c r="C368">
        <v>14</v>
      </c>
      <c r="D368">
        <f>VLOOKUP(A368,收盤價!A:C,3,0)</f>
        <v>19.3</v>
      </c>
      <c r="E368" s="164">
        <v>0.37857142857142861</v>
      </c>
      <c r="F368">
        <v>76.78</v>
      </c>
    </row>
    <row r="369" spans="1:6">
      <c r="A369">
        <v>6239</v>
      </c>
      <c r="B369" t="s">
        <v>1304</v>
      </c>
      <c r="C369">
        <v>52.1</v>
      </c>
      <c r="D369">
        <f>VLOOKUP(A369,收盤價!A:C,3,0)</f>
        <v>71.8</v>
      </c>
      <c r="E369" s="164">
        <v>0.37811900191938569</v>
      </c>
      <c r="F369">
        <v>76.72</v>
      </c>
    </row>
    <row r="370" spans="1:6">
      <c r="A370">
        <v>3419</v>
      </c>
      <c r="B370" t="s">
        <v>1124</v>
      </c>
      <c r="C370">
        <v>10.45</v>
      </c>
      <c r="D370">
        <f>VLOOKUP(A370,收盤價!A:C,3,0)</f>
        <v>14.4</v>
      </c>
      <c r="E370" s="164">
        <v>0.37799043062200971</v>
      </c>
      <c r="F370">
        <v>76.66</v>
      </c>
    </row>
    <row r="371" spans="1:6">
      <c r="A371">
        <v>1736</v>
      </c>
      <c r="B371" t="s">
        <v>726</v>
      </c>
      <c r="C371">
        <v>40.5</v>
      </c>
      <c r="D371">
        <f>VLOOKUP(A371,收盤價!A:C,3,0)</f>
        <v>55.8</v>
      </c>
      <c r="E371" s="164">
        <v>0.37777777777777771</v>
      </c>
      <c r="F371">
        <v>76.59</v>
      </c>
    </row>
    <row r="372" spans="1:6">
      <c r="A372">
        <v>4966</v>
      </c>
      <c r="B372" t="s">
        <v>1629</v>
      </c>
      <c r="C372">
        <v>178</v>
      </c>
      <c r="D372">
        <f>VLOOKUP(A372,收盤價!A:C,3,0)</f>
        <v>245</v>
      </c>
      <c r="E372" s="164">
        <v>0.37640449438202245</v>
      </c>
      <c r="F372">
        <v>76.53</v>
      </c>
    </row>
    <row r="373" spans="1:6">
      <c r="A373">
        <v>6134</v>
      </c>
      <c r="B373" t="s">
        <v>1722</v>
      </c>
      <c r="C373">
        <v>4.76</v>
      </c>
      <c r="D373">
        <f>VLOOKUP(A373,收盤價!A:C,3,0)</f>
        <v>6.55</v>
      </c>
      <c r="E373" s="164">
        <v>0.37605042016806728</v>
      </c>
      <c r="F373">
        <v>76.47</v>
      </c>
    </row>
    <row r="374" spans="1:6">
      <c r="A374">
        <v>2356</v>
      </c>
      <c r="B374" t="s">
        <v>830</v>
      </c>
      <c r="C374">
        <v>14.15</v>
      </c>
      <c r="D374">
        <f>VLOOKUP(A374,收盤價!A:C,3,0)</f>
        <v>19.45</v>
      </c>
      <c r="E374" s="164">
        <v>0.37455830388692574</v>
      </c>
      <c r="F374">
        <v>76.400000000000006</v>
      </c>
    </row>
    <row r="375" spans="1:6">
      <c r="A375">
        <v>3044</v>
      </c>
      <c r="B375" t="s">
        <v>1081</v>
      </c>
      <c r="C375">
        <v>41.5</v>
      </c>
      <c r="D375">
        <f>VLOOKUP(A375,收盤價!A:C,3,0)</f>
        <v>57</v>
      </c>
      <c r="E375" s="164">
        <v>0.37349397590361444</v>
      </c>
      <c r="F375">
        <v>76.34</v>
      </c>
    </row>
    <row r="376" spans="1:6">
      <c r="A376">
        <v>1724</v>
      </c>
      <c r="B376" t="s">
        <v>715</v>
      </c>
      <c r="C376">
        <v>11.25</v>
      </c>
      <c r="D376">
        <f>VLOOKUP(A376,收盤價!A:C,3,0)</f>
        <v>15.45</v>
      </c>
      <c r="E376" s="164">
        <v>0.37333333333333329</v>
      </c>
      <c r="F376">
        <v>76.28</v>
      </c>
    </row>
    <row r="377" spans="1:6">
      <c r="A377">
        <v>3443</v>
      </c>
      <c r="B377" t="s">
        <v>1127</v>
      </c>
      <c r="C377">
        <v>53</v>
      </c>
      <c r="D377">
        <f>VLOOKUP(A377,收盤價!A:C,3,0)</f>
        <v>72.7</v>
      </c>
      <c r="E377" s="164">
        <v>0.3716981132075472</v>
      </c>
      <c r="F377">
        <v>76.209999999999994</v>
      </c>
    </row>
    <row r="378" spans="1:6">
      <c r="A378">
        <v>4979</v>
      </c>
      <c r="B378" t="s">
        <v>401</v>
      </c>
      <c r="C378">
        <v>57.9</v>
      </c>
      <c r="D378">
        <f>VLOOKUP(A378,收盤價!A:C,3,0)</f>
        <v>79.400000000000006</v>
      </c>
      <c r="E378" s="164">
        <v>0.37132987910189996</v>
      </c>
      <c r="F378">
        <v>76.150000000000006</v>
      </c>
    </row>
    <row r="379" spans="1:6">
      <c r="A379">
        <v>4960</v>
      </c>
      <c r="B379" t="s">
        <v>1219</v>
      </c>
      <c r="C379">
        <v>16.25</v>
      </c>
      <c r="D379">
        <f>VLOOKUP(A379,收盤價!A:C,3,0)</f>
        <v>22.25</v>
      </c>
      <c r="E379" s="164">
        <v>0.36923076923076925</v>
      </c>
      <c r="F379">
        <v>76.09</v>
      </c>
    </row>
    <row r="380" spans="1:6">
      <c r="A380">
        <v>3372</v>
      </c>
      <c r="B380" t="s">
        <v>323</v>
      </c>
      <c r="C380">
        <v>5.86</v>
      </c>
      <c r="D380">
        <f>VLOOKUP(A380,收盤價!A:C,3,0)</f>
        <v>8.02</v>
      </c>
      <c r="E380" s="164">
        <v>0.36860068259385653</v>
      </c>
      <c r="F380">
        <v>76.03</v>
      </c>
    </row>
    <row r="381" spans="1:6">
      <c r="A381">
        <v>1592</v>
      </c>
      <c r="B381" t="s">
        <v>682</v>
      </c>
      <c r="C381">
        <v>21.2</v>
      </c>
      <c r="D381">
        <f>VLOOKUP(A381,收盤價!A:C,3,0)</f>
        <v>29</v>
      </c>
      <c r="E381" s="164">
        <v>0.36792452830188682</v>
      </c>
      <c r="F381">
        <v>75.959999999999994</v>
      </c>
    </row>
    <row r="382" spans="1:6">
      <c r="A382">
        <v>2352</v>
      </c>
      <c r="B382" t="s">
        <v>826</v>
      </c>
      <c r="C382">
        <v>8.6999999999999993</v>
      </c>
      <c r="D382">
        <f>VLOOKUP(A382,收盤價!A:C,3,0)</f>
        <v>11.9</v>
      </c>
      <c r="E382" s="164">
        <v>0.36781609195402315</v>
      </c>
      <c r="F382">
        <v>75.900000000000006</v>
      </c>
    </row>
    <row r="383" spans="1:6">
      <c r="A383">
        <v>6228</v>
      </c>
      <c r="B383" t="s">
        <v>1751</v>
      </c>
      <c r="C383">
        <v>8.3000000000000007</v>
      </c>
      <c r="D383">
        <f>VLOOKUP(A383,收盤價!A:C,3,0)</f>
        <v>11.35</v>
      </c>
      <c r="E383" s="164">
        <v>0.36746987951807214</v>
      </c>
      <c r="F383">
        <v>75.84</v>
      </c>
    </row>
    <row r="384" spans="1:6">
      <c r="A384">
        <v>2929</v>
      </c>
      <c r="B384" t="s">
        <v>1044</v>
      </c>
      <c r="C384">
        <v>103.5</v>
      </c>
      <c r="D384">
        <f>VLOOKUP(A384,收盤價!A:C,3,0)</f>
        <v>141.5</v>
      </c>
      <c r="E384" s="164">
        <v>0.3671497584541063</v>
      </c>
      <c r="F384">
        <v>75.77</v>
      </c>
    </row>
    <row r="385" spans="1:6">
      <c r="A385">
        <v>2062</v>
      </c>
      <c r="B385" t="s">
        <v>774</v>
      </c>
      <c r="C385">
        <v>31.2</v>
      </c>
      <c r="D385">
        <f>VLOOKUP(A385,收盤價!A:C,3,0)</f>
        <v>42.65</v>
      </c>
      <c r="E385" s="164">
        <v>0.36698717948717946</v>
      </c>
      <c r="F385">
        <v>75.709999999999994</v>
      </c>
    </row>
    <row r="386" spans="1:6">
      <c r="A386">
        <v>6185</v>
      </c>
      <c r="B386" t="s">
        <v>1737</v>
      </c>
      <c r="C386">
        <v>17.45</v>
      </c>
      <c r="D386">
        <f>VLOOKUP(A386,收盤價!A:C,3,0)</f>
        <v>23.85</v>
      </c>
      <c r="E386" s="164">
        <v>0.36676217765042995</v>
      </c>
      <c r="F386">
        <v>75.650000000000006</v>
      </c>
    </row>
    <row r="387" spans="1:6">
      <c r="A387">
        <v>6245</v>
      </c>
      <c r="B387" t="s">
        <v>1756</v>
      </c>
      <c r="C387">
        <v>32</v>
      </c>
      <c r="D387">
        <f>VLOOKUP(A387,收盤價!A:C,3,0)</f>
        <v>43.7</v>
      </c>
      <c r="E387" s="164">
        <v>0.36562500000000009</v>
      </c>
      <c r="F387">
        <v>75.58</v>
      </c>
    </row>
    <row r="388" spans="1:6">
      <c r="A388">
        <v>4933</v>
      </c>
      <c r="B388" t="s">
        <v>396</v>
      </c>
      <c r="C388">
        <v>18.899999999999999</v>
      </c>
      <c r="D388">
        <f>VLOOKUP(A388,收盤價!A:C,3,0)</f>
        <v>25.8</v>
      </c>
      <c r="E388" s="164">
        <v>0.36507936507936523</v>
      </c>
      <c r="F388">
        <v>75.52</v>
      </c>
    </row>
    <row r="389" spans="1:6">
      <c r="A389">
        <v>3202</v>
      </c>
      <c r="B389" t="s">
        <v>1485</v>
      </c>
      <c r="C389">
        <v>4.47</v>
      </c>
      <c r="D389">
        <f>VLOOKUP(A389,收盤價!A:C,3,0)</f>
        <v>6.1</v>
      </c>
      <c r="E389" s="164">
        <v>0.36465324384787473</v>
      </c>
      <c r="F389">
        <v>75.459999999999994</v>
      </c>
    </row>
    <row r="390" spans="1:6">
      <c r="A390">
        <v>3226</v>
      </c>
      <c r="B390" t="s">
        <v>301</v>
      </c>
      <c r="C390">
        <v>47</v>
      </c>
      <c r="D390">
        <f>VLOOKUP(A390,收盤價!A:C,3,0)</f>
        <v>64.099999999999994</v>
      </c>
      <c r="E390" s="164">
        <v>0.36382978723404241</v>
      </c>
      <c r="F390">
        <v>75.39</v>
      </c>
    </row>
    <row r="391" spans="1:6">
      <c r="A391">
        <v>3209</v>
      </c>
      <c r="B391" t="s">
        <v>1105</v>
      </c>
      <c r="C391">
        <v>18.7</v>
      </c>
      <c r="D391">
        <f>VLOOKUP(A391,收盤價!A:C,3,0)</f>
        <v>25.5</v>
      </c>
      <c r="E391" s="164">
        <v>0.3636363636363637</v>
      </c>
      <c r="F391">
        <v>75.33</v>
      </c>
    </row>
    <row r="392" spans="1:6">
      <c r="A392">
        <v>5211</v>
      </c>
      <c r="B392" t="s">
        <v>408</v>
      </c>
      <c r="C392">
        <v>17.649999999999999</v>
      </c>
      <c r="D392">
        <f>VLOOKUP(A392,收盤價!A:C,3,0)</f>
        <v>24.05</v>
      </c>
      <c r="E392" s="164">
        <v>0.36260623229461769</v>
      </c>
      <c r="F392">
        <v>75.27</v>
      </c>
    </row>
    <row r="393" spans="1:6">
      <c r="A393">
        <v>6125</v>
      </c>
      <c r="B393" t="s">
        <v>454</v>
      </c>
      <c r="C393">
        <v>9.25</v>
      </c>
      <c r="D393">
        <f>VLOOKUP(A393,收盤價!A:C,3,0)</f>
        <v>12.6</v>
      </c>
      <c r="E393" s="164">
        <v>0.36216216216216213</v>
      </c>
      <c r="F393">
        <v>75.209999999999994</v>
      </c>
    </row>
    <row r="394" spans="1:6">
      <c r="A394">
        <v>4127</v>
      </c>
      <c r="B394" t="s">
        <v>1569</v>
      </c>
      <c r="C394">
        <v>18.100000000000001</v>
      </c>
      <c r="D394">
        <f>VLOOKUP(A394,收盤價!A:C,3,0)</f>
        <v>24.65</v>
      </c>
      <c r="E394" s="164">
        <v>0.36187845303867383</v>
      </c>
      <c r="F394">
        <v>75.14</v>
      </c>
    </row>
    <row r="395" spans="1:6">
      <c r="A395">
        <v>3484</v>
      </c>
      <c r="B395" t="s">
        <v>332</v>
      </c>
      <c r="C395">
        <v>24.75</v>
      </c>
      <c r="D395">
        <f>VLOOKUP(A395,收盤價!A:C,3,0)</f>
        <v>33.700000000000003</v>
      </c>
      <c r="E395" s="164">
        <v>0.36161616161616172</v>
      </c>
      <c r="F395">
        <v>75.08</v>
      </c>
    </row>
    <row r="396" spans="1:6">
      <c r="A396">
        <v>1701</v>
      </c>
      <c r="B396" t="s">
        <v>697</v>
      </c>
      <c r="C396">
        <v>15.1</v>
      </c>
      <c r="D396">
        <f>VLOOKUP(A396,收盤價!A:C,3,0)</f>
        <v>20.55</v>
      </c>
      <c r="E396" s="164">
        <v>0.36092715231788086</v>
      </c>
      <c r="F396">
        <v>75.02</v>
      </c>
    </row>
    <row r="397" spans="1:6">
      <c r="A397">
        <v>3383</v>
      </c>
      <c r="B397" t="s">
        <v>1120</v>
      </c>
      <c r="C397">
        <v>6.29</v>
      </c>
      <c r="D397">
        <f>VLOOKUP(A397,收盤價!A:C,3,0)</f>
        <v>8.56</v>
      </c>
      <c r="E397" s="164">
        <v>0.36089030206677275</v>
      </c>
      <c r="F397">
        <v>74.95</v>
      </c>
    </row>
    <row r="398" spans="1:6">
      <c r="A398">
        <v>6129</v>
      </c>
      <c r="B398" t="s">
        <v>1721</v>
      </c>
      <c r="C398">
        <v>5.27</v>
      </c>
      <c r="D398">
        <f>VLOOKUP(A398,收盤價!A:C,3,0)</f>
        <v>7.17</v>
      </c>
      <c r="E398" s="164">
        <v>0.36053130929791283</v>
      </c>
      <c r="F398">
        <v>74.89</v>
      </c>
    </row>
    <row r="399" spans="1:6">
      <c r="A399">
        <v>3231</v>
      </c>
      <c r="B399" t="s">
        <v>1107</v>
      </c>
      <c r="C399">
        <v>12.5</v>
      </c>
      <c r="D399">
        <f>VLOOKUP(A399,收盤價!A:C,3,0)</f>
        <v>17</v>
      </c>
      <c r="E399" s="164">
        <v>0.36</v>
      </c>
      <c r="F399">
        <v>74.83</v>
      </c>
    </row>
    <row r="400" spans="1:6">
      <c r="A400">
        <v>2723</v>
      </c>
      <c r="B400" t="s">
        <v>994</v>
      </c>
      <c r="C400">
        <v>161.5</v>
      </c>
      <c r="D400">
        <f>VLOOKUP(A400,收盤價!A:C,3,0)</f>
        <v>219.5</v>
      </c>
      <c r="E400" s="164">
        <v>0.3591331269349845</v>
      </c>
      <c r="F400">
        <v>74.760000000000005</v>
      </c>
    </row>
    <row r="401" spans="1:6">
      <c r="A401">
        <v>3564</v>
      </c>
      <c r="B401" t="s">
        <v>1538</v>
      </c>
      <c r="C401">
        <v>50.4</v>
      </c>
      <c r="D401">
        <f>VLOOKUP(A401,收盤價!A:C,3,0)</f>
        <v>68.5</v>
      </c>
      <c r="E401" s="164">
        <v>0.35912698412698418</v>
      </c>
      <c r="F401">
        <v>74.7</v>
      </c>
    </row>
    <row r="402" spans="1:6">
      <c r="A402">
        <v>2910</v>
      </c>
      <c r="B402" t="s">
        <v>1038</v>
      </c>
      <c r="C402">
        <v>21.6</v>
      </c>
      <c r="D402">
        <f>VLOOKUP(A402,收盤價!A:C,3,0)</f>
        <v>29.35</v>
      </c>
      <c r="E402" s="164">
        <v>0.35879629629629628</v>
      </c>
      <c r="F402">
        <v>74.64</v>
      </c>
    </row>
    <row r="403" spans="1:6">
      <c r="A403">
        <v>6191</v>
      </c>
      <c r="B403" t="s">
        <v>1286</v>
      </c>
      <c r="C403">
        <v>5.38</v>
      </c>
      <c r="D403">
        <f>VLOOKUP(A403,收盤價!A:C,3,0)</f>
        <v>7.3</v>
      </c>
      <c r="E403" s="164">
        <v>0.35687732342007433</v>
      </c>
      <c r="F403">
        <v>74.569999999999993</v>
      </c>
    </row>
    <row r="404" spans="1:6">
      <c r="A404">
        <v>3707</v>
      </c>
      <c r="B404" t="s">
        <v>363</v>
      </c>
      <c r="C404">
        <v>6.93</v>
      </c>
      <c r="D404">
        <f>VLOOKUP(A404,收盤價!A:C,3,0)</f>
        <v>9.4</v>
      </c>
      <c r="E404" s="164">
        <v>0.35642135642135653</v>
      </c>
      <c r="F404">
        <v>74.510000000000005</v>
      </c>
    </row>
    <row r="405" spans="1:6">
      <c r="A405">
        <v>8427</v>
      </c>
      <c r="B405" t="s">
        <v>1366</v>
      </c>
      <c r="C405">
        <v>40.799999999999997</v>
      </c>
      <c r="D405">
        <f>VLOOKUP(A405,收盤價!A:C,3,0)</f>
        <v>55.3</v>
      </c>
      <c r="E405" s="164">
        <v>0.35539215686274511</v>
      </c>
      <c r="F405">
        <v>74.45</v>
      </c>
    </row>
    <row r="406" spans="1:6">
      <c r="A406">
        <v>6188</v>
      </c>
      <c r="B406" t="s">
        <v>1739</v>
      </c>
      <c r="C406">
        <v>17.05</v>
      </c>
      <c r="D406">
        <f>VLOOKUP(A406,收盤價!A:C,3,0)</f>
        <v>23.1</v>
      </c>
      <c r="E406" s="164">
        <v>0.35483870967741937</v>
      </c>
      <c r="F406">
        <v>74.38</v>
      </c>
    </row>
    <row r="407" spans="1:6">
      <c r="A407">
        <v>5371</v>
      </c>
      <c r="B407" t="s">
        <v>427</v>
      </c>
      <c r="C407">
        <v>21.7</v>
      </c>
      <c r="D407">
        <f>VLOOKUP(A407,收盤價!A:C,3,0)</f>
        <v>29.4</v>
      </c>
      <c r="E407" s="164">
        <v>0.35483870967741932</v>
      </c>
      <c r="F407">
        <v>74.319999999999993</v>
      </c>
    </row>
    <row r="408" spans="1:6">
      <c r="A408">
        <v>8255</v>
      </c>
      <c r="B408" t="s">
        <v>1814</v>
      </c>
      <c r="C408">
        <v>86</v>
      </c>
      <c r="D408">
        <f>VLOOKUP(A408,收盤價!A:C,3,0)</f>
        <v>116.5</v>
      </c>
      <c r="E408" s="164">
        <v>0.35465116279069769</v>
      </c>
      <c r="F408">
        <v>74.260000000000005</v>
      </c>
    </row>
    <row r="409" spans="1:6">
      <c r="A409">
        <v>8383</v>
      </c>
      <c r="B409" t="s">
        <v>513</v>
      </c>
      <c r="C409">
        <v>40.1</v>
      </c>
      <c r="D409">
        <f>VLOOKUP(A409,收盤價!A:C,3,0)</f>
        <v>54.3</v>
      </c>
      <c r="E409" s="164">
        <v>0.35411471321695748</v>
      </c>
      <c r="F409">
        <v>74.2</v>
      </c>
    </row>
    <row r="410" spans="1:6">
      <c r="A410">
        <v>6422</v>
      </c>
      <c r="B410" t="s">
        <v>1323</v>
      </c>
      <c r="C410">
        <v>38.799999999999997</v>
      </c>
      <c r="D410">
        <f>VLOOKUP(A410,收盤價!A:C,3,0)</f>
        <v>52.4</v>
      </c>
      <c r="E410" s="164">
        <v>0.35051546391752586</v>
      </c>
      <c r="F410">
        <v>74.13</v>
      </c>
    </row>
    <row r="411" spans="1:6">
      <c r="A411">
        <v>3218</v>
      </c>
      <c r="B411" t="s">
        <v>300</v>
      </c>
      <c r="C411">
        <v>19.350000000000001</v>
      </c>
      <c r="D411">
        <f>VLOOKUP(A411,收盤價!A:C,3,0)</f>
        <v>26.1</v>
      </c>
      <c r="E411" s="164">
        <v>0.34883720930232553</v>
      </c>
      <c r="F411">
        <v>74.069999999999993</v>
      </c>
    </row>
    <row r="412" spans="1:6">
      <c r="A412">
        <v>2597</v>
      </c>
      <c r="B412" t="s">
        <v>966</v>
      </c>
      <c r="C412">
        <v>31.6</v>
      </c>
      <c r="D412">
        <f>VLOOKUP(A412,收盤價!A:C,3,0)</f>
        <v>42.6</v>
      </c>
      <c r="E412" s="164">
        <v>0.34810126582278478</v>
      </c>
      <c r="F412">
        <v>74.010000000000005</v>
      </c>
    </row>
    <row r="413" spans="1:6">
      <c r="A413">
        <v>6217</v>
      </c>
      <c r="B413" t="s">
        <v>1747</v>
      </c>
      <c r="C413">
        <v>40.450000000000003</v>
      </c>
      <c r="D413">
        <f>VLOOKUP(A413,收盤價!A:C,3,0)</f>
        <v>54.5</v>
      </c>
      <c r="E413" s="164">
        <v>0.34734239802224959</v>
      </c>
      <c r="F413">
        <v>73.94</v>
      </c>
    </row>
    <row r="414" spans="1:6">
      <c r="A414">
        <v>4551</v>
      </c>
      <c r="B414" t="s">
        <v>1195</v>
      </c>
      <c r="C414">
        <v>52</v>
      </c>
      <c r="D414">
        <f>VLOOKUP(A414,收盤價!A:C,3,0)</f>
        <v>70</v>
      </c>
      <c r="E414" s="164">
        <v>0.34615384615384615</v>
      </c>
      <c r="F414">
        <v>73.88</v>
      </c>
    </row>
    <row r="415" spans="1:6">
      <c r="A415">
        <v>3673</v>
      </c>
      <c r="B415" t="s">
        <v>1167</v>
      </c>
      <c r="C415">
        <v>69.2</v>
      </c>
      <c r="D415">
        <f>VLOOKUP(A415,收盤價!A:C,3,0)</f>
        <v>93.1</v>
      </c>
      <c r="E415" s="164">
        <v>0.34537572254335247</v>
      </c>
      <c r="F415">
        <v>73.819999999999993</v>
      </c>
    </row>
    <row r="416" spans="1:6">
      <c r="A416">
        <v>6283</v>
      </c>
      <c r="B416" t="s">
        <v>1314</v>
      </c>
      <c r="C416">
        <v>3.65</v>
      </c>
      <c r="D416">
        <f>VLOOKUP(A416,收盤價!A:C,3,0)</f>
        <v>4.91</v>
      </c>
      <c r="E416" s="164">
        <v>0.34520547945205488</v>
      </c>
      <c r="F416">
        <v>73.75</v>
      </c>
    </row>
    <row r="417" spans="1:6">
      <c r="A417">
        <v>3474</v>
      </c>
      <c r="B417" t="s">
        <v>1130</v>
      </c>
      <c r="C417">
        <v>17.399999999999999</v>
      </c>
      <c r="D417">
        <f>VLOOKUP(A417,收盤價!A:C,3,0)</f>
        <v>23.4</v>
      </c>
      <c r="E417" s="164">
        <v>0.34482758620689657</v>
      </c>
      <c r="F417">
        <v>73.69</v>
      </c>
    </row>
    <row r="418" spans="1:6">
      <c r="A418">
        <v>1795</v>
      </c>
      <c r="B418" t="s">
        <v>1450</v>
      </c>
      <c r="C418">
        <v>58.3</v>
      </c>
      <c r="D418">
        <f>VLOOKUP(A418,收盤價!A:C,3,0)</f>
        <v>78.400000000000006</v>
      </c>
      <c r="E418" s="164">
        <v>0.34476843910806193</v>
      </c>
      <c r="F418">
        <v>73.63</v>
      </c>
    </row>
    <row r="419" spans="1:6">
      <c r="A419">
        <v>2351</v>
      </c>
      <c r="B419" t="s">
        <v>825</v>
      </c>
      <c r="C419">
        <v>21.4</v>
      </c>
      <c r="D419">
        <f>VLOOKUP(A419,收盤價!A:C,3,0)</f>
        <v>28.75</v>
      </c>
      <c r="E419" s="164">
        <v>0.34345794392523371</v>
      </c>
      <c r="F419">
        <v>73.56</v>
      </c>
    </row>
    <row r="420" spans="1:6">
      <c r="A420">
        <v>2331</v>
      </c>
      <c r="B420" t="s">
        <v>814</v>
      </c>
      <c r="C420">
        <v>16.2</v>
      </c>
      <c r="D420">
        <f>VLOOKUP(A420,收盤價!A:C,3,0)</f>
        <v>21.75</v>
      </c>
      <c r="E420" s="164">
        <v>0.34259259259259267</v>
      </c>
      <c r="F420">
        <v>73.5</v>
      </c>
    </row>
    <row r="421" spans="1:6">
      <c r="A421">
        <v>2438</v>
      </c>
      <c r="B421" t="s">
        <v>890</v>
      </c>
      <c r="C421">
        <v>11.1</v>
      </c>
      <c r="D421">
        <f>VLOOKUP(A421,收盤價!A:C,3,0)</f>
        <v>14.9</v>
      </c>
      <c r="E421" s="164">
        <v>0.3423423423423424</v>
      </c>
      <c r="F421">
        <v>73.44</v>
      </c>
    </row>
    <row r="422" spans="1:6">
      <c r="A422">
        <v>4905</v>
      </c>
      <c r="B422" t="s">
        <v>1621</v>
      </c>
      <c r="C422">
        <v>31.5</v>
      </c>
      <c r="D422">
        <f>VLOOKUP(A422,收盤價!A:C,3,0)</f>
        <v>42.2</v>
      </c>
      <c r="E422" s="164">
        <v>0.33968253968253975</v>
      </c>
      <c r="F422">
        <v>73.38</v>
      </c>
    </row>
    <row r="423" spans="1:6">
      <c r="A423">
        <v>3027</v>
      </c>
      <c r="B423" t="s">
        <v>1065</v>
      </c>
      <c r="C423">
        <v>8.9600000000000009</v>
      </c>
      <c r="D423">
        <f>VLOOKUP(A423,收盤價!A:C,3,0)</f>
        <v>12</v>
      </c>
      <c r="E423" s="164">
        <v>0.33928571428571414</v>
      </c>
      <c r="F423">
        <v>73.31</v>
      </c>
    </row>
    <row r="424" spans="1:6">
      <c r="A424">
        <v>4131</v>
      </c>
      <c r="B424" t="s">
        <v>1572</v>
      </c>
      <c r="C424">
        <v>7.2</v>
      </c>
      <c r="D424">
        <f>VLOOKUP(A424,收盤價!A:C,3,0)</f>
        <v>9.64</v>
      </c>
      <c r="E424" s="164">
        <v>0.33888888888888896</v>
      </c>
      <c r="F424">
        <v>73.25</v>
      </c>
    </row>
    <row r="425" spans="1:6">
      <c r="A425">
        <v>2368</v>
      </c>
      <c r="B425" t="s">
        <v>841</v>
      </c>
      <c r="C425">
        <v>7.41</v>
      </c>
      <c r="D425">
        <f>VLOOKUP(A425,收盤價!A:C,3,0)</f>
        <v>9.92</v>
      </c>
      <c r="E425" s="164">
        <v>0.33873144399460187</v>
      </c>
      <c r="F425">
        <v>73.19</v>
      </c>
    </row>
    <row r="426" spans="1:6">
      <c r="A426">
        <v>2369</v>
      </c>
      <c r="B426" t="s">
        <v>842</v>
      </c>
      <c r="C426">
        <v>6.77</v>
      </c>
      <c r="D426">
        <f>VLOOKUP(A426,收盤價!A:C,3,0)</f>
        <v>9.06</v>
      </c>
      <c r="E426" s="164">
        <v>0.3382570162481538</v>
      </c>
      <c r="F426">
        <v>73.12</v>
      </c>
    </row>
    <row r="427" spans="1:6">
      <c r="A427">
        <v>4103</v>
      </c>
      <c r="B427" t="s">
        <v>1561</v>
      </c>
      <c r="C427">
        <v>75.099999999999994</v>
      </c>
      <c r="D427">
        <f>VLOOKUP(A427,收盤價!A:C,3,0)</f>
        <v>100.5</v>
      </c>
      <c r="E427" s="164">
        <v>0.3382157123834888</v>
      </c>
      <c r="F427">
        <v>73.06</v>
      </c>
    </row>
    <row r="428" spans="1:6">
      <c r="A428">
        <v>2419</v>
      </c>
      <c r="B428" t="s">
        <v>874</v>
      </c>
      <c r="C428">
        <v>10.35</v>
      </c>
      <c r="D428">
        <f>VLOOKUP(A428,收盤價!A:C,3,0)</f>
        <v>13.85</v>
      </c>
      <c r="E428" s="164">
        <v>0.33816425120772947</v>
      </c>
      <c r="F428">
        <v>73</v>
      </c>
    </row>
    <row r="429" spans="1:6">
      <c r="A429">
        <v>2328</v>
      </c>
      <c r="B429" t="s">
        <v>811</v>
      </c>
      <c r="C429">
        <v>10.65</v>
      </c>
      <c r="D429">
        <f>VLOOKUP(A429,收盤價!A:C,3,0)</f>
        <v>14.25</v>
      </c>
      <c r="E429" s="164">
        <v>0.33802816901408445</v>
      </c>
      <c r="F429">
        <v>72.930000000000007</v>
      </c>
    </row>
    <row r="430" spans="1:6">
      <c r="A430">
        <v>8905</v>
      </c>
      <c r="B430" t="s">
        <v>1835</v>
      </c>
      <c r="C430">
        <v>11.1</v>
      </c>
      <c r="D430">
        <f>VLOOKUP(A430,收盤價!A:C,3,0)</f>
        <v>14.85</v>
      </c>
      <c r="E430" s="164">
        <v>0.33783783783783783</v>
      </c>
      <c r="F430">
        <v>72.87</v>
      </c>
    </row>
    <row r="431" spans="1:6">
      <c r="A431">
        <v>4906</v>
      </c>
      <c r="B431" t="s">
        <v>1205</v>
      </c>
      <c r="C431">
        <v>11.85</v>
      </c>
      <c r="D431">
        <f>VLOOKUP(A431,收盤價!A:C,3,0)</f>
        <v>15.85</v>
      </c>
      <c r="E431" s="164">
        <v>0.33755274261603374</v>
      </c>
      <c r="F431">
        <v>72.81</v>
      </c>
    </row>
    <row r="432" spans="1:6">
      <c r="A432">
        <v>5203</v>
      </c>
      <c r="B432" t="s">
        <v>1226</v>
      </c>
      <c r="C432">
        <v>52.2</v>
      </c>
      <c r="D432">
        <f>VLOOKUP(A432,收盤價!A:C,3,0)</f>
        <v>69.8</v>
      </c>
      <c r="E432" s="164">
        <v>0.33716475095785425</v>
      </c>
      <c r="F432">
        <v>72.739999999999995</v>
      </c>
    </row>
    <row r="433" spans="1:6">
      <c r="A433">
        <v>4141</v>
      </c>
      <c r="B433" t="s">
        <v>1185</v>
      </c>
      <c r="C433">
        <v>28.8</v>
      </c>
      <c r="D433">
        <f>VLOOKUP(A433,收盤價!A:C,3,0)</f>
        <v>38.5</v>
      </c>
      <c r="E433" s="164">
        <v>0.33680555555555552</v>
      </c>
      <c r="F433">
        <v>72.680000000000007</v>
      </c>
    </row>
    <row r="434" spans="1:6">
      <c r="A434">
        <v>3559</v>
      </c>
      <c r="B434" t="s">
        <v>1146</v>
      </c>
      <c r="C434">
        <v>15.95</v>
      </c>
      <c r="D434">
        <f>VLOOKUP(A434,收盤價!A:C,3,0)</f>
        <v>21.3</v>
      </c>
      <c r="E434" s="164">
        <v>0.33542319749216309</v>
      </c>
      <c r="F434">
        <v>72.62</v>
      </c>
    </row>
    <row r="435" spans="1:6">
      <c r="A435">
        <v>2855</v>
      </c>
      <c r="B435" t="s">
        <v>1014</v>
      </c>
      <c r="C435">
        <v>10.45</v>
      </c>
      <c r="D435">
        <f>VLOOKUP(A435,收盤價!A:C,3,0)</f>
        <v>13.95</v>
      </c>
      <c r="E435" s="164">
        <v>0.3349282296650718</v>
      </c>
      <c r="F435">
        <v>72.56</v>
      </c>
    </row>
    <row r="436" spans="1:6">
      <c r="A436">
        <v>2340</v>
      </c>
      <c r="B436" t="s">
        <v>818</v>
      </c>
      <c r="C436">
        <v>7.41</v>
      </c>
      <c r="D436">
        <f>VLOOKUP(A436,收盤價!A:C,3,0)</f>
        <v>9.8800000000000008</v>
      </c>
      <c r="E436" s="164">
        <v>0.33333333333333343</v>
      </c>
      <c r="F436">
        <v>72.489999999999995</v>
      </c>
    </row>
    <row r="437" spans="1:6">
      <c r="A437">
        <v>3048</v>
      </c>
      <c r="B437" t="s">
        <v>1085</v>
      </c>
      <c r="C437">
        <v>14.85</v>
      </c>
      <c r="D437">
        <f>VLOOKUP(A437,收盤價!A:C,3,0)</f>
        <v>19.8</v>
      </c>
      <c r="E437" s="164">
        <v>0.33333333333333343</v>
      </c>
      <c r="F437">
        <v>72.430000000000007</v>
      </c>
    </row>
    <row r="438" spans="1:6">
      <c r="A438">
        <v>3068</v>
      </c>
      <c r="B438" t="s">
        <v>285</v>
      </c>
      <c r="C438">
        <v>25.95</v>
      </c>
      <c r="D438">
        <f>VLOOKUP(A438,收盤價!A:C,3,0)</f>
        <v>34.6</v>
      </c>
      <c r="E438" s="164">
        <v>0.33333333333333343</v>
      </c>
      <c r="F438">
        <v>72.37</v>
      </c>
    </row>
    <row r="439" spans="1:6">
      <c r="A439">
        <v>8996</v>
      </c>
      <c r="B439" t="s">
        <v>1373</v>
      </c>
      <c r="C439">
        <v>31.05</v>
      </c>
      <c r="D439">
        <f>VLOOKUP(A439,收盤價!A:C,3,0)</f>
        <v>41.4</v>
      </c>
      <c r="E439" s="164">
        <v>0.33333333333333326</v>
      </c>
      <c r="F439">
        <v>72.3</v>
      </c>
    </row>
    <row r="440" spans="1:6">
      <c r="A440">
        <v>2905</v>
      </c>
      <c r="B440" t="s">
        <v>1035</v>
      </c>
      <c r="C440">
        <v>16.399999999999999</v>
      </c>
      <c r="D440">
        <f>VLOOKUP(A440,收盤價!A:C,3,0)</f>
        <v>21.85</v>
      </c>
      <c r="E440" s="164">
        <v>0.33231707317073189</v>
      </c>
      <c r="F440">
        <v>72.239999999999995</v>
      </c>
    </row>
    <row r="441" spans="1:6">
      <c r="A441">
        <v>2399</v>
      </c>
      <c r="B441" t="s">
        <v>861</v>
      </c>
      <c r="C441">
        <v>5.36</v>
      </c>
      <c r="D441">
        <f>VLOOKUP(A441,收盤價!A:C,3,0)</f>
        <v>7.14</v>
      </c>
      <c r="E441" s="164">
        <v>0.33208955223880582</v>
      </c>
      <c r="F441">
        <v>72.180000000000007</v>
      </c>
    </row>
    <row r="442" spans="1:6">
      <c r="A442">
        <v>6223</v>
      </c>
      <c r="B442" t="s">
        <v>474</v>
      </c>
      <c r="C442">
        <v>50.9</v>
      </c>
      <c r="D442">
        <f>VLOOKUP(A442,收盤價!A:C,3,0)</f>
        <v>67.8</v>
      </c>
      <c r="E442" s="164">
        <v>0.33202357563850687</v>
      </c>
      <c r="F442">
        <v>72.11</v>
      </c>
    </row>
    <row r="443" spans="1:6">
      <c r="A443">
        <v>3573</v>
      </c>
      <c r="B443" t="s">
        <v>1148</v>
      </c>
      <c r="C443">
        <v>13.5</v>
      </c>
      <c r="D443">
        <f>VLOOKUP(A443,收盤價!A:C,3,0)</f>
        <v>17.95</v>
      </c>
      <c r="E443" s="164">
        <v>0.32962962962962955</v>
      </c>
      <c r="F443">
        <v>72.05</v>
      </c>
    </row>
    <row r="444" spans="1:6">
      <c r="A444">
        <v>6173</v>
      </c>
      <c r="B444" t="s">
        <v>1734</v>
      </c>
      <c r="C444">
        <v>7.56</v>
      </c>
      <c r="D444">
        <f>VLOOKUP(A444,收盤價!A:C,3,0)</f>
        <v>10.050000000000001</v>
      </c>
      <c r="E444" s="164">
        <v>0.32936507936507953</v>
      </c>
      <c r="F444">
        <v>71.989999999999995</v>
      </c>
    </row>
    <row r="445" spans="1:6">
      <c r="A445">
        <v>6220</v>
      </c>
      <c r="B445" t="s">
        <v>472</v>
      </c>
      <c r="C445">
        <v>11.55</v>
      </c>
      <c r="D445">
        <f>VLOOKUP(A445,收盤價!A:C,3,0)</f>
        <v>15.35</v>
      </c>
      <c r="E445" s="164">
        <v>0.32900432900432891</v>
      </c>
      <c r="F445">
        <v>71.92</v>
      </c>
    </row>
    <row r="446" spans="1:6">
      <c r="A446">
        <v>4144</v>
      </c>
      <c r="B446" t="s">
        <v>1187</v>
      </c>
      <c r="C446">
        <v>43.95</v>
      </c>
      <c r="D446">
        <f>VLOOKUP(A446,收盤價!A:C,3,0)</f>
        <v>58.4</v>
      </c>
      <c r="E446" s="164">
        <v>0.32878270762229794</v>
      </c>
      <c r="F446">
        <v>71.86</v>
      </c>
    </row>
    <row r="447" spans="1:6">
      <c r="A447">
        <v>5349</v>
      </c>
      <c r="B447" t="s">
        <v>1662</v>
      </c>
      <c r="C447">
        <v>24.25</v>
      </c>
      <c r="D447">
        <f>VLOOKUP(A447,收盤價!A:C,3,0)</f>
        <v>32.200000000000003</v>
      </c>
      <c r="E447" s="164">
        <v>0.32783505154639186</v>
      </c>
      <c r="F447">
        <v>71.8</v>
      </c>
    </row>
    <row r="448" spans="1:6">
      <c r="A448">
        <v>3313</v>
      </c>
      <c r="B448" t="s">
        <v>318</v>
      </c>
      <c r="C448">
        <v>5.72</v>
      </c>
      <c r="D448">
        <f>VLOOKUP(A448,收盤價!A:C,3,0)</f>
        <v>7.58</v>
      </c>
      <c r="E448" s="164">
        <v>0.32517482517482527</v>
      </c>
      <c r="F448">
        <v>71.739999999999995</v>
      </c>
    </row>
    <row r="449" spans="1:6">
      <c r="A449">
        <v>6143</v>
      </c>
      <c r="B449" t="s">
        <v>1725</v>
      </c>
      <c r="C449">
        <v>46.2</v>
      </c>
      <c r="D449">
        <f>VLOOKUP(A449,收盤價!A:C,3,0)</f>
        <v>61.2</v>
      </c>
      <c r="E449" s="164">
        <v>0.32467532467532467</v>
      </c>
      <c r="F449">
        <v>71.67</v>
      </c>
    </row>
    <row r="450" spans="1:6">
      <c r="A450">
        <v>4987</v>
      </c>
      <c r="B450" t="s">
        <v>1633</v>
      </c>
      <c r="C450">
        <v>59.3</v>
      </c>
      <c r="D450">
        <f>VLOOKUP(A450,收盤價!A:C,3,0)</f>
        <v>78.5</v>
      </c>
      <c r="E450" s="164">
        <v>0.32377740303541319</v>
      </c>
      <c r="F450">
        <v>71.61</v>
      </c>
    </row>
    <row r="451" spans="1:6">
      <c r="A451">
        <v>3019</v>
      </c>
      <c r="B451" t="s">
        <v>1058</v>
      </c>
      <c r="C451">
        <v>23.95</v>
      </c>
      <c r="D451">
        <f>VLOOKUP(A451,收盤價!A:C,3,0)</f>
        <v>31.7</v>
      </c>
      <c r="E451" s="164">
        <v>0.32359081419624219</v>
      </c>
      <c r="F451">
        <v>71.55</v>
      </c>
    </row>
    <row r="452" spans="1:6">
      <c r="A452">
        <v>2455</v>
      </c>
      <c r="B452" t="s">
        <v>903</v>
      </c>
      <c r="C452">
        <v>34.15</v>
      </c>
      <c r="D452">
        <f>VLOOKUP(A452,收盤價!A:C,3,0)</f>
        <v>45.2</v>
      </c>
      <c r="E452" s="164">
        <v>0.32357247437774539</v>
      </c>
      <c r="F452">
        <v>71.48</v>
      </c>
    </row>
    <row r="453" spans="1:6">
      <c r="A453">
        <v>1599</v>
      </c>
      <c r="B453" t="s">
        <v>1445</v>
      </c>
      <c r="C453">
        <v>46.9</v>
      </c>
      <c r="D453">
        <f>VLOOKUP(A453,收盤價!A:C,3,0)</f>
        <v>62</v>
      </c>
      <c r="E453" s="164">
        <v>0.32196162046908322</v>
      </c>
      <c r="F453">
        <v>71.42</v>
      </c>
    </row>
    <row r="454" spans="1:6">
      <c r="A454">
        <v>3141</v>
      </c>
      <c r="B454" t="s">
        <v>293</v>
      </c>
      <c r="C454">
        <v>15.55</v>
      </c>
      <c r="D454">
        <f>VLOOKUP(A454,收盤價!A:C,3,0)</f>
        <v>20.55</v>
      </c>
      <c r="E454" s="164">
        <v>0.32154340836012862</v>
      </c>
      <c r="F454">
        <v>71.36</v>
      </c>
    </row>
    <row r="455" spans="1:6">
      <c r="A455">
        <v>3260</v>
      </c>
      <c r="B455" t="s">
        <v>1495</v>
      </c>
      <c r="C455">
        <v>24.9</v>
      </c>
      <c r="D455">
        <f>VLOOKUP(A455,收盤價!A:C,3,0)</f>
        <v>32.9</v>
      </c>
      <c r="E455" s="164">
        <v>0.32128514056224899</v>
      </c>
      <c r="F455">
        <v>71.290000000000006</v>
      </c>
    </row>
    <row r="456" spans="1:6">
      <c r="A456">
        <v>6015</v>
      </c>
      <c r="B456" t="s">
        <v>1702</v>
      </c>
      <c r="C456">
        <v>4.83</v>
      </c>
      <c r="D456">
        <f>VLOOKUP(A456,收盤價!A:C,3,0)</f>
        <v>6.38</v>
      </c>
      <c r="E456" s="164">
        <v>0.32091097308488609</v>
      </c>
      <c r="F456">
        <v>71.23</v>
      </c>
    </row>
    <row r="457" spans="1:6">
      <c r="A457">
        <v>8437</v>
      </c>
      <c r="B457" t="s">
        <v>1833</v>
      </c>
      <c r="C457">
        <v>104.5</v>
      </c>
      <c r="D457">
        <f>VLOOKUP(A457,收盤價!A:C,3,0)</f>
        <v>138</v>
      </c>
      <c r="E457" s="164">
        <v>0.32057416267942584</v>
      </c>
      <c r="F457">
        <v>71.17</v>
      </c>
    </row>
    <row r="458" spans="1:6">
      <c r="A458">
        <v>6442</v>
      </c>
      <c r="B458" t="s">
        <v>1325</v>
      </c>
      <c r="C458">
        <v>41.5</v>
      </c>
      <c r="D458">
        <f>VLOOKUP(A458,收盤價!A:C,3,0)</f>
        <v>54.8</v>
      </c>
      <c r="E458" s="164">
        <v>0.32048192771084333</v>
      </c>
      <c r="F458">
        <v>71.099999999999994</v>
      </c>
    </row>
    <row r="459" spans="1:6">
      <c r="A459">
        <v>3706</v>
      </c>
      <c r="B459" t="s">
        <v>1178</v>
      </c>
      <c r="C459">
        <v>18.75</v>
      </c>
      <c r="D459">
        <f>VLOOKUP(A459,收盤價!A:C,3,0)</f>
        <v>24.75</v>
      </c>
      <c r="E459" s="164">
        <v>0.32</v>
      </c>
      <c r="F459">
        <v>71.040000000000006</v>
      </c>
    </row>
    <row r="460" spans="1:6">
      <c r="A460">
        <v>1215</v>
      </c>
      <c r="B460" t="s">
        <v>555</v>
      </c>
      <c r="C460">
        <v>18</v>
      </c>
      <c r="D460">
        <f>VLOOKUP(A460,收盤價!A:C,3,0)</f>
        <v>23.75</v>
      </c>
      <c r="E460" s="164">
        <v>0.31944444444444442</v>
      </c>
      <c r="F460">
        <v>70.98</v>
      </c>
    </row>
    <row r="461" spans="1:6">
      <c r="A461">
        <v>4712</v>
      </c>
      <c r="B461" t="s">
        <v>388</v>
      </c>
      <c r="C461">
        <v>7.05</v>
      </c>
      <c r="D461">
        <f>VLOOKUP(A461,收盤價!A:C,3,0)</f>
        <v>9.3000000000000007</v>
      </c>
      <c r="E461" s="164">
        <v>0.31914893617021289</v>
      </c>
      <c r="F461">
        <v>70.91</v>
      </c>
    </row>
    <row r="462" spans="1:6">
      <c r="A462">
        <v>5007</v>
      </c>
      <c r="B462" t="s">
        <v>1225</v>
      </c>
      <c r="C462">
        <v>46.6</v>
      </c>
      <c r="D462">
        <f>VLOOKUP(A462,收盤價!A:C,3,0)</f>
        <v>61.4</v>
      </c>
      <c r="E462" s="164">
        <v>0.31759656652360507</v>
      </c>
      <c r="F462">
        <v>70.849999999999994</v>
      </c>
    </row>
    <row r="463" spans="1:6">
      <c r="A463">
        <v>2323</v>
      </c>
      <c r="B463" t="s">
        <v>807</v>
      </c>
      <c r="C463">
        <v>2.52</v>
      </c>
      <c r="D463">
        <f>VLOOKUP(A463,收盤價!A:C,3,0)</f>
        <v>3.32</v>
      </c>
      <c r="E463" s="164">
        <v>0.31746031746031739</v>
      </c>
      <c r="F463">
        <v>70.790000000000006</v>
      </c>
    </row>
    <row r="464" spans="1:6">
      <c r="A464">
        <v>2464</v>
      </c>
      <c r="B464" t="s">
        <v>911</v>
      </c>
      <c r="C464">
        <v>22.4</v>
      </c>
      <c r="D464">
        <f>VLOOKUP(A464,收盤價!A:C,3,0)</f>
        <v>29.5</v>
      </c>
      <c r="E464" s="164">
        <v>0.31696428571428581</v>
      </c>
      <c r="F464">
        <v>70.73</v>
      </c>
    </row>
    <row r="465" spans="1:6">
      <c r="A465">
        <v>3090</v>
      </c>
      <c r="B465" t="s">
        <v>1098</v>
      </c>
      <c r="C465">
        <v>17.55</v>
      </c>
      <c r="D465">
        <f>VLOOKUP(A465,收盤價!A:C,3,0)</f>
        <v>23.1</v>
      </c>
      <c r="E465" s="164">
        <v>0.31623931623931628</v>
      </c>
      <c r="F465">
        <v>70.66</v>
      </c>
    </row>
    <row r="466" spans="1:6">
      <c r="A466">
        <v>3679</v>
      </c>
      <c r="B466" t="s">
        <v>1168</v>
      </c>
      <c r="C466">
        <v>33.450000000000003</v>
      </c>
      <c r="D466">
        <f>VLOOKUP(A466,收盤價!A:C,3,0)</f>
        <v>44</v>
      </c>
      <c r="E466" s="164">
        <v>0.3153961136023915</v>
      </c>
      <c r="F466">
        <v>70.599999999999994</v>
      </c>
    </row>
    <row r="467" spans="1:6">
      <c r="A467">
        <v>3118</v>
      </c>
      <c r="B467" t="s">
        <v>1476</v>
      </c>
      <c r="C467">
        <v>30</v>
      </c>
      <c r="D467">
        <f>VLOOKUP(A467,收盤價!A:C,3,0)</f>
        <v>39.450000000000003</v>
      </c>
      <c r="E467" s="164">
        <v>0.31500000000000011</v>
      </c>
      <c r="F467">
        <v>70.540000000000006</v>
      </c>
    </row>
    <row r="468" spans="1:6">
      <c r="A468">
        <v>3288</v>
      </c>
      <c r="B468" t="s">
        <v>1499</v>
      </c>
      <c r="C468">
        <v>5.81</v>
      </c>
      <c r="D468">
        <f>VLOOKUP(A468,收盤價!A:C,3,0)</f>
        <v>7.64</v>
      </c>
      <c r="E468" s="164">
        <v>0.314974182444062</v>
      </c>
      <c r="F468">
        <v>70.47</v>
      </c>
    </row>
    <row r="469" spans="1:6">
      <c r="A469">
        <v>1725</v>
      </c>
      <c r="B469" t="s">
        <v>716</v>
      </c>
      <c r="C469">
        <v>11</v>
      </c>
      <c r="D469">
        <f>VLOOKUP(A469,收盤價!A:C,3,0)</f>
        <v>14.45</v>
      </c>
      <c r="E469" s="164">
        <v>0.31363636363636355</v>
      </c>
      <c r="F469">
        <v>70.41</v>
      </c>
    </row>
    <row r="470" spans="1:6">
      <c r="A470">
        <v>4746</v>
      </c>
      <c r="B470" t="s">
        <v>1202</v>
      </c>
      <c r="C470">
        <v>52.7</v>
      </c>
      <c r="D470">
        <f>VLOOKUP(A470,收盤價!A:C,3,0)</f>
        <v>69.2</v>
      </c>
      <c r="E470" s="164">
        <v>0.31309297912713469</v>
      </c>
      <c r="F470">
        <v>70.349999999999994</v>
      </c>
    </row>
    <row r="471" spans="1:6">
      <c r="A471">
        <v>3563</v>
      </c>
      <c r="B471" t="s">
        <v>348</v>
      </c>
      <c r="C471">
        <v>35.200000000000003</v>
      </c>
      <c r="D471">
        <f>VLOOKUP(A471,收盤價!A:C,3,0)</f>
        <v>46.2</v>
      </c>
      <c r="E471" s="164">
        <v>0.3125</v>
      </c>
      <c r="F471">
        <v>70.28</v>
      </c>
    </row>
    <row r="472" spans="1:6">
      <c r="A472">
        <v>5398</v>
      </c>
      <c r="B472" t="s">
        <v>429</v>
      </c>
      <c r="C472">
        <v>16.7</v>
      </c>
      <c r="D472">
        <f>VLOOKUP(A472,收盤價!A:C,3,0)</f>
        <v>21.9</v>
      </c>
      <c r="E472" s="164">
        <v>0.31137724550898199</v>
      </c>
      <c r="F472">
        <v>70.22</v>
      </c>
    </row>
    <row r="473" spans="1:6">
      <c r="A473">
        <v>6130</v>
      </c>
      <c r="B473" t="s">
        <v>455</v>
      </c>
      <c r="C473">
        <v>23.65</v>
      </c>
      <c r="D473">
        <f>VLOOKUP(A473,收盤價!A:C,3,0)</f>
        <v>31</v>
      </c>
      <c r="E473" s="164">
        <v>0.31078224101479923</v>
      </c>
      <c r="F473">
        <v>70.16</v>
      </c>
    </row>
    <row r="474" spans="1:6">
      <c r="A474">
        <v>5498</v>
      </c>
      <c r="B474" t="s">
        <v>1686</v>
      </c>
      <c r="C474">
        <v>6.6</v>
      </c>
      <c r="D474">
        <f>VLOOKUP(A474,收盤價!A:C,3,0)</f>
        <v>8.65</v>
      </c>
      <c r="E474" s="164">
        <v>0.31060606060606072</v>
      </c>
      <c r="F474">
        <v>70.09</v>
      </c>
    </row>
    <row r="475" spans="1:6">
      <c r="A475">
        <v>6213</v>
      </c>
      <c r="B475" t="s">
        <v>1295</v>
      </c>
      <c r="C475">
        <v>16.75</v>
      </c>
      <c r="D475">
        <f>VLOOKUP(A475,收盤價!A:C,3,0)</f>
        <v>21.95</v>
      </c>
      <c r="E475" s="164">
        <v>0.31044776119402978</v>
      </c>
      <c r="F475">
        <v>70.03</v>
      </c>
    </row>
    <row r="476" spans="1:6">
      <c r="A476">
        <v>8107</v>
      </c>
      <c r="B476" t="s">
        <v>511</v>
      </c>
      <c r="C476">
        <v>14.35</v>
      </c>
      <c r="D476">
        <f>VLOOKUP(A476,收盤價!A:C,3,0)</f>
        <v>18.8</v>
      </c>
      <c r="E476" s="164">
        <v>0.3101045296167248</v>
      </c>
      <c r="F476">
        <v>69.97</v>
      </c>
    </row>
    <row r="477" spans="1:6">
      <c r="A477">
        <v>8039</v>
      </c>
      <c r="B477" t="s">
        <v>1339</v>
      </c>
      <c r="C477">
        <v>31.15</v>
      </c>
      <c r="D477">
        <f>VLOOKUP(A477,收盤價!A:C,3,0)</f>
        <v>40.799999999999997</v>
      </c>
      <c r="E477" s="164">
        <v>0.30979133226324235</v>
      </c>
      <c r="F477">
        <v>69.91</v>
      </c>
    </row>
    <row r="478" spans="1:6">
      <c r="A478">
        <v>2008</v>
      </c>
      <c r="B478" t="s">
        <v>750</v>
      </c>
      <c r="C478">
        <v>6.78</v>
      </c>
      <c r="D478">
        <f>VLOOKUP(A478,收盤價!A:C,3,0)</f>
        <v>8.8800000000000008</v>
      </c>
      <c r="E478" s="164">
        <v>0.30973451327433638</v>
      </c>
      <c r="F478">
        <v>69.84</v>
      </c>
    </row>
    <row r="479" spans="1:6">
      <c r="A479">
        <v>3023</v>
      </c>
      <c r="B479" t="s">
        <v>1061</v>
      </c>
      <c r="C479">
        <v>46.5</v>
      </c>
      <c r="D479">
        <f>VLOOKUP(A479,收盤價!A:C,3,0)</f>
        <v>60.9</v>
      </c>
      <c r="E479" s="164">
        <v>0.30967741935483867</v>
      </c>
      <c r="F479">
        <v>69.78</v>
      </c>
    </row>
    <row r="480" spans="1:6">
      <c r="A480">
        <v>2360</v>
      </c>
      <c r="B480" t="s">
        <v>834</v>
      </c>
      <c r="C480">
        <v>49.65</v>
      </c>
      <c r="D480">
        <f>VLOOKUP(A480,收盤價!A:C,3,0)</f>
        <v>65</v>
      </c>
      <c r="E480" s="164">
        <v>0.30916414904330314</v>
      </c>
      <c r="F480">
        <v>69.72</v>
      </c>
    </row>
    <row r="481" spans="1:6">
      <c r="A481">
        <v>4930</v>
      </c>
      <c r="B481" t="s">
        <v>1211</v>
      </c>
      <c r="C481">
        <v>11.5</v>
      </c>
      <c r="D481">
        <f>VLOOKUP(A481,收盤價!A:C,3,0)</f>
        <v>15.05</v>
      </c>
      <c r="E481" s="164">
        <v>0.30869565217391309</v>
      </c>
      <c r="F481">
        <v>69.650000000000006</v>
      </c>
    </row>
    <row r="482" spans="1:6">
      <c r="A482">
        <v>3189</v>
      </c>
      <c r="B482" t="s">
        <v>1104</v>
      </c>
      <c r="C482">
        <v>51.2</v>
      </c>
      <c r="D482">
        <f>VLOOKUP(A482,收盤價!A:C,3,0)</f>
        <v>67</v>
      </c>
      <c r="E482" s="164">
        <v>0.30859374999999994</v>
      </c>
      <c r="F482">
        <v>69.59</v>
      </c>
    </row>
    <row r="483" spans="1:6">
      <c r="A483">
        <v>1603</v>
      </c>
      <c r="B483" t="s">
        <v>683</v>
      </c>
      <c r="C483">
        <v>9.4</v>
      </c>
      <c r="D483">
        <f>VLOOKUP(A483,收盤價!A:C,3,0)</f>
        <v>12.3</v>
      </c>
      <c r="E483" s="164">
        <v>0.30851063829787234</v>
      </c>
      <c r="F483">
        <v>69.53</v>
      </c>
    </row>
    <row r="484" spans="1:6">
      <c r="A484">
        <v>1777</v>
      </c>
      <c r="B484" t="s">
        <v>270</v>
      </c>
      <c r="C484">
        <v>65.8</v>
      </c>
      <c r="D484">
        <f>VLOOKUP(A484,收盤價!A:C,3,0)</f>
        <v>86.1</v>
      </c>
      <c r="E484" s="164">
        <v>0.30851063829787229</v>
      </c>
      <c r="F484">
        <v>69.459999999999994</v>
      </c>
    </row>
    <row r="485" spans="1:6">
      <c r="A485">
        <v>8240</v>
      </c>
      <c r="B485" t="s">
        <v>1813</v>
      </c>
      <c r="C485">
        <v>14.75</v>
      </c>
      <c r="D485">
        <f>VLOOKUP(A485,收盤價!A:C,3,0)</f>
        <v>19.3</v>
      </c>
      <c r="E485" s="164">
        <v>0.30847457627118646</v>
      </c>
      <c r="F485">
        <v>69.400000000000006</v>
      </c>
    </row>
    <row r="486" spans="1:6">
      <c r="A486">
        <v>5302</v>
      </c>
      <c r="B486" t="s">
        <v>418</v>
      </c>
      <c r="C486">
        <v>4.25</v>
      </c>
      <c r="D486">
        <f>VLOOKUP(A486,收盤價!A:C,3,0)</f>
        <v>5.56</v>
      </c>
      <c r="E486" s="164">
        <v>0.30823529411764694</v>
      </c>
      <c r="F486">
        <v>69.34</v>
      </c>
    </row>
    <row r="487" spans="1:6">
      <c r="A487">
        <v>8131</v>
      </c>
      <c r="B487" t="s">
        <v>1350</v>
      </c>
      <c r="C487">
        <v>16.100000000000001</v>
      </c>
      <c r="D487">
        <f>VLOOKUP(A487,收盤價!A:C,3,0)</f>
        <v>21.05</v>
      </c>
      <c r="E487" s="164">
        <v>0.30745341614906824</v>
      </c>
      <c r="F487">
        <v>69.27</v>
      </c>
    </row>
    <row r="488" spans="1:6">
      <c r="A488">
        <v>2231</v>
      </c>
      <c r="B488" t="s">
        <v>793</v>
      </c>
      <c r="C488">
        <v>320.5</v>
      </c>
      <c r="D488">
        <f>VLOOKUP(A488,收盤價!A:C,3,0)</f>
        <v>419</v>
      </c>
      <c r="E488" s="164">
        <v>0.30733229329173167</v>
      </c>
      <c r="F488">
        <v>69.209999999999994</v>
      </c>
    </row>
    <row r="489" spans="1:6">
      <c r="A489">
        <v>6278</v>
      </c>
      <c r="B489" t="s">
        <v>1311</v>
      </c>
      <c r="C489">
        <v>25.5</v>
      </c>
      <c r="D489">
        <f>VLOOKUP(A489,收盤價!A:C,3,0)</f>
        <v>33.299999999999997</v>
      </c>
      <c r="E489" s="164">
        <v>0.30588235294117638</v>
      </c>
      <c r="F489">
        <v>69.150000000000006</v>
      </c>
    </row>
    <row r="490" spans="1:6">
      <c r="A490">
        <v>2636</v>
      </c>
      <c r="B490" t="s">
        <v>1456</v>
      </c>
      <c r="C490">
        <v>23.4</v>
      </c>
      <c r="D490">
        <f>VLOOKUP(A490,收盤價!A:C,3,0)</f>
        <v>30.55</v>
      </c>
      <c r="E490" s="164">
        <v>0.30555555555555569</v>
      </c>
      <c r="F490">
        <v>69.09</v>
      </c>
    </row>
    <row r="491" spans="1:6">
      <c r="A491">
        <v>6022</v>
      </c>
      <c r="B491" t="s">
        <v>1704</v>
      </c>
      <c r="C491">
        <v>7.7</v>
      </c>
      <c r="D491">
        <f>VLOOKUP(A491,收盤價!A:C,3,0)</f>
        <v>10.050000000000001</v>
      </c>
      <c r="E491" s="164">
        <v>0.30519480519480524</v>
      </c>
      <c r="F491">
        <v>69.02</v>
      </c>
    </row>
    <row r="492" spans="1:6">
      <c r="A492">
        <v>4912</v>
      </c>
      <c r="B492" t="s">
        <v>1206</v>
      </c>
      <c r="C492">
        <v>61</v>
      </c>
      <c r="D492">
        <f>VLOOKUP(A492,收盤價!A:C,3,0)</f>
        <v>79.599999999999994</v>
      </c>
      <c r="E492" s="164">
        <v>0.30491803278688517</v>
      </c>
      <c r="F492">
        <v>68.959999999999994</v>
      </c>
    </row>
    <row r="493" spans="1:6">
      <c r="A493">
        <v>6432</v>
      </c>
      <c r="B493" t="s">
        <v>1771</v>
      </c>
      <c r="C493">
        <v>23</v>
      </c>
      <c r="D493">
        <f>VLOOKUP(A493,收盤價!A:C,3,0)</f>
        <v>30</v>
      </c>
      <c r="E493" s="164">
        <v>0.30434782608695654</v>
      </c>
      <c r="F493">
        <v>68.900000000000006</v>
      </c>
    </row>
    <row r="494" spans="1:6">
      <c r="A494">
        <v>3034</v>
      </c>
      <c r="B494" t="s">
        <v>1072</v>
      </c>
      <c r="C494">
        <v>102</v>
      </c>
      <c r="D494">
        <f>VLOOKUP(A494,收盤價!A:C,3,0)</f>
        <v>133</v>
      </c>
      <c r="E494" s="164">
        <v>0.30392156862745096</v>
      </c>
      <c r="F494">
        <v>68.83</v>
      </c>
    </row>
    <row r="495" spans="1:6">
      <c r="A495">
        <v>8429</v>
      </c>
      <c r="B495" t="s">
        <v>1367</v>
      </c>
      <c r="C495">
        <v>49.95</v>
      </c>
      <c r="D495">
        <f>VLOOKUP(A495,收盤價!A:C,3,0)</f>
        <v>65.099999999999994</v>
      </c>
      <c r="E495" s="164">
        <v>0.30330330330330313</v>
      </c>
      <c r="F495">
        <v>68.77</v>
      </c>
    </row>
    <row r="496" spans="1:6">
      <c r="A496">
        <v>3662</v>
      </c>
      <c r="B496" t="s">
        <v>1551</v>
      </c>
      <c r="C496">
        <v>72</v>
      </c>
      <c r="D496">
        <f>VLOOKUP(A496,收盤價!A:C,3,0)</f>
        <v>93.8</v>
      </c>
      <c r="E496" s="164">
        <v>0.30277777777777776</v>
      </c>
      <c r="F496">
        <v>68.709999999999994</v>
      </c>
    </row>
    <row r="497" spans="1:6">
      <c r="A497">
        <v>3287</v>
      </c>
      <c r="B497" t="s">
        <v>1498</v>
      </c>
      <c r="C497">
        <v>6.54</v>
      </c>
      <c r="D497">
        <f>VLOOKUP(A497,收盤價!A:C,3,0)</f>
        <v>8.52</v>
      </c>
      <c r="E497" s="164">
        <v>0.30275229357798156</v>
      </c>
      <c r="F497">
        <v>68.64</v>
      </c>
    </row>
    <row r="498" spans="1:6">
      <c r="A498">
        <v>9934</v>
      </c>
      <c r="B498" t="s">
        <v>1421</v>
      </c>
      <c r="C498">
        <v>10.9</v>
      </c>
      <c r="D498">
        <f>VLOOKUP(A498,收盤價!A:C,3,0)</f>
        <v>14.2</v>
      </c>
      <c r="E498" s="164">
        <v>0.30275229357798156</v>
      </c>
      <c r="F498">
        <v>68.58</v>
      </c>
    </row>
    <row r="499" spans="1:6">
      <c r="A499">
        <v>5015</v>
      </c>
      <c r="B499" t="s">
        <v>404</v>
      </c>
      <c r="C499">
        <v>12.9</v>
      </c>
      <c r="D499">
        <f>VLOOKUP(A499,收盤價!A:C,3,0)</f>
        <v>16.8</v>
      </c>
      <c r="E499" s="164">
        <v>0.30232558139534887</v>
      </c>
      <c r="F499">
        <v>68.52</v>
      </c>
    </row>
    <row r="500" spans="1:6">
      <c r="A500">
        <v>3632</v>
      </c>
      <c r="B500" t="s">
        <v>1548</v>
      </c>
      <c r="C500">
        <v>20.2</v>
      </c>
      <c r="D500">
        <f>VLOOKUP(A500,收盤價!A:C,3,0)</f>
        <v>26.3</v>
      </c>
      <c r="E500" s="164">
        <v>0.30198019801980208</v>
      </c>
      <c r="F500">
        <v>68.45</v>
      </c>
    </row>
    <row r="501" spans="1:6">
      <c r="A501">
        <v>3062</v>
      </c>
      <c r="B501" t="s">
        <v>1097</v>
      </c>
      <c r="C501">
        <v>12.6</v>
      </c>
      <c r="D501">
        <f>VLOOKUP(A501,收盤價!A:C,3,0)</f>
        <v>16.399999999999999</v>
      </c>
      <c r="E501" s="164">
        <v>0.30158730158730152</v>
      </c>
      <c r="F501">
        <v>68.39</v>
      </c>
    </row>
    <row r="502" spans="1:6">
      <c r="A502">
        <v>4728</v>
      </c>
      <c r="B502" t="s">
        <v>391</v>
      </c>
      <c r="C502">
        <v>23.3</v>
      </c>
      <c r="D502">
        <f>VLOOKUP(A502,收盤價!A:C,3,0)</f>
        <v>30.3</v>
      </c>
      <c r="E502" s="164">
        <v>0.30042918454935619</v>
      </c>
      <c r="F502">
        <v>68.33</v>
      </c>
    </row>
    <row r="503" spans="1:6">
      <c r="A503">
        <v>5388</v>
      </c>
      <c r="B503" t="s">
        <v>1237</v>
      </c>
      <c r="C503">
        <v>66.8</v>
      </c>
      <c r="D503">
        <f>VLOOKUP(A503,收盤價!A:C,3,0)</f>
        <v>86.8</v>
      </c>
      <c r="E503" s="164">
        <v>0.29940119760479045</v>
      </c>
      <c r="F503">
        <v>68.260000000000005</v>
      </c>
    </row>
    <row r="504" spans="1:6">
      <c r="A504">
        <v>4541</v>
      </c>
      <c r="B504" t="s">
        <v>1609</v>
      </c>
      <c r="C504">
        <v>26.3</v>
      </c>
      <c r="D504">
        <f>VLOOKUP(A504,收盤價!A:C,3,0)</f>
        <v>34.15</v>
      </c>
      <c r="E504" s="164">
        <v>0.29847908745247137</v>
      </c>
      <c r="F504">
        <v>68.2</v>
      </c>
    </row>
    <row r="505" spans="1:6">
      <c r="A505">
        <v>1905</v>
      </c>
      <c r="B505" t="s">
        <v>1853</v>
      </c>
      <c r="C505">
        <v>7.62</v>
      </c>
      <c r="D505">
        <f>VLOOKUP(A505,收盤價!A:C,3,0)</f>
        <v>9.89</v>
      </c>
      <c r="E505" s="164">
        <v>0.29790026246719165</v>
      </c>
      <c r="F505">
        <v>68.14</v>
      </c>
    </row>
    <row r="506" spans="1:6">
      <c r="A506">
        <v>3297</v>
      </c>
      <c r="B506" t="s">
        <v>315</v>
      </c>
      <c r="C506">
        <v>14.65</v>
      </c>
      <c r="D506">
        <f>VLOOKUP(A506,收盤價!A:C,3,0)</f>
        <v>19</v>
      </c>
      <c r="E506" s="164">
        <v>0.29692832764505117</v>
      </c>
      <c r="F506">
        <v>68.08</v>
      </c>
    </row>
    <row r="507" spans="1:6">
      <c r="A507">
        <v>1597</v>
      </c>
      <c r="B507" t="s">
        <v>268</v>
      </c>
      <c r="C507">
        <v>21.9</v>
      </c>
      <c r="D507">
        <f>VLOOKUP(A507,收盤價!A:C,3,0)</f>
        <v>28.4</v>
      </c>
      <c r="E507" s="164">
        <v>0.29680365296803657</v>
      </c>
      <c r="F507">
        <v>68.010000000000005</v>
      </c>
    </row>
    <row r="508" spans="1:6">
      <c r="A508">
        <v>6020</v>
      </c>
      <c r="B508" t="s">
        <v>450</v>
      </c>
      <c r="C508">
        <v>10.7</v>
      </c>
      <c r="D508">
        <f>VLOOKUP(A508,收盤價!A:C,3,0)</f>
        <v>13.85</v>
      </c>
      <c r="E508" s="164">
        <v>0.29439252336448601</v>
      </c>
      <c r="F508">
        <v>67.95</v>
      </c>
    </row>
    <row r="509" spans="1:6">
      <c r="A509">
        <v>3289</v>
      </c>
      <c r="B509" t="s">
        <v>1500</v>
      </c>
      <c r="C509">
        <v>67.7</v>
      </c>
      <c r="D509">
        <f>VLOOKUP(A509,收盤價!A:C,3,0)</f>
        <v>87.6</v>
      </c>
      <c r="E509" s="164">
        <v>0.2939438700147709</v>
      </c>
      <c r="F509">
        <v>67.89</v>
      </c>
    </row>
    <row r="510" spans="1:6">
      <c r="A510">
        <v>6215</v>
      </c>
      <c r="B510" t="s">
        <v>1297</v>
      </c>
      <c r="C510">
        <v>9.75</v>
      </c>
      <c r="D510">
        <f>VLOOKUP(A510,收盤價!A:C,3,0)</f>
        <v>12.6</v>
      </c>
      <c r="E510" s="164">
        <v>0.29230769230769227</v>
      </c>
      <c r="F510">
        <v>67.819999999999993</v>
      </c>
    </row>
    <row r="511" spans="1:6">
      <c r="A511">
        <v>1305</v>
      </c>
      <c r="B511" t="s">
        <v>574</v>
      </c>
      <c r="C511">
        <v>10.95</v>
      </c>
      <c r="D511">
        <f>VLOOKUP(A511,收盤價!A:C,3,0)</f>
        <v>14.15</v>
      </c>
      <c r="E511" s="164">
        <v>0.29223744292237452</v>
      </c>
      <c r="F511">
        <v>67.760000000000005</v>
      </c>
    </row>
    <row r="512" spans="1:6">
      <c r="A512">
        <v>2228</v>
      </c>
      <c r="B512" t="s">
        <v>792</v>
      </c>
      <c r="C512">
        <v>122</v>
      </c>
      <c r="D512">
        <f>VLOOKUP(A512,收盤價!A:C,3,0)</f>
        <v>157.5</v>
      </c>
      <c r="E512" s="164">
        <v>0.29098360655737704</v>
      </c>
      <c r="F512">
        <v>67.7</v>
      </c>
    </row>
    <row r="513" spans="1:6">
      <c r="A513">
        <v>4903</v>
      </c>
      <c r="B513" t="s">
        <v>1620</v>
      </c>
      <c r="C513">
        <v>8.91</v>
      </c>
      <c r="D513">
        <f>VLOOKUP(A513,收盤價!A:C,3,0)</f>
        <v>11.5</v>
      </c>
      <c r="E513" s="164">
        <v>0.2906846240179573</v>
      </c>
      <c r="F513">
        <v>67.63</v>
      </c>
    </row>
    <row r="514" spans="1:6">
      <c r="A514">
        <v>3437</v>
      </c>
      <c r="B514" t="s">
        <v>1126</v>
      </c>
      <c r="C514">
        <v>19</v>
      </c>
      <c r="D514">
        <f>VLOOKUP(A514,收盤價!A:C,3,0)</f>
        <v>24.5</v>
      </c>
      <c r="E514" s="164">
        <v>0.28947368421052633</v>
      </c>
      <c r="F514">
        <v>67.569999999999993</v>
      </c>
    </row>
    <row r="515" spans="1:6">
      <c r="A515">
        <v>4946</v>
      </c>
      <c r="B515" t="s">
        <v>1626</v>
      </c>
      <c r="C515">
        <v>29.2</v>
      </c>
      <c r="D515">
        <f>VLOOKUP(A515,收盤價!A:C,3,0)</f>
        <v>37.65</v>
      </c>
      <c r="E515" s="164">
        <v>0.28938356164383561</v>
      </c>
      <c r="F515">
        <v>67.510000000000005</v>
      </c>
    </row>
    <row r="516" spans="1:6">
      <c r="A516">
        <v>6284</v>
      </c>
      <c r="B516" t="s">
        <v>1763</v>
      </c>
      <c r="C516">
        <v>18</v>
      </c>
      <c r="D516">
        <f>VLOOKUP(A516,收盤價!A:C,3,0)</f>
        <v>23.2</v>
      </c>
      <c r="E516" s="164">
        <v>0.28888888888888886</v>
      </c>
      <c r="F516">
        <v>67.44</v>
      </c>
    </row>
    <row r="517" spans="1:6">
      <c r="A517">
        <v>4153</v>
      </c>
      <c r="B517" t="s">
        <v>369</v>
      </c>
      <c r="C517">
        <v>63.7</v>
      </c>
      <c r="D517">
        <f>VLOOKUP(A517,收盤價!A:C,3,0)</f>
        <v>82.1</v>
      </c>
      <c r="E517" s="164">
        <v>0.28885400313971726</v>
      </c>
      <c r="F517">
        <v>67.38</v>
      </c>
    </row>
    <row r="518" spans="1:6">
      <c r="A518">
        <v>6021</v>
      </c>
      <c r="B518" t="s">
        <v>451</v>
      </c>
      <c r="C518">
        <v>8.4600000000000009</v>
      </c>
      <c r="D518">
        <f>VLOOKUP(A518,收盤價!A:C,3,0)</f>
        <v>10.9</v>
      </c>
      <c r="E518" s="164">
        <v>0.28841607565011812</v>
      </c>
      <c r="F518">
        <v>67.319999999999993</v>
      </c>
    </row>
    <row r="519" spans="1:6">
      <c r="A519">
        <v>3311</v>
      </c>
      <c r="B519" t="s">
        <v>1113</v>
      </c>
      <c r="C519">
        <v>13.55</v>
      </c>
      <c r="D519">
        <f>VLOOKUP(A519,收盤價!A:C,3,0)</f>
        <v>17.45</v>
      </c>
      <c r="E519" s="164">
        <v>0.28782287822878216</v>
      </c>
      <c r="F519">
        <v>67.260000000000005</v>
      </c>
    </row>
    <row r="520" spans="1:6">
      <c r="A520">
        <v>6409</v>
      </c>
      <c r="B520" t="s">
        <v>1319</v>
      </c>
      <c r="C520">
        <v>383</v>
      </c>
      <c r="D520">
        <f>VLOOKUP(A520,收盤價!A:C,3,0)</f>
        <v>493</v>
      </c>
      <c r="E520" s="164">
        <v>0.28720626631853785</v>
      </c>
      <c r="F520">
        <v>67.19</v>
      </c>
    </row>
    <row r="521" spans="1:6">
      <c r="A521">
        <v>4733</v>
      </c>
      <c r="B521" t="s">
        <v>1200</v>
      </c>
      <c r="C521">
        <v>162</v>
      </c>
      <c r="D521">
        <f>VLOOKUP(A521,收盤價!A:C,3,0)</f>
        <v>208.5</v>
      </c>
      <c r="E521" s="164">
        <v>0.28703703703703703</v>
      </c>
      <c r="F521">
        <v>67.13</v>
      </c>
    </row>
    <row r="522" spans="1:6">
      <c r="A522">
        <v>8050</v>
      </c>
      <c r="B522" t="s">
        <v>1786</v>
      </c>
      <c r="C522">
        <v>42.75</v>
      </c>
      <c r="D522">
        <f>VLOOKUP(A522,收盤價!A:C,3,0)</f>
        <v>55</v>
      </c>
      <c r="E522" s="164">
        <v>0.28654970760233917</v>
      </c>
      <c r="F522">
        <v>67.069999999999993</v>
      </c>
    </row>
    <row r="523" spans="1:6">
      <c r="A523">
        <v>2355</v>
      </c>
      <c r="B523" t="s">
        <v>829</v>
      </c>
      <c r="C523">
        <v>40.6</v>
      </c>
      <c r="D523">
        <f>VLOOKUP(A523,收盤價!A:C,3,0)</f>
        <v>52.2</v>
      </c>
      <c r="E523" s="164">
        <v>0.28571428571428575</v>
      </c>
      <c r="F523">
        <v>67</v>
      </c>
    </row>
    <row r="524" spans="1:6">
      <c r="A524">
        <v>2344</v>
      </c>
      <c r="B524" t="s">
        <v>820</v>
      </c>
      <c r="C524">
        <v>6.14</v>
      </c>
      <c r="D524">
        <f>VLOOKUP(A524,收盤價!A:C,3,0)</f>
        <v>7.89</v>
      </c>
      <c r="E524" s="164">
        <v>0.28501628664495116</v>
      </c>
      <c r="F524">
        <v>66.94</v>
      </c>
    </row>
    <row r="525" spans="1:6">
      <c r="A525">
        <v>8929</v>
      </c>
      <c r="B525" t="s">
        <v>530</v>
      </c>
      <c r="C525">
        <v>18.3</v>
      </c>
      <c r="D525">
        <f>VLOOKUP(A525,收盤價!A:C,3,0)</f>
        <v>23.5</v>
      </c>
      <c r="E525" s="164">
        <v>0.2841530054644808</v>
      </c>
      <c r="F525">
        <v>66.88</v>
      </c>
    </row>
    <row r="526" spans="1:6">
      <c r="A526">
        <v>3264</v>
      </c>
      <c r="B526" t="s">
        <v>1496</v>
      </c>
      <c r="C526">
        <v>17.100000000000001</v>
      </c>
      <c r="D526">
        <f>VLOOKUP(A526,收盤價!A:C,3,0)</f>
        <v>21.95</v>
      </c>
      <c r="E526" s="164">
        <v>0.28362573099415189</v>
      </c>
      <c r="F526">
        <v>66.81</v>
      </c>
    </row>
    <row r="527" spans="1:6">
      <c r="A527">
        <v>5452</v>
      </c>
      <c r="B527" t="s">
        <v>434</v>
      </c>
      <c r="C527">
        <v>7.1</v>
      </c>
      <c r="D527">
        <f>VLOOKUP(A527,收盤價!A:C,3,0)</f>
        <v>9.11</v>
      </c>
      <c r="E527" s="164">
        <v>0.28309859154929579</v>
      </c>
      <c r="F527">
        <v>66.75</v>
      </c>
    </row>
    <row r="528" spans="1:6">
      <c r="A528">
        <v>1709</v>
      </c>
      <c r="B528" t="s">
        <v>702</v>
      </c>
      <c r="C528">
        <v>12.2</v>
      </c>
      <c r="D528">
        <f>VLOOKUP(A528,收盤價!A:C,3,0)</f>
        <v>15.65</v>
      </c>
      <c r="E528" s="164">
        <v>0.28278688524590173</v>
      </c>
      <c r="F528">
        <v>66.69</v>
      </c>
    </row>
    <row r="529" spans="1:6">
      <c r="A529">
        <v>8354</v>
      </c>
      <c r="B529" t="s">
        <v>1822</v>
      </c>
      <c r="C529">
        <v>11.85</v>
      </c>
      <c r="D529">
        <f>VLOOKUP(A529,收盤價!A:C,3,0)</f>
        <v>15.2</v>
      </c>
      <c r="E529" s="164">
        <v>0.28270042194092826</v>
      </c>
      <c r="F529">
        <v>66.62</v>
      </c>
    </row>
    <row r="530" spans="1:6">
      <c r="A530">
        <v>8410</v>
      </c>
      <c r="B530" t="s">
        <v>514</v>
      </c>
      <c r="C530">
        <v>15.75</v>
      </c>
      <c r="D530">
        <f>VLOOKUP(A530,收盤價!A:C,3,0)</f>
        <v>20.2</v>
      </c>
      <c r="E530" s="164">
        <v>0.28253968253968248</v>
      </c>
      <c r="F530">
        <v>66.56</v>
      </c>
    </row>
    <row r="531" spans="1:6">
      <c r="A531">
        <v>3682</v>
      </c>
      <c r="B531" t="s">
        <v>1169</v>
      </c>
      <c r="C531">
        <v>8.15</v>
      </c>
      <c r="D531">
        <f>VLOOKUP(A531,收盤價!A:C,3,0)</f>
        <v>10.45</v>
      </c>
      <c r="E531" s="164">
        <v>0.28220858895705508</v>
      </c>
      <c r="F531">
        <v>66.5</v>
      </c>
    </row>
    <row r="532" spans="1:6">
      <c r="A532">
        <v>1595</v>
      </c>
      <c r="B532" t="s">
        <v>1444</v>
      </c>
      <c r="C532">
        <v>47.2</v>
      </c>
      <c r="D532">
        <f>VLOOKUP(A532,收盤價!A:C,3,0)</f>
        <v>60.5</v>
      </c>
      <c r="E532" s="164">
        <v>0.28177966101694907</v>
      </c>
      <c r="F532">
        <v>66.44</v>
      </c>
    </row>
    <row r="533" spans="1:6">
      <c r="A533">
        <v>4927</v>
      </c>
      <c r="B533" t="s">
        <v>1860</v>
      </c>
      <c r="C533">
        <v>32.65</v>
      </c>
      <c r="D533">
        <f>VLOOKUP(A533,收盤價!A:C,3,0)</f>
        <v>41.75</v>
      </c>
      <c r="E533" s="164">
        <v>0.27871362940275657</v>
      </c>
      <c r="F533">
        <v>66.37</v>
      </c>
    </row>
    <row r="534" spans="1:6">
      <c r="A534">
        <v>2434</v>
      </c>
      <c r="B534" t="s">
        <v>887</v>
      </c>
      <c r="C534">
        <v>4.5599999999999996</v>
      </c>
      <c r="D534">
        <f>VLOOKUP(A534,收盤價!A:C,3,0)</f>
        <v>5.83</v>
      </c>
      <c r="E534" s="164">
        <v>0.27850877192982471</v>
      </c>
      <c r="F534">
        <v>66.31</v>
      </c>
    </row>
    <row r="535" spans="1:6">
      <c r="A535">
        <v>3598</v>
      </c>
      <c r="B535" t="s">
        <v>1157</v>
      </c>
      <c r="C535">
        <v>38.6</v>
      </c>
      <c r="D535">
        <f>VLOOKUP(A535,收盤價!A:C,3,0)</f>
        <v>49.35</v>
      </c>
      <c r="E535" s="164">
        <v>0.27849740932642486</v>
      </c>
      <c r="F535">
        <v>66.25</v>
      </c>
    </row>
    <row r="536" spans="1:6">
      <c r="A536">
        <v>3704</v>
      </c>
      <c r="B536" t="s">
        <v>1176</v>
      </c>
      <c r="C536">
        <v>9.6999999999999993</v>
      </c>
      <c r="D536">
        <f>VLOOKUP(A536,收盤價!A:C,3,0)</f>
        <v>12.4</v>
      </c>
      <c r="E536" s="164">
        <v>0.27835051546391765</v>
      </c>
      <c r="F536">
        <v>66.180000000000007</v>
      </c>
    </row>
    <row r="537" spans="1:6">
      <c r="A537">
        <v>6456</v>
      </c>
      <c r="B537" t="s">
        <v>1330</v>
      </c>
      <c r="C537">
        <v>106</v>
      </c>
      <c r="D537">
        <f>VLOOKUP(A537,收盤價!A:C,3,0)</f>
        <v>135.5</v>
      </c>
      <c r="E537" s="164">
        <v>0.27830188679245282</v>
      </c>
      <c r="F537">
        <v>66.12</v>
      </c>
    </row>
    <row r="538" spans="1:6">
      <c r="A538">
        <v>6605</v>
      </c>
      <c r="B538" t="s">
        <v>1333</v>
      </c>
      <c r="C538">
        <v>88.4</v>
      </c>
      <c r="D538">
        <f>VLOOKUP(A538,收盤價!A:C,3,0)</f>
        <v>113</v>
      </c>
      <c r="E538" s="164">
        <v>0.27828054298642524</v>
      </c>
      <c r="F538">
        <v>66.06</v>
      </c>
    </row>
    <row r="539" spans="1:6">
      <c r="A539">
        <v>1471</v>
      </c>
      <c r="B539" t="s">
        <v>638</v>
      </c>
      <c r="C539">
        <v>3.42</v>
      </c>
      <c r="D539">
        <f>VLOOKUP(A539,收盤價!A:C,3,0)</f>
        <v>4.37</v>
      </c>
      <c r="E539" s="164">
        <v>0.27777777777777785</v>
      </c>
      <c r="F539">
        <v>65.989999999999995</v>
      </c>
    </row>
    <row r="540" spans="1:6">
      <c r="A540">
        <v>2911</v>
      </c>
      <c r="B540" t="s">
        <v>1039</v>
      </c>
      <c r="C540">
        <v>12.45</v>
      </c>
      <c r="D540">
        <f>VLOOKUP(A540,收盤價!A:C,3,0)</f>
        <v>15.9</v>
      </c>
      <c r="E540" s="164">
        <v>0.27710843373493987</v>
      </c>
      <c r="F540">
        <v>65.930000000000007</v>
      </c>
    </row>
    <row r="541" spans="1:6">
      <c r="A541">
        <v>3315</v>
      </c>
      <c r="B541" t="s">
        <v>1115</v>
      </c>
      <c r="C541">
        <v>12.65</v>
      </c>
      <c r="D541">
        <f>VLOOKUP(A541,收盤價!A:C,3,0)</f>
        <v>16.149999999999999</v>
      </c>
      <c r="E541" s="164">
        <v>0.27667984189723305</v>
      </c>
      <c r="F541">
        <v>65.87</v>
      </c>
    </row>
    <row r="542" spans="1:6">
      <c r="A542">
        <v>1560</v>
      </c>
      <c r="B542" t="s">
        <v>676</v>
      </c>
      <c r="C542">
        <v>41.75</v>
      </c>
      <c r="D542">
        <f>VLOOKUP(A542,收盤價!A:C,3,0)</f>
        <v>53.3</v>
      </c>
      <c r="E542" s="164">
        <v>0.27664670658682627</v>
      </c>
      <c r="F542">
        <v>65.8</v>
      </c>
    </row>
    <row r="543" spans="1:6">
      <c r="A543">
        <v>6123</v>
      </c>
      <c r="B543" t="s">
        <v>1717</v>
      </c>
      <c r="C543">
        <v>21</v>
      </c>
      <c r="D543">
        <f>VLOOKUP(A543,收盤價!A:C,3,0)</f>
        <v>26.8</v>
      </c>
      <c r="E543" s="164">
        <v>0.27619047619047621</v>
      </c>
      <c r="F543">
        <v>65.739999999999995</v>
      </c>
    </row>
    <row r="544" spans="1:6">
      <c r="A544">
        <v>5434</v>
      </c>
      <c r="B544" t="s">
        <v>1238</v>
      </c>
      <c r="C544">
        <v>41.85</v>
      </c>
      <c r="D544">
        <f>VLOOKUP(A544,收盤價!A:C,3,0)</f>
        <v>53.4</v>
      </c>
      <c r="E544" s="164">
        <v>0.27598566308243722</v>
      </c>
      <c r="F544">
        <v>65.680000000000007</v>
      </c>
    </row>
    <row r="545" spans="1:6">
      <c r="A545">
        <v>1416</v>
      </c>
      <c r="B545" t="s">
        <v>600</v>
      </c>
      <c r="C545">
        <v>14.5</v>
      </c>
      <c r="D545">
        <f>VLOOKUP(A545,收盤價!A:C,3,0)</f>
        <v>18.5</v>
      </c>
      <c r="E545" s="164">
        <v>0.27586206896551724</v>
      </c>
      <c r="F545">
        <v>65.62</v>
      </c>
    </row>
    <row r="546" spans="1:6">
      <c r="A546">
        <v>2028</v>
      </c>
      <c r="B546" t="s">
        <v>764</v>
      </c>
      <c r="C546">
        <v>1.27</v>
      </c>
      <c r="D546">
        <f>VLOOKUP(A546,收盤價!A:C,3,0)</f>
        <v>1.62</v>
      </c>
      <c r="E546" s="164">
        <v>0.27559055118110243</v>
      </c>
      <c r="F546">
        <v>65.55</v>
      </c>
    </row>
    <row r="547" spans="1:6">
      <c r="A547">
        <v>6117</v>
      </c>
      <c r="B547" t="s">
        <v>1263</v>
      </c>
      <c r="C547">
        <v>11.45</v>
      </c>
      <c r="D547">
        <f>VLOOKUP(A547,收盤價!A:C,3,0)</f>
        <v>14.6</v>
      </c>
      <c r="E547" s="164">
        <v>0.27510917030567689</v>
      </c>
      <c r="F547">
        <v>65.489999999999995</v>
      </c>
    </row>
    <row r="548" spans="1:6">
      <c r="A548">
        <v>1475</v>
      </c>
      <c r="B548" t="s">
        <v>642</v>
      </c>
      <c r="C548">
        <v>6.59</v>
      </c>
      <c r="D548">
        <f>VLOOKUP(A548,收盤價!A:C,3,0)</f>
        <v>8.4</v>
      </c>
      <c r="E548" s="164">
        <v>0.2746585735963582</v>
      </c>
      <c r="F548">
        <v>65.430000000000007</v>
      </c>
    </row>
    <row r="549" spans="1:6">
      <c r="A549">
        <v>8421</v>
      </c>
      <c r="B549" t="s">
        <v>517</v>
      </c>
      <c r="C549">
        <v>10.199999999999999</v>
      </c>
      <c r="D549">
        <f>VLOOKUP(A549,收盤價!A:C,3,0)</f>
        <v>13</v>
      </c>
      <c r="E549" s="164">
        <v>0.27450980392156871</v>
      </c>
      <c r="F549">
        <v>65.36</v>
      </c>
    </row>
    <row r="550" spans="1:6">
      <c r="A550">
        <v>8109</v>
      </c>
      <c r="B550" t="s">
        <v>1804</v>
      </c>
      <c r="C550">
        <v>49.2</v>
      </c>
      <c r="D550">
        <f>VLOOKUP(A550,收盤價!A:C,3,0)</f>
        <v>62.7</v>
      </c>
      <c r="E550" s="164">
        <v>0.27439024390243899</v>
      </c>
      <c r="F550">
        <v>65.3</v>
      </c>
    </row>
    <row r="551" spans="1:6">
      <c r="A551">
        <v>6265</v>
      </c>
      <c r="B551" t="s">
        <v>489</v>
      </c>
      <c r="C551">
        <v>5.69</v>
      </c>
      <c r="D551">
        <f>VLOOKUP(A551,收盤價!A:C,3,0)</f>
        <v>7.25</v>
      </c>
      <c r="E551" s="164">
        <v>0.274165202108963</v>
      </c>
      <c r="F551">
        <v>65.239999999999995</v>
      </c>
    </row>
    <row r="552" spans="1:6">
      <c r="A552">
        <v>2201</v>
      </c>
      <c r="B552" t="s">
        <v>786</v>
      </c>
      <c r="C552">
        <v>25.2</v>
      </c>
      <c r="D552">
        <f>VLOOKUP(A552,收盤價!A:C,3,0)</f>
        <v>32.1</v>
      </c>
      <c r="E552" s="164">
        <v>0.27380952380952389</v>
      </c>
      <c r="F552">
        <v>65.17</v>
      </c>
    </row>
    <row r="553" spans="1:6">
      <c r="A553">
        <v>8426</v>
      </c>
      <c r="B553" t="s">
        <v>1831</v>
      </c>
      <c r="C553">
        <v>20.85</v>
      </c>
      <c r="D553">
        <f>VLOOKUP(A553,收盤價!A:C,3,0)</f>
        <v>26.55</v>
      </c>
      <c r="E553" s="164">
        <v>0.27338129496402874</v>
      </c>
      <c r="F553">
        <v>65.11</v>
      </c>
    </row>
    <row r="554" spans="1:6">
      <c r="A554">
        <v>1526</v>
      </c>
      <c r="B554" t="s">
        <v>660</v>
      </c>
      <c r="C554">
        <v>11.9</v>
      </c>
      <c r="D554">
        <f>VLOOKUP(A554,收盤價!A:C,3,0)</f>
        <v>15.15</v>
      </c>
      <c r="E554" s="164">
        <v>0.27310924369747897</v>
      </c>
      <c r="F554">
        <v>65.05</v>
      </c>
    </row>
    <row r="555" spans="1:6">
      <c r="A555">
        <v>6405</v>
      </c>
      <c r="B555" t="s">
        <v>1318</v>
      </c>
      <c r="C555">
        <v>17.05</v>
      </c>
      <c r="D555">
        <f>VLOOKUP(A555,收盤價!A:C,3,0)</f>
        <v>21.7</v>
      </c>
      <c r="E555" s="164">
        <v>0.27272727272727265</v>
      </c>
      <c r="F555">
        <v>64.98</v>
      </c>
    </row>
    <row r="556" spans="1:6">
      <c r="A556">
        <v>4939</v>
      </c>
      <c r="B556" t="s">
        <v>397</v>
      </c>
      <c r="C556">
        <v>6.53</v>
      </c>
      <c r="D556">
        <f>VLOOKUP(A556,收盤價!A:C,3,0)</f>
        <v>8.31</v>
      </c>
      <c r="E556" s="164">
        <v>0.27258805513016848</v>
      </c>
      <c r="F556">
        <v>64.92</v>
      </c>
    </row>
    <row r="557" spans="1:6">
      <c r="A557">
        <v>5305</v>
      </c>
      <c r="B557" t="s">
        <v>1236</v>
      </c>
      <c r="C557">
        <v>16.899999999999999</v>
      </c>
      <c r="D557">
        <f>VLOOKUP(A557,收盤價!A:C,3,0)</f>
        <v>21.5</v>
      </c>
      <c r="E557" s="164">
        <v>0.27218934911242615</v>
      </c>
      <c r="F557">
        <v>64.86</v>
      </c>
    </row>
    <row r="558" spans="1:6">
      <c r="A558">
        <v>9958</v>
      </c>
      <c r="B558" t="s">
        <v>1434</v>
      </c>
      <c r="C558">
        <v>7.8</v>
      </c>
      <c r="D558">
        <f>VLOOKUP(A558,收盤價!A:C,3,0)</f>
        <v>9.92</v>
      </c>
      <c r="E558" s="164">
        <v>0.27179487179487183</v>
      </c>
      <c r="F558">
        <v>64.790000000000006</v>
      </c>
    </row>
    <row r="559" spans="1:6">
      <c r="A559">
        <v>6263</v>
      </c>
      <c r="B559" t="s">
        <v>1758</v>
      </c>
      <c r="C559">
        <v>36.799999999999997</v>
      </c>
      <c r="D559">
        <f>VLOOKUP(A559,收盤價!A:C,3,0)</f>
        <v>46.8</v>
      </c>
      <c r="E559" s="164">
        <v>0.27173913043478265</v>
      </c>
      <c r="F559">
        <v>64.73</v>
      </c>
    </row>
    <row r="560" spans="1:6">
      <c r="A560">
        <v>3441</v>
      </c>
      <c r="B560" t="s">
        <v>1517</v>
      </c>
      <c r="C560">
        <v>9.2799999999999994</v>
      </c>
      <c r="D560">
        <f>VLOOKUP(A560,收盤價!A:C,3,0)</f>
        <v>11.8</v>
      </c>
      <c r="E560" s="164">
        <v>0.27155172413793122</v>
      </c>
      <c r="F560">
        <v>64.67</v>
      </c>
    </row>
    <row r="561" spans="1:6">
      <c r="A561">
        <v>3684</v>
      </c>
      <c r="B561" t="s">
        <v>1556</v>
      </c>
      <c r="C561">
        <v>48.3</v>
      </c>
      <c r="D561">
        <f>VLOOKUP(A561,收盤價!A:C,3,0)</f>
        <v>61.4</v>
      </c>
      <c r="E561" s="164">
        <v>0.27122153209109734</v>
      </c>
      <c r="F561">
        <v>64.61</v>
      </c>
    </row>
    <row r="562" spans="1:6">
      <c r="A562">
        <v>8011</v>
      </c>
      <c r="B562" t="s">
        <v>1335</v>
      </c>
      <c r="C562">
        <v>16.05</v>
      </c>
      <c r="D562">
        <f>VLOOKUP(A562,收盤價!A:C,3,0)</f>
        <v>20.399999999999999</v>
      </c>
      <c r="E562" s="164">
        <v>0.27102803738317743</v>
      </c>
      <c r="F562">
        <v>64.540000000000006</v>
      </c>
    </row>
    <row r="563" spans="1:6">
      <c r="A563">
        <v>2441</v>
      </c>
      <c r="B563" t="s">
        <v>893</v>
      </c>
      <c r="C563">
        <v>26.2</v>
      </c>
      <c r="D563">
        <f>VLOOKUP(A563,收盤價!A:C,3,0)</f>
        <v>33.299999999999997</v>
      </c>
      <c r="E563" s="164">
        <v>0.27099236641221369</v>
      </c>
      <c r="F563">
        <v>64.48</v>
      </c>
    </row>
    <row r="564" spans="1:6">
      <c r="A564">
        <v>3176</v>
      </c>
      <c r="B564" t="s">
        <v>296</v>
      </c>
      <c r="C564">
        <v>77.900000000000006</v>
      </c>
      <c r="D564">
        <f>VLOOKUP(A564,收盤價!A:C,3,0)</f>
        <v>99</v>
      </c>
      <c r="E564" s="164">
        <v>0.27086007702182274</v>
      </c>
      <c r="F564">
        <v>64.42</v>
      </c>
    </row>
    <row r="565" spans="1:6">
      <c r="A565">
        <v>1530</v>
      </c>
      <c r="B565" t="s">
        <v>664</v>
      </c>
      <c r="C565">
        <v>25.5</v>
      </c>
      <c r="D565">
        <f>VLOOKUP(A565,收盤價!A:C,3,0)</f>
        <v>32.4</v>
      </c>
      <c r="E565" s="164">
        <v>0.27058823529411757</v>
      </c>
      <c r="F565">
        <v>64.349999999999994</v>
      </c>
    </row>
    <row r="566" spans="1:6">
      <c r="A566">
        <v>1907</v>
      </c>
      <c r="B566" t="s">
        <v>744</v>
      </c>
      <c r="C566">
        <v>8.6199999999999992</v>
      </c>
      <c r="D566">
        <f>VLOOKUP(A566,收盤價!A:C,3,0)</f>
        <v>10.95</v>
      </c>
      <c r="E566" s="164">
        <v>0.27030162412993042</v>
      </c>
      <c r="F566">
        <v>64.290000000000006</v>
      </c>
    </row>
    <row r="567" spans="1:6">
      <c r="A567">
        <v>3703</v>
      </c>
      <c r="B567" t="s">
        <v>1175</v>
      </c>
      <c r="C567">
        <v>7.84</v>
      </c>
      <c r="D567">
        <f>VLOOKUP(A567,收盤價!A:C,3,0)</f>
        <v>9.9499999999999993</v>
      </c>
      <c r="E567" s="164">
        <v>0.26913265306122441</v>
      </c>
      <c r="F567">
        <v>64.23</v>
      </c>
    </row>
    <row r="568" spans="1:6">
      <c r="A568">
        <v>8027</v>
      </c>
      <c r="B568" t="s">
        <v>1776</v>
      </c>
      <c r="C568">
        <v>16.2</v>
      </c>
      <c r="D568">
        <f>VLOOKUP(A568,收盤價!A:C,3,0)</f>
        <v>20.55</v>
      </c>
      <c r="E568" s="164">
        <v>0.2685185185185186</v>
      </c>
      <c r="F568">
        <v>64.16</v>
      </c>
    </row>
    <row r="569" spans="1:6">
      <c r="A569">
        <v>2108</v>
      </c>
      <c r="B569" t="s">
        <v>782</v>
      </c>
      <c r="C569">
        <v>21.6</v>
      </c>
      <c r="D569">
        <f>VLOOKUP(A569,收盤價!A:C,3,0)</f>
        <v>27.4</v>
      </c>
      <c r="E569" s="164">
        <v>0.26851851851851838</v>
      </c>
      <c r="F569">
        <v>64.099999999999994</v>
      </c>
    </row>
    <row r="570" spans="1:6">
      <c r="A570">
        <v>2393</v>
      </c>
      <c r="B570" t="s">
        <v>858</v>
      </c>
      <c r="C570">
        <v>35.950000000000003</v>
      </c>
      <c r="D570">
        <f>VLOOKUP(A570,收盤價!A:C,3,0)</f>
        <v>45.6</v>
      </c>
      <c r="E570" s="164">
        <v>0.26842837273991649</v>
      </c>
      <c r="F570">
        <v>64.040000000000006</v>
      </c>
    </row>
    <row r="571" spans="1:6">
      <c r="A571">
        <v>5450</v>
      </c>
      <c r="B571" t="s">
        <v>433</v>
      </c>
      <c r="C571">
        <v>6</v>
      </c>
      <c r="D571">
        <f>VLOOKUP(A571,收盤價!A:C,3,0)</f>
        <v>7.61</v>
      </c>
      <c r="E571" s="164">
        <v>0.26833333333333337</v>
      </c>
      <c r="F571">
        <v>63.97</v>
      </c>
    </row>
    <row r="572" spans="1:6">
      <c r="A572">
        <v>5383</v>
      </c>
      <c r="B572" t="s">
        <v>1667</v>
      </c>
      <c r="C572">
        <v>8.1999999999999993</v>
      </c>
      <c r="D572">
        <f>VLOOKUP(A572,收盤價!A:C,3,0)</f>
        <v>10.4</v>
      </c>
      <c r="E572" s="164">
        <v>0.2682926829268294</v>
      </c>
      <c r="F572">
        <v>63.91</v>
      </c>
    </row>
    <row r="573" spans="1:6">
      <c r="A573">
        <v>2332</v>
      </c>
      <c r="B573" t="s">
        <v>815</v>
      </c>
      <c r="C573">
        <v>8.36</v>
      </c>
      <c r="D573">
        <f>VLOOKUP(A573,收盤價!A:C,3,0)</f>
        <v>10.6</v>
      </c>
      <c r="E573" s="164">
        <v>0.26794258373205748</v>
      </c>
      <c r="F573">
        <v>63.85</v>
      </c>
    </row>
    <row r="574" spans="1:6">
      <c r="A574">
        <v>5701</v>
      </c>
      <c r="B574" t="s">
        <v>1696</v>
      </c>
      <c r="C574">
        <v>2.69</v>
      </c>
      <c r="D574">
        <f>VLOOKUP(A574,收盤價!A:C,3,0)</f>
        <v>3.41</v>
      </c>
      <c r="E574" s="164">
        <v>0.26765799256505585</v>
      </c>
      <c r="F574">
        <v>63.79</v>
      </c>
    </row>
    <row r="575" spans="1:6">
      <c r="A575">
        <v>6298</v>
      </c>
      <c r="B575" t="s">
        <v>1768</v>
      </c>
      <c r="C575">
        <v>13.3</v>
      </c>
      <c r="D575">
        <f>VLOOKUP(A575,收盤價!A:C,3,0)</f>
        <v>16.850000000000001</v>
      </c>
      <c r="E575" s="164">
        <v>0.26691729323308272</v>
      </c>
      <c r="F575">
        <v>63.72</v>
      </c>
    </row>
    <row r="576" spans="1:6">
      <c r="A576">
        <v>1723</v>
      </c>
      <c r="B576" t="s">
        <v>714</v>
      </c>
      <c r="C576">
        <v>91.6</v>
      </c>
      <c r="D576">
        <f>VLOOKUP(A576,收盤價!A:C,3,0)</f>
        <v>116</v>
      </c>
      <c r="E576" s="164">
        <v>0.26637554585152845</v>
      </c>
      <c r="F576">
        <v>63.66</v>
      </c>
    </row>
    <row r="577" spans="1:6">
      <c r="A577">
        <v>2390</v>
      </c>
      <c r="B577" t="s">
        <v>856</v>
      </c>
      <c r="C577">
        <v>19</v>
      </c>
      <c r="D577">
        <f>VLOOKUP(A577,收盤價!A:C,3,0)</f>
        <v>24.05</v>
      </c>
      <c r="E577" s="164">
        <v>0.26578947368421058</v>
      </c>
      <c r="F577">
        <v>63.6</v>
      </c>
    </row>
    <row r="578" spans="1:6">
      <c r="A578">
        <v>3306</v>
      </c>
      <c r="B578" t="s">
        <v>1503</v>
      </c>
      <c r="C578">
        <v>19.600000000000001</v>
      </c>
      <c r="D578">
        <f>VLOOKUP(A578,收盤價!A:C,3,0)</f>
        <v>24.8</v>
      </c>
      <c r="E578" s="164">
        <v>0.26530612244897955</v>
      </c>
      <c r="F578">
        <v>63.53</v>
      </c>
    </row>
    <row r="579" spans="1:6">
      <c r="A579">
        <v>3308</v>
      </c>
      <c r="B579" t="s">
        <v>1112</v>
      </c>
      <c r="C579">
        <v>6.01</v>
      </c>
      <c r="D579">
        <f>VLOOKUP(A579,收盤價!A:C,3,0)</f>
        <v>7.6</v>
      </c>
      <c r="E579" s="164">
        <v>0.26455906821963393</v>
      </c>
      <c r="F579">
        <v>63.47</v>
      </c>
    </row>
    <row r="580" spans="1:6">
      <c r="A580">
        <v>6275</v>
      </c>
      <c r="B580" t="s">
        <v>1761</v>
      </c>
      <c r="C580">
        <v>9.65</v>
      </c>
      <c r="D580">
        <f>VLOOKUP(A580,收盤價!A:C,3,0)</f>
        <v>12.2</v>
      </c>
      <c r="E580" s="164">
        <v>0.26424870466321232</v>
      </c>
      <c r="F580">
        <v>63.41</v>
      </c>
    </row>
    <row r="581" spans="1:6">
      <c r="A581">
        <v>1307</v>
      </c>
      <c r="B581" t="s">
        <v>575</v>
      </c>
      <c r="C581">
        <v>32.200000000000003</v>
      </c>
      <c r="D581">
        <f>VLOOKUP(A581,收盤價!A:C,3,0)</f>
        <v>40.700000000000003</v>
      </c>
      <c r="E581" s="164">
        <v>0.2639751552795031</v>
      </c>
      <c r="F581">
        <v>63.34</v>
      </c>
    </row>
    <row r="582" spans="1:6">
      <c r="A582">
        <v>3432</v>
      </c>
      <c r="B582" t="s">
        <v>1125</v>
      </c>
      <c r="C582">
        <v>10.8</v>
      </c>
      <c r="D582">
        <f>VLOOKUP(A582,收盤價!A:C,3,0)</f>
        <v>13.65</v>
      </c>
      <c r="E582" s="164">
        <v>0.26388888888888884</v>
      </c>
      <c r="F582">
        <v>63.28</v>
      </c>
    </row>
    <row r="583" spans="1:6">
      <c r="A583">
        <v>3213</v>
      </c>
      <c r="B583" t="s">
        <v>1488</v>
      </c>
      <c r="C583">
        <v>34.299999999999997</v>
      </c>
      <c r="D583">
        <f>VLOOKUP(A583,收盤價!A:C,3,0)</f>
        <v>43.35</v>
      </c>
      <c r="E583" s="164">
        <v>0.26384839650145786</v>
      </c>
      <c r="F583">
        <v>63.22</v>
      </c>
    </row>
    <row r="584" spans="1:6">
      <c r="A584">
        <v>5009</v>
      </c>
      <c r="B584" t="s">
        <v>402</v>
      </c>
      <c r="C584">
        <v>13.85</v>
      </c>
      <c r="D584">
        <f>VLOOKUP(A584,收盤價!A:C,3,0)</f>
        <v>17.5</v>
      </c>
      <c r="E584" s="164">
        <v>0.26353790613718414</v>
      </c>
      <c r="F584">
        <v>63.15</v>
      </c>
    </row>
    <row r="585" spans="1:6">
      <c r="A585">
        <v>3217</v>
      </c>
      <c r="B585" t="s">
        <v>1489</v>
      </c>
      <c r="C585">
        <v>10.25</v>
      </c>
      <c r="D585">
        <f>VLOOKUP(A585,收盤價!A:C,3,0)</f>
        <v>12.95</v>
      </c>
      <c r="E585" s="164">
        <v>0.26341463414634142</v>
      </c>
      <c r="F585">
        <v>63.09</v>
      </c>
    </row>
    <row r="586" spans="1:6">
      <c r="A586">
        <v>4198</v>
      </c>
      <c r="B586" t="s">
        <v>376</v>
      </c>
      <c r="C586">
        <v>30</v>
      </c>
      <c r="D586">
        <f>VLOOKUP(A586,收盤價!A:C,3,0)</f>
        <v>37.9</v>
      </c>
      <c r="E586" s="164">
        <v>0.26333333333333331</v>
      </c>
      <c r="F586">
        <v>63.03</v>
      </c>
    </row>
    <row r="587" spans="1:6">
      <c r="A587">
        <v>3521</v>
      </c>
      <c r="B587" t="s">
        <v>1528</v>
      </c>
      <c r="C587">
        <v>11.6</v>
      </c>
      <c r="D587">
        <f>VLOOKUP(A587,收盤價!A:C,3,0)</f>
        <v>14.65</v>
      </c>
      <c r="E587" s="164">
        <v>0.26293103448275867</v>
      </c>
      <c r="F587">
        <v>62.97</v>
      </c>
    </row>
    <row r="588" spans="1:6">
      <c r="A588">
        <v>8182</v>
      </c>
      <c r="B588" t="s">
        <v>1811</v>
      </c>
      <c r="C588">
        <v>9.9</v>
      </c>
      <c r="D588">
        <f>VLOOKUP(A588,收盤價!A:C,3,0)</f>
        <v>12.5</v>
      </c>
      <c r="E588" s="164">
        <v>0.2626262626262626</v>
      </c>
      <c r="F588">
        <v>62.9</v>
      </c>
    </row>
    <row r="589" spans="1:6">
      <c r="A589">
        <v>4991</v>
      </c>
      <c r="B589" t="s">
        <v>1634</v>
      </c>
      <c r="C589">
        <v>58.3</v>
      </c>
      <c r="D589">
        <f>VLOOKUP(A589,收盤價!A:C,3,0)</f>
        <v>73.599999999999994</v>
      </c>
      <c r="E589" s="164">
        <v>0.26243567753001712</v>
      </c>
      <c r="F589">
        <v>62.84</v>
      </c>
    </row>
    <row r="590" spans="1:6">
      <c r="A590">
        <v>2903</v>
      </c>
      <c r="B590" t="s">
        <v>1033</v>
      </c>
      <c r="C590">
        <v>14.5</v>
      </c>
      <c r="D590">
        <f>VLOOKUP(A590,收盤價!A:C,3,0)</f>
        <v>18.3</v>
      </c>
      <c r="E590" s="164">
        <v>0.2620689655172414</v>
      </c>
      <c r="F590">
        <v>62.78</v>
      </c>
    </row>
    <row r="591" spans="1:6">
      <c r="A591">
        <v>6151</v>
      </c>
      <c r="B591" t="s">
        <v>1730</v>
      </c>
      <c r="C591">
        <v>18.149999999999999</v>
      </c>
      <c r="D591">
        <f>VLOOKUP(A591,收盤價!A:C,3,0)</f>
        <v>22.9</v>
      </c>
      <c r="E591" s="164">
        <v>0.26170798898071629</v>
      </c>
      <c r="F591">
        <v>62.71</v>
      </c>
    </row>
    <row r="592" spans="1:6">
      <c r="A592">
        <v>3060</v>
      </c>
      <c r="B592" t="s">
        <v>1096</v>
      </c>
      <c r="C592">
        <v>44.55</v>
      </c>
      <c r="D592">
        <f>VLOOKUP(A592,收盤價!A:C,3,0)</f>
        <v>56.2</v>
      </c>
      <c r="E592" s="164">
        <v>0.26150392817059498</v>
      </c>
      <c r="F592">
        <v>62.65</v>
      </c>
    </row>
    <row r="593" spans="1:6">
      <c r="A593">
        <v>1304</v>
      </c>
      <c r="B593" t="s">
        <v>573</v>
      </c>
      <c r="C593">
        <v>10.9</v>
      </c>
      <c r="D593">
        <f>VLOOKUP(A593,收盤價!A:C,3,0)</f>
        <v>13.75</v>
      </c>
      <c r="E593" s="164">
        <v>0.26146788990825681</v>
      </c>
      <c r="F593">
        <v>62.59</v>
      </c>
    </row>
    <row r="594" spans="1:6">
      <c r="A594">
        <v>8249</v>
      </c>
      <c r="B594" t="s">
        <v>1358</v>
      </c>
      <c r="C594">
        <v>18.55</v>
      </c>
      <c r="D594">
        <f>VLOOKUP(A594,收盤價!A:C,3,0)</f>
        <v>23.4</v>
      </c>
      <c r="E594" s="164">
        <v>0.2614555256064689</v>
      </c>
      <c r="F594">
        <v>62.52</v>
      </c>
    </row>
    <row r="595" spans="1:6">
      <c r="A595">
        <v>3317</v>
      </c>
      <c r="B595" t="s">
        <v>1505</v>
      </c>
      <c r="C595">
        <v>9</v>
      </c>
      <c r="D595">
        <f>VLOOKUP(A595,收盤價!A:C,3,0)</f>
        <v>11.35</v>
      </c>
      <c r="E595" s="164">
        <v>0.26111111111111107</v>
      </c>
      <c r="F595">
        <v>62.46</v>
      </c>
    </row>
    <row r="596" spans="1:6">
      <c r="A596">
        <v>1472</v>
      </c>
      <c r="B596" t="s">
        <v>639</v>
      </c>
      <c r="C596">
        <v>11.7</v>
      </c>
      <c r="D596">
        <f>VLOOKUP(A596,收盤價!A:C,3,0)</f>
        <v>14.75</v>
      </c>
      <c r="E596" s="164">
        <v>0.26068376068376076</v>
      </c>
      <c r="F596">
        <v>62.4</v>
      </c>
    </row>
    <row r="597" spans="1:6">
      <c r="A597">
        <v>2405</v>
      </c>
      <c r="B597" t="s">
        <v>865</v>
      </c>
      <c r="C597">
        <v>5.68</v>
      </c>
      <c r="D597">
        <f>VLOOKUP(A597,收盤價!A:C,3,0)</f>
        <v>7.16</v>
      </c>
      <c r="E597" s="164">
        <v>0.26056338028169024</v>
      </c>
      <c r="F597">
        <v>62.33</v>
      </c>
    </row>
    <row r="598" spans="1:6">
      <c r="A598">
        <v>2476</v>
      </c>
      <c r="B598" t="s">
        <v>919</v>
      </c>
      <c r="C598">
        <v>17.5</v>
      </c>
      <c r="D598">
        <f>VLOOKUP(A598,收盤價!A:C,3,0)</f>
        <v>22.05</v>
      </c>
      <c r="E598" s="164">
        <v>0.26000000000000006</v>
      </c>
      <c r="F598">
        <v>62.27</v>
      </c>
    </row>
    <row r="599" spans="1:6">
      <c r="A599">
        <v>9919</v>
      </c>
      <c r="B599" t="s">
        <v>1410</v>
      </c>
      <c r="C599">
        <v>9.0500000000000007</v>
      </c>
      <c r="D599">
        <f>VLOOKUP(A599,收盤價!A:C,3,0)</f>
        <v>11.4</v>
      </c>
      <c r="E599" s="164">
        <v>0.25966850828729277</v>
      </c>
      <c r="F599">
        <v>62.21</v>
      </c>
    </row>
    <row r="600" spans="1:6">
      <c r="A600">
        <v>8093</v>
      </c>
      <c r="B600" t="s">
        <v>1800</v>
      </c>
      <c r="C600">
        <v>4.5999999999999996</v>
      </c>
      <c r="D600">
        <f>VLOOKUP(A600,收盤價!A:C,3,0)</f>
        <v>5.79</v>
      </c>
      <c r="E600" s="164">
        <v>0.25869565217391316</v>
      </c>
      <c r="F600">
        <v>62.15</v>
      </c>
    </row>
    <row r="601" spans="1:6">
      <c r="A601">
        <v>1806</v>
      </c>
      <c r="B601" t="s">
        <v>735</v>
      </c>
      <c r="C601">
        <v>5.76</v>
      </c>
      <c r="D601">
        <f>VLOOKUP(A601,收盤價!A:C,3,0)</f>
        <v>7.25</v>
      </c>
      <c r="E601" s="164">
        <v>0.25868055555555558</v>
      </c>
      <c r="F601">
        <v>62.08</v>
      </c>
    </row>
    <row r="602" spans="1:6">
      <c r="A602">
        <v>2923</v>
      </c>
      <c r="B602" t="s">
        <v>1043</v>
      </c>
      <c r="C602">
        <v>18.95</v>
      </c>
      <c r="D602">
        <f>VLOOKUP(A602,收盤價!A:C,3,0)</f>
        <v>23.85</v>
      </c>
      <c r="E602" s="164">
        <v>0.25857519788918221</v>
      </c>
      <c r="F602">
        <v>62.02</v>
      </c>
    </row>
    <row r="603" spans="1:6">
      <c r="A603">
        <v>8048</v>
      </c>
      <c r="B603" t="s">
        <v>1784</v>
      </c>
      <c r="C603">
        <v>37.75</v>
      </c>
      <c r="D603">
        <f>VLOOKUP(A603,收盤價!A:C,3,0)</f>
        <v>47.5</v>
      </c>
      <c r="E603" s="164">
        <v>0.25827814569536423</v>
      </c>
      <c r="F603">
        <v>61.96</v>
      </c>
    </row>
    <row r="604" spans="1:6">
      <c r="A604">
        <v>3228</v>
      </c>
      <c r="B604" t="s">
        <v>303</v>
      </c>
      <c r="C604">
        <v>19.95</v>
      </c>
      <c r="D604">
        <f>VLOOKUP(A604,收盤價!A:C,3,0)</f>
        <v>25.1</v>
      </c>
      <c r="E604" s="164">
        <v>0.2581453634085214</v>
      </c>
      <c r="F604">
        <v>61.89</v>
      </c>
    </row>
    <row r="605" spans="1:6">
      <c r="A605">
        <v>3652</v>
      </c>
      <c r="B605" t="s">
        <v>357</v>
      </c>
      <c r="C605">
        <v>13.6</v>
      </c>
      <c r="D605">
        <f>VLOOKUP(A605,收盤價!A:C,3,0)</f>
        <v>17.100000000000001</v>
      </c>
      <c r="E605" s="164">
        <v>0.25735294117647073</v>
      </c>
      <c r="F605">
        <v>61.83</v>
      </c>
    </row>
    <row r="606" spans="1:6">
      <c r="A606">
        <v>3050</v>
      </c>
      <c r="B606" t="s">
        <v>1087</v>
      </c>
      <c r="C606">
        <v>6.92</v>
      </c>
      <c r="D606">
        <f>VLOOKUP(A606,收盤價!A:C,3,0)</f>
        <v>8.6999999999999993</v>
      </c>
      <c r="E606" s="164">
        <v>0.25722543352601146</v>
      </c>
      <c r="F606">
        <v>61.77</v>
      </c>
    </row>
    <row r="607" spans="1:6">
      <c r="A607">
        <v>1432</v>
      </c>
      <c r="B607" t="s">
        <v>605</v>
      </c>
      <c r="C607">
        <v>15.4</v>
      </c>
      <c r="D607">
        <f>VLOOKUP(A607,收盤價!A:C,3,0)</f>
        <v>19.350000000000001</v>
      </c>
      <c r="E607" s="164">
        <v>0.25649350649350655</v>
      </c>
      <c r="F607">
        <v>61.7</v>
      </c>
    </row>
    <row r="608" spans="1:6">
      <c r="A608">
        <v>3374</v>
      </c>
      <c r="B608" t="s">
        <v>325</v>
      </c>
      <c r="C608">
        <v>29.85</v>
      </c>
      <c r="D608">
        <f>VLOOKUP(A608,收盤價!A:C,3,0)</f>
        <v>37.5</v>
      </c>
      <c r="E608" s="164">
        <v>0.25628140703517582</v>
      </c>
      <c r="F608">
        <v>61.64</v>
      </c>
    </row>
    <row r="609" spans="1:6">
      <c r="A609">
        <v>4965</v>
      </c>
      <c r="B609" t="s">
        <v>399</v>
      </c>
      <c r="C609">
        <v>95.6</v>
      </c>
      <c r="D609">
        <f>VLOOKUP(A609,收盤價!A:C,3,0)</f>
        <v>120</v>
      </c>
      <c r="E609" s="164">
        <v>0.25523012552301261</v>
      </c>
      <c r="F609">
        <v>61.58</v>
      </c>
    </row>
    <row r="610" spans="1:6">
      <c r="A610">
        <v>5317</v>
      </c>
      <c r="B610" t="s">
        <v>421</v>
      </c>
      <c r="C610">
        <v>12.6</v>
      </c>
      <c r="D610">
        <f>VLOOKUP(A610,收盤價!A:C,3,0)</f>
        <v>15.8</v>
      </c>
      <c r="E610" s="164">
        <v>0.25396825396825407</v>
      </c>
      <c r="F610">
        <v>61.51</v>
      </c>
    </row>
    <row r="611" spans="1:6">
      <c r="A611">
        <v>911616</v>
      </c>
      <c r="B611" t="s">
        <v>1386</v>
      </c>
      <c r="C611">
        <v>1.97</v>
      </c>
      <c r="D611">
        <f>VLOOKUP(A611,收盤價!A:C,3,0)</f>
        <v>2.4700000000000002</v>
      </c>
      <c r="E611" s="164">
        <v>0.25380710659898487</v>
      </c>
      <c r="F611">
        <v>61.45</v>
      </c>
    </row>
    <row r="612" spans="1:6">
      <c r="A612">
        <v>8299</v>
      </c>
      <c r="B612" t="s">
        <v>1820</v>
      </c>
      <c r="C612">
        <v>201</v>
      </c>
      <c r="D612">
        <f>VLOOKUP(A612,收盤價!A:C,3,0)</f>
        <v>252</v>
      </c>
      <c r="E612" s="164">
        <v>0.2537313432835821</v>
      </c>
      <c r="F612">
        <v>61.39</v>
      </c>
    </row>
    <row r="613" spans="1:6">
      <c r="A613">
        <v>3516</v>
      </c>
      <c r="B613" t="s">
        <v>337</v>
      </c>
      <c r="C613">
        <v>7.3</v>
      </c>
      <c r="D613">
        <f>VLOOKUP(A613,收盤價!A:C,3,0)</f>
        <v>9.15</v>
      </c>
      <c r="E613" s="164">
        <v>0.25342465753424664</v>
      </c>
      <c r="F613">
        <v>61.32</v>
      </c>
    </row>
    <row r="614" spans="1:6">
      <c r="A614">
        <v>1815</v>
      </c>
      <c r="B614" t="s">
        <v>1451</v>
      </c>
      <c r="C614">
        <v>8.82</v>
      </c>
      <c r="D614">
        <f>VLOOKUP(A614,收盤價!A:C,3,0)</f>
        <v>11.05</v>
      </c>
      <c r="E614" s="164">
        <v>0.25283446712018143</v>
      </c>
      <c r="F614">
        <v>61.26</v>
      </c>
    </row>
    <row r="615" spans="1:6">
      <c r="A615">
        <v>6161</v>
      </c>
      <c r="B615" t="s">
        <v>459</v>
      </c>
      <c r="C615">
        <v>5.74</v>
      </c>
      <c r="D615">
        <f>VLOOKUP(A615,收盤價!A:C,3,0)</f>
        <v>7.19</v>
      </c>
      <c r="E615" s="164">
        <v>0.2526132404181185</v>
      </c>
      <c r="F615">
        <v>61.2</v>
      </c>
    </row>
    <row r="616" spans="1:6">
      <c r="A616">
        <v>1532</v>
      </c>
      <c r="B616" t="s">
        <v>666</v>
      </c>
      <c r="C616">
        <v>21</v>
      </c>
      <c r="D616">
        <f>VLOOKUP(A616,收盤價!A:C,3,0)</f>
        <v>26.3</v>
      </c>
      <c r="E616" s="164">
        <v>0.25238095238095243</v>
      </c>
      <c r="F616">
        <v>61.14</v>
      </c>
    </row>
    <row r="617" spans="1:6">
      <c r="A617">
        <v>6145</v>
      </c>
      <c r="B617" t="s">
        <v>1272</v>
      </c>
      <c r="C617">
        <v>10.5</v>
      </c>
      <c r="D617">
        <f>VLOOKUP(A617,收盤價!A:C,3,0)</f>
        <v>13.15</v>
      </c>
      <c r="E617" s="164">
        <v>0.25238095238095243</v>
      </c>
      <c r="F617">
        <v>61.07</v>
      </c>
    </row>
    <row r="618" spans="1:6">
      <c r="A618">
        <v>5522</v>
      </c>
      <c r="B618" t="s">
        <v>1245</v>
      </c>
      <c r="C618">
        <v>27.55</v>
      </c>
      <c r="D618">
        <f>VLOOKUP(A618,收盤價!A:C,3,0)</f>
        <v>34.5</v>
      </c>
      <c r="E618" s="164">
        <v>0.25226860254083483</v>
      </c>
      <c r="F618">
        <v>61.01</v>
      </c>
    </row>
    <row r="619" spans="1:6">
      <c r="A619">
        <v>5227</v>
      </c>
      <c r="B619" t="s">
        <v>1645</v>
      </c>
      <c r="C619">
        <v>27.1</v>
      </c>
      <c r="D619">
        <f>VLOOKUP(A619,收盤價!A:C,3,0)</f>
        <v>33.9</v>
      </c>
      <c r="E619" s="164">
        <v>0.25092250922509213</v>
      </c>
      <c r="F619">
        <v>60.95</v>
      </c>
    </row>
    <row r="620" spans="1:6">
      <c r="A620">
        <v>4430</v>
      </c>
      <c r="B620" t="s">
        <v>1595</v>
      </c>
      <c r="C620">
        <v>23.15</v>
      </c>
      <c r="D620">
        <f>VLOOKUP(A620,收盤價!A:C,3,0)</f>
        <v>28.95</v>
      </c>
      <c r="E620" s="164">
        <v>0.25053995680345575</v>
      </c>
      <c r="F620">
        <v>60.88</v>
      </c>
    </row>
    <row r="621" spans="1:6">
      <c r="A621">
        <v>1446</v>
      </c>
      <c r="B621" t="s">
        <v>618</v>
      </c>
      <c r="C621">
        <v>18.05</v>
      </c>
      <c r="D621">
        <f>VLOOKUP(A621,收盤價!A:C,3,0)</f>
        <v>22.55</v>
      </c>
      <c r="E621" s="164">
        <v>0.24930747922437671</v>
      </c>
      <c r="F621">
        <v>60.82</v>
      </c>
    </row>
    <row r="622" spans="1:6">
      <c r="A622">
        <v>6152</v>
      </c>
      <c r="B622" t="s">
        <v>1273</v>
      </c>
      <c r="C622">
        <v>5.9</v>
      </c>
      <c r="D622">
        <f>VLOOKUP(A622,收盤價!A:C,3,0)</f>
        <v>7.37</v>
      </c>
      <c r="E622" s="164">
        <v>0.24915254237288129</v>
      </c>
      <c r="F622">
        <v>60.76</v>
      </c>
    </row>
    <row r="623" spans="1:6">
      <c r="A623">
        <v>2415</v>
      </c>
      <c r="B623" t="s">
        <v>872</v>
      </c>
      <c r="C623">
        <v>9.98</v>
      </c>
      <c r="D623">
        <f>VLOOKUP(A623,收盤價!A:C,3,0)</f>
        <v>12.45</v>
      </c>
      <c r="E623" s="164">
        <v>0.24749498997995981</v>
      </c>
      <c r="F623">
        <v>60.69</v>
      </c>
    </row>
    <row r="624" spans="1:6">
      <c r="A624">
        <v>6289</v>
      </c>
      <c r="B624" t="s">
        <v>1317</v>
      </c>
      <c r="C624">
        <v>0.89</v>
      </c>
      <c r="D624">
        <f>VLOOKUP(A624,收盤價!A:C,3,0)</f>
        <v>1.1100000000000001</v>
      </c>
      <c r="E624" s="164">
        <v>0.24719101123595516</v>
      </c>
      <c r="F624">
        <v>60.63</v>
      </c>
    </row>
    <row r="625" spans="1:6">
      <c r="A625">
        <v>2397</v>
      </c>
      <c r="B625" t="s">
        <v>860</v>
      </c>
      <c r="C625">
        <v>31.6</v>
      </c>
      <c r="D625">
        <f>VLOOKUP(A625,收盤價!A:C,3,0)</f>
        <v>39.4</v>
      </c>
      <c r="E625" s="164">
        <v>0.24683544303797458</v>
      </c>
      <c r="F625">
        <v>60.57</v>
      </c>
    </row>
    <row r="626" spans="1:6">
      <c r="A626">
        <v>1582</v>
      </c>
      <c r="B626" t="s">
        <v>678</v>
      </c>
      <c r="C626">
        <v>41</v>
      </c>
      <c r="D626">
        <f>VLOOKUP(A626,收盤價!A:C,3,0)</f>
        <v>51.1</v>
      </c>
      <c r="E626" s="164">
        <v>0.24634146341463417</v>
      </c>
      <c r="F626">
        <v>60.5</v>
      </c>
    </row>
    <row r="627" spans="1:6">
      <c r="A627">
        <v>9105</v>
      </c>
      <c r="B627" t="s">
        <v>1377</v>
      </c>
      <c r="C627">
        <v>2.68</v>
      </c>
      <c r="D627">
        <f>VLOOKUP(A627,收盤價!A:C,3,0)</f>
        <v>3.34</v>
      </c>
      <c r="E627" s="164">
        <v>0.24626865671641779</v>
      </c>
      <c r="F627">
        <v>60.44</v>
      </c>
    </row>
    <row r="628" spans="1:6">
      <c r="A628">
        <v>6141</v>
      </c>
      <c r="B628" t="s">
        <v>1270</v>
      </c>
      <c r="C628">
        <v>7.92</v>
      </c>
      <c r="D628">
        <f>VLOOKUP(A628,收盤價!A:C,3,0)</f>
        <v>9.8699999999999992</v>
      </c>
      <c r="E628" s="164">
        <v>0.24621212121212113</v>
      </c>
      <c r="F628">
        <v>60.38</v>
      </c>
    </row>
    <row r="629" spans="1:6">
      <c r="A629">
        <v>3122</v>
      </c>
      <c r="B629" t="s">
        <v>1477</v>
      </c>
      <c r="C629">
        <v>12.6</v>
      </c>
      <c r="D629">
        <f>VLOOKUP(A629,收盤價!A:C,3,0)</f>
        <v>15.7</v>
      </c>
      <c r="E629" s="164">
        <v>0.24603174603174602</v>
      </c>
      <c r="F629">
        <v>60.32</v>
      </c>
    </row>
    <row r="630" spans="1:6">
      <c r="A630">
        <v>6180</v>
      </c>
      <c r="B630" t="s">
        <v>1736</v>
      </c>
      <c r="C630">
        <v>36</v>
      </c>
      <c r="D630">
        <f>VLOOKUP(A630,收盤價!A:C,3,0)</f>
        <v>44.85</v>
      </c>
      <c r="E630" s="164">
        <v>0.24583333333333338</v>
      </c>
      <c r="F630">
        <v>60.25</v>
      </c>
    </row>
    <row r="631" spans="1:6">
      <c r="A631">
        <v>2726</v>
      </c>
      <c r="B631" t="s">
        <v>1460</v>
      </c>
      <c r="C631">
        <v>48</v>
      </c>
      <c r="D631">
        <f>VLOOKUP(A631,收盤價!A:C,3,0)</f>
        <v>59.8</v>
      </c>
      <c r="E631" s="164">
        <v>0.24583333333333326</v>
      </c>
      <c r="F631">
        <v>60.19</v>
      </c>
    </row>
    <row r="632" spans="1:6">
      <c r="A632">
        <v>4722</v>
      </c>
      <c r="B632" t="s">
        <v>1198</v>
      </c>
      <c r="C632">
        <v>25.5</v>
      </c>
      <c r="D632">
        <f>VLOOKUP(A632,收盤價!A:C,3,0)</f>
        <v>31.75</v>
      </c>
      <c r="E632" s="164">
        <v>0.24509803921568626</v>
      </c>
      <c r="F632">
        <v>60.13</v>
      </c>
    </row>
    <row r="633" spans="1:6">
      <c r="A633">
        <v>9911</v>
      </c>
      <c r="B633" t="s">
        <v>1405</v>
      </c>
      <c r="C633">
        <v>14.9</v>
      </c>
      <c r="D633">
        <f>VLOOKUP(A633,收盤價!A:C,3,0)</f>
        <v>18.55</v>
      </c>
      <c r="E633" s="164">
        <v>0.24496644295302014</v>
      </c>
      <c r="F633">
        <v>60.06</v>
      </c>
    </row>
    <row r="634" spans="1:6">
      <c r="A634">
        <v>1533</v>
      </c>
      <c r="B634" t="s">
        <v>667</v>
      </c>
      <c r="C634">
        <v>34.65</v>
      </c>
      <c r="D634">
        <f>VLOOKUP(A634,收盤價!A:C,3,0)</f>
        <v>43.05</v>
      </c>
      <c r="E634" s="164">
        <v>0.2424242424242424</v>
      </c>
      <c r="F634">
        <v>60</v>
      </c>
    </row>
    <row r="635" spans="1:6">
      <c r="A635">
        <v>5410</v>
      </c>
      <c r="B635" t="s">
        <v>1671</v>
      </c>
      <c r="C635">
        <v>9.5</v>
      </c>
      <c r="D635">
        <f>VLOOKUP(A635,收盤價!A:C,3,0)</f>
        <v>11.8</v>
      </c>
      <c r="E635" s="164">
        <v>0.24210526315789482</v>
      </c>
      <c r="F635">
        <v>59.94</v>
      </c>
    </row>
    <row r="636" spans="1:6">
      <c r="A636">
        <v>1466</v>
      </c>
      <c r="B636" t="s">
        <v>633</v>
      </c>
      <c r="C636">
        <v>12.4</v>
      </c>
      <c r="D636">
        <f>VLOOKUP(A636,收盤價!A:C,3,0)</f>
        <v>15.4</v>
      </c>
      <c r="E636" s="164">
        <v>0.24193548387096772</v>
      </c>
      <c r="F636">
        <v>59.87</v>
      </c>
    </row>
    <row r="637" spans="1:6">
      <c r="A637">
        <v>910801</v>
      </c>
      <c r="B637" t="s">
        <v>1380</v>
      </c>
      <c r="C637">
        <v>3.85</v>
      </c>
      <c r="D637">
        <f>VLOOKUP(A637,收盤價!A:C,3,0)</f>
        <v>4.78</v>
      </c>
      <c r="E637" s="164">
        <v>0.24155844155844158</v>
      </c>
      <c r="F637">
        <v>59.81</v>
      </c>
    </row>
    <row r="638" spans="1:6">
      <c r="A638">
        <v>3029</v>
      </c>
      <c r="B638" t="s">
        <v>1067</v>
      </c>
      <c r="C638">
        <v>15.35</v>
      </c>
      <c r="D638">
        <f>VLOOKUP(A638,收盤價!A:C,3,0)</f>
        <v>19.05</v>
      </c>
      <c r="E638" s="164">
        <v>0.24104234527687304</v>
      </c>
      <c r="F638">
        <v>59.75</v>
      </c>
    </row>
    <row r="639" spans="1:6">
      <c r="A639">
        <v>2483</v>
      </c>
      <c r="B639" t="s">
        <v>925</v>
      </c>
      <c r="C639">
        <v>15.4</v>
      </c>
      <c r="D639">
        <f>VLOOKUP(A639,收盤價!A:C,3,0)</f>
        <v>19.100000000000001</v>
      </c>
      <c r="E639" s="164">
        <v>0.24025974025974031</v>
      </c>
      <c r="F639">
        <v>59.68</v>
      </c>
    </row>
    <row r="640" spans="1:6">
      <c r="A640">
        <v>2850</v>
      </c>
      <c r="B640" t="s">
        <v>1011</v>
      </c>
      <c r="C640">
        <v>18.95</v>
      </c>
      <c r="D640">
        <f>VLOOKUP(A640,收盤價!A:C,3,0)</f>
        <v>23.5</v>
      </c>
      <c r="E640" s="164">
        <v>0.24010554089709768</v>
      </c>
      <c r="F640">
        <v>59.62</v>
      </c>
    </row>
    <row r="641" spans="1:6">
      <c r="A641">
        <v>2427</v>
      </c>
      <c r="B641" t="s">
        <v>881</v>
      </c>
      <c r="C641">
        <v>4.97</v>
      </c>
      <c r="D641">
        <f>VLOOKUP(A641,收盤價!A:C,3,0)</f>
        <v>6.16</v>
      </c>
      <c r="E641" s="164">
        <v>0.23943661971830996</v>
      </c>
      <c r="F641">
        <v>59.56</v>
      </c>
    </row>
    <row r="642" spans="1:6">
      <c r="A642">
        <v>4974</v>
      </c>
      <c r="B642" t="s">
        <v>400</v>
      </c>
      <c r="C642">
        <v>33</v>
      </c>
      <c r="D642">
        <f>VLOOKUP(A642,收盤價!A:C,3,0)</f>
        <v>40.9</v>
      </c>
      <c r="E642" s="164">
        <v>0.23939393939393935</v>
      </c>
      <c r="F642">
        <v>59.5</v>
      </c>
    </row>
    <row r="643" spans="1:6">
      <c r="A643">
        <v>1333</v>
      </c>
      <c r="B643" t="s">
        <v>263</v>
      </c>
      <c r="C643">
        <v>4.58</v>
      </c>
      <c r="D643">
        <f>VLOOKUP(A643,收盤價!A:C,3,0)</f>
        <v>5.67</v>
      </c>
      <c r="E643" s="164">
        <v>0.23799126637554582</v>
      </c>
      <c r="F643">
        <v>59.43</v>
      </c>
    </row>
    <row r="644" spans="1:6">
      <c r="A644">
        <v>910861</v>
      </c>
      <c r="B644" t="s">
        <v>1381</v>
      </c>
      <c r="C644">
        <v>14.5</v>
      </c>
      <c r="D644">
        <f>VLOOKUP(A644,收盤價!A:C,3,0)</f>
        <v>17.95</v>
      </c>
      <c r="E644" s="164">
        <v>0.23793103448275857</v>
      </c>
      <c r="F644">
        <v>59.37</v>
      </c>
    </row>
    <row r="645" spans="1:6">
      <c r="A645">
        <v>4161</v>
      </c>
      <c r="B645" t="s">
        <v>1578</v>
      </c>
      <c r="C645">
        <v>58.1</v>
      </c>
      <c r="D645">
        <f>VLOOKUP(A645,收盤價!A:C,3,0)</f>
        <v>71.900000000000006</v>
      </c>
      <c r="E645" s="164">
        <v>0.23752151462994844</v>
      </c>
      <c r="F645">
        <v>59.31</v>
      </c>
    </row>
    <row r="646" spans="1:6">
      <c r="A646">
        <v>3031</v>
      </c>
      <c r="B646" t="s">
        <v>1069</v>
      </c>
      <c r="C646">
        <v>8</v>
      </c>
      <c r="D646">
        <f>VLOOKUP(A646,收盤價!A:C,3,0)</f>
        <v>9.9</v>
      </c>
      <c r="E646" s="164">
        <v>0.23750000000000004</v>
      </c>
      <c r="F646">
        <v>59.24</v>
      </c>
    </row>
    <row r="647" spans="1:6">
      <c r="A647">
        <v>2823</v>
      </c>
      <c r="B647" t="s">
        <v>1002</v>
      </c>
      <c r="C647">
        <v>21.9</v>
      </c>
      <c r="D647">
        <f>VLOOKUP(A647,收盤價!A:C,3,0)</f>
        <v>27.1</v>
      </c>
      <c r="E647" s="164">
        <v>0.23744292237442938</v>
      </c>
      <c r="F647">
        <v>59.18</v>
      </c>
    </row>
    <row r="648" spans="1:6">
      <c r="A648">
        <v>8021</v>
      </c>
      <c r="B648" t="s">
        <v>1337</v>
      </c>
      <c r="C648">
        <v>19.5</v>
      </c>
      <c r="D648">
        <f>VLOOKUP(A648,收盤價!A:C,3,0)</f>
        <v>24.1</v>
      </c>
      <c r="E648" s="164">
        <v>0.23589743589743598</v>
      </c>
      <c r="F648">
        <v>59.12</v>
      </c>
    </row>
    <row r="649" spans="1:6">
      <c r="A649">
        <v>8070</v>
      </c>
      <c r="B649" t="s">
        <v>1341</v>
      </c>
      <c r="C649">
        <v>73.400000000000006</v>
      </c>
      <c r="D649">
        <f>VLOOKUP(A649,收盤價!A:C,3,0)</f>
        <v>90.7</v>
      </c>
      <c r="E649" s="164">
        <v>0.23569482288828333</v>
      </c>
      <c r="F649">
        <v>59.05</v>
      </c>
    </row>
    <row r="650" spans="1:6">
      <c r="A650">
        <v>5278</v>
      </c>
      <c r="B650" t="s">
        <v>414</v>
      </c>
      <c r="C650">
        <v>22.5</v>
      </c>
      <c r="D650">
        <f>VLOOKUP(A650,收盤價!A:C,3,0)</f>
        <v>27.8</v>
      </c>
      <c r="E650" s="164">
        <v>0.23555555555555557</v>
      </c>
      <c r="F650">
        <v>58.99</v>
      </c>
    </row>
    <row r="651" spans="1:6">
      <c r="A651">
        <v>1323</v>
      </c>
      <c r="B651" t="s">
        <v>587</v>
      </c>
      <c r="C651">
        <v>21.45</v>
      </c>
      <c r="D651">
        <f>VLOOKUP(A651,收盤價!A:C,3,0)</f>
        <v>26.5</v>
      </c>
      <c r="E651" s="164">
        <v>0.23543123543123548</v>
      </c>
      <c r="F651">
        <v>58.93</v>
      </c>
    </row>
    <row r="652" spans="1:6">
      <c r="A652">
        <v>2548</v>
      </c>
      <c r="B652" t="s">
        <v>965</v>
      </c>
      <c r="C652">
        <v>49.3</v>
      </c>
      <c r="D652">
        <f>VLOOKUP(A652,收盤價!A:C,3,0)</f>
        <v>60.9</v>
      </c>
      <c r="E652" s="164">
        <v>0.23529411764705888</v>
      </c>
      <c r="F652">
        <v>58.86</v>
      </c>
    </row>
    <row r="653" spans="1:6">
      <c r="A653">
        <v>6005</v>
      </c>
      <c r="B653" t="s">
        <v>1258</v>
      </c>
      <c r="C653">
        <v>7.66</v>
      </c>
      <c r="D653">
        <f>VLOOKUP(A653,收盤價!A:C,3,0)</f>
        <v>9.4600000000000009</v>
      </c>
      <c r="E653" s="164">
        <v>0.23498694516971289</v>
      </c>
      <c r="F653">
        <v>58.8</v>
      </c>
    </row>
    <row r="654" spans="1:6">
      <c r="A654">
        <v>1474</v>
      </c>
      <c r="B654" t="s">
        <v>641</v>
      </c>
      <c r="C654">
        <v>8.14</v>
      </c>
      <c r="D654">
        <f>VLOOKUP(A654,收盤價!A:C,3,0)</f>
        <v>10.050000000000001</v>
      </c>
      <c r="E654" s="164">
        <v>0.23464373464373464</v>
      </c>
      <c r="F654">
        <v>58.74</v>
      </c>
    </row>
    <row r="655" spans="1:6">
      <c r="A655">
        <v>6264</v>
      </c>
      <c r="B655" t="s">
        <v>488</v>
      </c>
      <c r="C655">
        <v>5.08</v>
      </c>
      <c r="D655">
        <f>VLOOKUP(A655,收盤價!A:C,3,0)</f>
        <v>6.27</v>
      </c>
      <c r="E655" s="164">
        <v>0.2342519685039369</v>
      </c>
      <c r="F655">
        <v>58.68</v>
      </c>
    </row>
    <row r="656" spans="1:6">
      <c r="A656">
        <v>3522</v>
      </c>
      <c r="B656" t="s">
        <v>338</v>
      </c>
      <c r="C656">
        <v>8.11</v>
      </c>
      <c r="D656">
        <f>VLOOKUP(A656,收盤價!A:C,3,0)</f>
        <v>10</v>
      </c>
      <c r="E656" s="164">
        <v>0.23304562268803955</v>
      </c>
      <c r="F656">
        <v>58.61</v>
      </c>
    </row>
    <row r="657" spans="1:6">
      <c r="A657">
        <v>2856</v>
      </c>
      <c r="B657" t="s">
        <v>1015</v>
      </c>
      <c r="C657">
        <v>7.52</v>
      </c>
      <c r="D657">
        <f>VLOOKUP(A657,收盤價!A:C,3,0)</f>
        <v>9.27</v>
      </c>
      <c r="E657" s="164">
        <v>0.23271276595744683</v>
      </c>
      <c r="F657">
        <v>58.55</v>
      </c>
    </row>
    <row r="658" spans="1:6">
      <c r="A658">
        <v>3299</v>
      </c>
      <c r="B658" t="s">
        <v>316</v>
      </c>
      <c r="C658">
        <v>41.7</v>
      </c>
      <c r="D658">
        <f>VLOOKUP(A658,收盤價!A:C,3,0)</f>
        <v>51.4</v>
      </c>
      <c r="E658" s="164">
        <v>0.23261390887290156</v>
      </c>
      <c r="F658">
        <v>58.49</v>
      </c>
    </row>
    <row r="659" spans="1:6">
      <c r="A659">
        <v>3624</v>
      </c>
      <c r="B659" t="s">
        <v>353</v>
      </c>
      <c r="C659">
        <v>19.8</v>
      </c>
      <c r="D659">
        <f>VLOOKUP(A659,收盤價!A:C,3,0)</f>
        <v>24.4</v>
      </c>
      <c r="E659" s="164">
        <v>0.23232323232323221</v>
      </c>
      <c r="F659">
        <v>58.42</v>
      </c>
    </row>
    <row r="660" spans="1:6">
      <c r="A660">
        <v>1529</v>
      </c>
      <c r="B660" t="s">
        <v>663</v>
      </c>
      <c r="C660">
        <v>4.1399999999999997</v>
      </c>
      <c r="D660">
        <f>VLOOKUP(A660,收盤價!A:C,3,0)</f>
        <v>5.0999999999999996</v>
      </c>
      <c r="E660" s="164">
        <v>0.2318840579710145</v>
      </c>
      <c r="F660">
        <v>58.36</v>
      </c>
    </row>
    <row r="661" spans="1:6">
      <c r="A661">
        <v>3188</v>
      </c>
      <c r="B661" t="s">
        <v>297</v>
      </c>
      <c r="C661">
        <v>8.1999999999999993</v>
      </c>
      <c r="D661">
        <f>VLOOKUP(A661,收盤價!A:C,3,0)</f>
        <v>10.1</v>
      </c>
      <c r="E661" s="164">
        <v>0.2317073170731708</v>
      </c>
      <c r="F661">
        <v>58.3</v>
      </c>
    </row>
    <row r="662" spans="1:6">
      <c r="A662">
        <v>2534</v>
      </c>
      <c r="B662" t="s">
        <v>953</v>
      </c>
      <c r="C662">
        <v>13.6</v>
      </c>
      <c r="D662">
        <f>VLOOKUP(A662,收盤價!A:C,3,0)</f>
        <v>16.75</v>
      </c>
      <c r="E662" s="164">
        <v>0.23161764705882357</v>
      </c>
      <c r="F662">
        <v>58.23</v>
      </c>
    </row>
    <row r="663" spans="1:6">
      <c r="A663">
        <v>4755</v>
      </c>
      <c r="B663" t="s">
        <v>1203</v>
      </c>
      <c r="C663">
        <v>19</v>
      </c>
      <c r="D663">
        <f>VLOOKUP(A663,收盤價!A:C,3,0)</f>
        <v>23.4</v>
      </c>
      <c r="E663" s="164">
        <v>0.23157894736842097</v>
      </c>
      <c r="F663">
        <v>58.17</v>
      </c>
    </row>
    <row r="664" spans="1:6">
      <c r="A664">
        <v>6160</v>
      </c>
      <c r="B664" t="s">
        <v>1731</v>
      </c>
      <c r="C664">
        <v>11.45</v>
      </c>
      <c r="D664">
        <f>VLOOKUP(A664,收盤價!A:C,3,0)</f>
        <v>14.1</v>
      </c>
      <c r="E664" s="164">
        <v>0.23144104803493454</v>
      </c>
      <c r="F664">
        <v>58.11</v>
      </c>
    </row>
    <row r="665" spans="1:6">
      <c r="A665">
        <v>3416</v>
      </c>
      <c r="B665" t="s">
        <v>1123</v>
      </c>
      <c r="C665">
        <v>47.2</v>
      </c>
      <c r="D665">
        <f>VLOOKUP(A665,收盤價!A:C,3,0)</f>
        <v>58.1</v>
      </c>
      <c r="E665" s="164">
        <v>0.23093220338983048</v>
      </c>
      <c r="F665">
        <v>58.04</v>
      </c>
    </row>
    <row r="666" spans="1:6">
      <c r="A666">
        <v>6187</v>
      </c>
      <c r="B666" t="s">
        <v>1738</v>
      </c>
      <c r="C666">
        <v>33.4</v>
      </c>
      <c r="D666">
        <f>VLOOKUP(A666,收盤價!A:C,3,0)</f>
        <v>41.1</v>
      </c>
      <c r="E666" s="164">
        <v>0.23053892215568872</v>
      </c>
      <c r="F666">
        <v>57.98</v>
      </c>
    </row>
    <row r="667" spans="1:6">
      <c r="A667">
        <v>1781</v>
      </c>
      <c r="B667" t="s">
        <v>1446</v>
      </c>
      <c r="C667">
        <v>21.95</v>
      </c>
      <c r="D667">
        <f>VLOOKUP(A667,收盤價!A:C,3,0)</f>
        <v>27</v>
      </c>
      <c r="E667" s="164">
        <v>0.23006833712984059</v>
      </c>
      <c r="F667">
        <v>57.92</v>
      </c>
    </row>
    <row r="668" spans="1:6">
      <c r="A668">
        <v>5312</v>
      </c>
      <c r="B668" t="s">
        <v>420</v>
      </c>
      <c r="C668">
        <v>67.5</v>
      </c>
      <c r="D668">
        <f>VLOOKUP(A668,收盤價!A:C,3,0)</f>
        <v>83</v>
      </c>
      <c r="E668" s="164">
        <v>0.22962962962962963</v>
      </c>
      <c r="F668">
        <v>57.85</v>
      </c>
    </row>
    <row r="669" spans="1:6">
      <c r="A669">
        <v>6189</v>
      </c>
      <c r="B669" t="s">
        <v>1285</v>
      </c>
      <c r="C669">
        <v>24.4</v>
      </c>
      <c r="D669">
        <f>VLOOKUP(A669,收盤價!A:C,3,0)</f>
        <v>30</v>
      </c>
      <c r="E669" s="164">
        <v>0.22950819672131154</v>
      </c>
      <c r="F669">
        <v>57.79</v>
      </c>
    </row>
    <row r="670" spans="1:6">
      <c r="A670">
        <v>4128</v>
      </c>
      <c r="B670" t="s">
        <v>1570</v>
      </c>
      <c r="C670">
        <v>23.8</v>
      </c>
      <c r="D670">
        <f>VLOOKUP(A670,收盤價!A:C,3,0)</f>
        <v>29.25</v>
      </c>
      <c r="E670" s="164">
        <v>0.22899159663865543</v>
      </c>
      <c r="F670">
        <v>57.73</v>
      </c>
    </row>
    <row r="671" spans="1:6">
      <c r="A671">
        <v>8390</v>
      </c>
      <c r="B671" t="s">
        <v>1824</v>
      </c>
      <c r="C671">
        <v>11.8</v>
      </c>
      <c r="D671">
        <f>VLOOKUP(A671,收盤價!A:C,3,0)</f>
        <v>14.5</v>
      </c>
      <c r="E671" s="164">
        <v>0.22881355932203382</v>
      </c>
      <c r="F671">
        <v>57.67</v>
      </c>
    </row>
    <row r="672" spans="1:6">
      <c r="A672">
        <v>912000</v>
      </c>
      <c r="B672" t="s">
        <v>1391</v>
      </c>
      <c r="C672">
        <v>3.06</v>
      </c>
      <c r="D672">
        <f>VLOOKUP(A672,收盤價!A:C,3,0)</f>
        <v>3.76</v>
      </c>
      <c r="E672" s="164">
        <v>0.22875816993464043</v>
      </c>
      <c r="F672">
        <v>57.6</v>
      </c>
    </row>
    <row r="673" spans="1:6">
      <c r="A673">
        <v>1308</v>
      </c>
      <c r="B673" t="s">
        <v>576</v>
      </c>
      <c r="C673">
        <v>14.65</v>
      </c>
      <c r="D673">
        <f>VLOOKUP(A673,收盤價!A:C,3,0)</f>
        <v>18</v>
      </c>
      <c r="E673" s="164">
        <v>0.22866894197952214</v>
      </c>
      <c r="F673">
        <v>57.54</v>
      </c>
    </row>
    <row r="674" spans="1:6">
      <c r="A674">
        <v>2471</v>
      </c>
      <c r="B674" t="s">
        <v>916</v>
      </c>
      <c r="C674">
        <v>10.8</v>
      </c>
      <c r="D674">
        <f>VLOOKUP(A674,收盤價!A:C,3,0)</f>
        <v>13.25</v>
      </c>
      <c r="E674" s="164">
        <v>0.22685185185185178</v>
      </c>
      <c r="F674">
        <v>57.48</v>
      </c>
    </row>
    <row r="675" spans="1:6">
      <c r="A675">
        <v>3556</v>
      </c>
      <c r="B675" t="s">
        <v>345</v>
      </c>
      <c r="C675">
        <v>45.65</v>
      </c>
      <c r="D675">
        <f>VLOOKUP(A675,收盤價!A:C,3,0)</f>
        <v>56</v>
      </c>
      <c r="E675" s="164">
        <v>0.22672508214676892</v>
      </c>
      <c r="F675">
        <v>57.41</v>
      </c>
    </row>
    <row r="676" spans="1:6">
      <c r="A676">
        <v>1310</v>
      </c>
      <c r="B676" t="s">
        <v>578</v>
      </c>
      <c r="C676">
        <v>11.3</v>
      </c>
      <c r="D676">
        <f>VLOOKUP(A676,收盤價!A:C,3,0)</f>
        <v>13.85</v>
      </c>
      <c r="E676" s="164">
        <v>0.22566371681415917</v>
      </c>
      <c r="F676">
        <v>57.35</v>
      </c>
    </row>
    <row r="677" spans="1:6">
      <c r="A677">
        <v>4942</v>
      </c>
      <c r="B677" t="s">
        <v>1215</v>
      </c>
      <c r="C677">
        <v>18.2</v>
      </c>
      <c r="D677">
        <f>VLOOKUP(A677,收盤價!A:C,3,0)</f>
        <v>22.3</v>
      </c>
      <c r="E677" s="164">
        <v>0.22527472527472536</v>
      </c>
      <c r="F677">
        <v>57.29</v>
      </c>
    </row>
    <row r="678" spans="1:6">
      <c r="A678">
        <v>6214</v>
      </c>
      <c r="B678" t="s">
        <v>1296</v>
      </c>
      <c r="C678">
        <v>47.1</v>
      </c>
      <c r="D678">
        <f>VLOOKUP(A678,收盤價!A:C,3,0)</f>
        <v>57.7</v>
      </c>
      <c r="E678" s="164">
        <v>0.2250530785562633</v>
      </c>
      <c r="F678">
        <v>57.22</v>
      </c>
    </row>
    <row r="679" spans="1:6">
      <c r="A679">
        <v>8114</v>
      </c>
      <c r="B679" t="s">
        <v>1349</v>
      </c>
      <c r="C679">
        <v>136</v>
      </c>
      <c r="D679">
        <f>VLOOKUP(A679,收盤價!A:C,3,0)</f>
        <v>166.5</v>
      </c>
      <c r="E679" s="164">
        <v>0.22426470588235295</v>
      </c>
      <c r="F679">
        <v>57.16</v>
      </c>
    </row>
    <row r="680" spans="1:6">
      <c r="A680">
        <v>1788</v>
      </c>
      <c r="B680" t="s">
        <v>1449</v>
      </c>
      <c r="C680">
        <v>82.1</v>
      </c>
      <c r="D680">
        <f>VLOOKUP(A680,收盤價!A:C,3,0)</f>
        <v>100.5</v>
      </c>
      <c r="E680" s="164">
        <v>0.22411693057247267</v>
      </c>
      <c r="F680">
        <v>57.1</v>
      </c>
    </row>
    <row r="681" spans="1:6">
      <c r="A681">
        <v>4414</v>
      </c>
      <c r="B681" t="s">
        <v>1190</v>
      </c>
      <c r="C681">
        <v>15.2</v>
      </c>
      <c r="D681">
        <f>VLOOKUP(A681,收盤價!A:C,3,0)</f>
        <v>18.600000000000001</v>
      </c>
      <c r="E681" s="164">
        <v>0.22368421052631593</v>
      </c>
      <c r="F681">
        <v>57.03</v>
      </c>
    </row>
    <row r="682" spans="1:6">
      <c r="A682">
        <v>3593</v>
      </c>
      <c r="B682" t="s">
        <v>1155</v>
      </c>
      <c r="C682">
        <v>7.3</v>
      </c>
      <c r="D682">
        <f>VLOOKUP(A682,收盤價!A:C,3,0)</f>
        <v>8.93</v>
      </c>
      <c r="E682" s="164">
        <v>0.22328767123287671</v>
      </c>
      <c r="F682">
        <v>56.97</v>
      </c>
    </row>
    <row r="683" spans="1:6">
      <c r="A683">
        <v>6449</v>
      </c>
      <c r="B683" t="s">
        <v>1327</v>
      </c>
      <c r="C683">
        <v>24.9</v>
      </c>
      <c r="D683">
        <f>VLOOKUP(A683,收盤價!A:C,3,0)</f>
        <v>30.45</v>
      </c>
      <c r="E683" s="164">
        <v>0.22289156626506029</v>
      </c>
      <c r="F683">
        <v>56.91</v>
      </c>
    </row>
    <row r="684" spans="1:6">
      <c r="A684">
        <v>8064</v>
      </c>
      <c r="B684" t="s">
        <v>502</v>
      </c>
      <c r="C684">
        <v>9</v>
      </c>
      <c r="D684">
        <f>VLOOKUP(A684,收盤價!A:C,3,0)</f>
        <v>11</v>
      </c>
      <c r="E684" s="164">
        <v>0.22222222222222221</v>
      </c>
      <c r="F684">
        <v>56.85</v>
      </c>
    </row>
    <row r="685" spans="1:6">
      <c r="A685">
        <v>3642</v>
      </c>
      <c r="B685" t="s">
        <v>1549</v>
      </c>
      <c r="C685">
        <v>17.100000000000001</v>
      </c>
      <c r="D685">
        <f>VLOOKUP(A685,收盤價!A:C,3,0)</f>
        <v>20.9</v>
      </c>
      <c r="E685" s="164">
        <v>0.22222222222222204</v>
      </c>
      <c r="F685">
        <v>56.78</v>
      </c>
    </row>
    <row r="686" spans="1:6">
      <c r="A686">
        <v>1463</v>
      </c>
      <c r="B686" t="s">
        <v>630</v>
      </c>
      <c r="C686">
        <v>13.75</v>
      </c>
      <c r="D686">
        <f>VLOOKUP(A686,收盤價!A:C,3,0)</f>
        <v>16.8</v>
      </c>
      <c r="E686" s="164">
        <v>0.22181818181818186</v>
      </c>
      <c r="F686">
        <v>56.72</v>
      </c>
    </row>
    <row r="687" spans="1:6">
      <c r="A687">
        <v>2330</v>
      </c>
      <c r="B687" t="s">
        <v>813</v>
      </c>
      <c r="C687">
        <v>115</v>
      </c>
      <c r="D687">
        <f>VLOOKUP(A687,收盤價!A:C,3,0)</f>
        <v>140.5</v>
      </c>
      <c r="E687" s="164">
        <v>0.22173913043478261</v>
      </c>
      <c r="F687">
        <v>56.66</v>
      </c>
    </row>
    <row r="688" spans="1:6">
      <c r="A688">
        <v>6115</v>
      </c>
      <c r="B688" t="s">
        <v>1261</v>
      </c>
      <c r="C688">
        <v>26.85</v>
      </c>
      <c r="D688">
        <f>VLOOKUP(A688,收盤價!A:C,3,0)</f>
        <v>32.799999999999997</v>
      </c>
      <c r="E688" s="164">
        <v>0.22160148975791416</v>
      </c>
      <c r="F688">
        <v>56.59</v>
      </c>
    </row>
    <row r="689" spans="1:6">
      <c r="A689">
        <v>3402</v>
      </c>
      <c r="B689" t="s">
        <v>1514</v>
      </c>
      <c r="C689">
        <v>11.3</v>
      </c>
      <c r="D689">
        <f>VLOOKUP(A689,收盤價!A:C,3,0)</f>
        <v>13.8</v>
      </c>
      <c r="E689" s="164">
        <v>0.22123893805309733</v>
      </c>
      <c r="F689">
        <v>56.53</v>
      </c>
    </row>
    <row r="690" spans="1:6">
      <c r="A690">
        <v>2325</v>
      </c>
      <c r="B690" t="s">
        <v>809</v>
      </c>
      <c r="C690">
        <v>36.85</v>
      </c>
      <c r="D690">
        <f>VLOOKUP(A690,收盤價!A:C,3,0)</f>
        <v>45</v>
      </c>
      <c r="E690" s="164">
        <v>0.22116689280868382</v>
      </c>
      <c r="F690">
        <v>56.47</v>
      </c>
    </row>
    <row r="691" spans="1:6">
      <c r="A691">
        <v>2338</v>
      </c>
      <c r="B691" t="s">
        <v>817</v>
      </c>
      <c r="C691">
        <v>6.3</v>
      </c>
      <c r="D691">
        <f>VLOOKUP(A691,收盤價!A:C,3,0)</f>
        <v>7.69</v>
      </c>
      <c r="E691" s="164">
        <v>0.22063492063492074</v>
      </c>
      <c r="F691">
        <v>56.4</v>
      </c>
    </row>
    <row r="692" spans="1:6">
      <c r="A692">
        <v>1506</v>
      </c>
      <c r="B692" t="s">
        <v>647</v>
      </c>
      <c r="C692">
        <v>12.7</v>
      </c>
      <c r="D692">
        <f>VLOOKUP(A692,收盤價!A:C,3,0)</f>
        <v>15.5</v>
      </c>
      <c r="E692" s="164">
        <v>0.22047244094488197</v>
      </c>
      <c r="F692">
        <v>56.34</v>
      </c>
    </row>
    <row r="693" spans="1:6">
      <c r="A693">
        <v>5439</v>
      </c>
      <c r="B693" t="s">
        <v>432</v>
      </c>
      <c r="C693">
        <v>15.65</v>
      </c>
      <c r="D693">
        <f>VLOOKUP(A693,收盤價!A:C,3,0)</f>
        <v>19.100000000000001</v>
      </c>
      <c r="E693" s="164">
        <v>0.22044728434504798</v>
      </c>
      <c r="F693">
        <v>56.28</v>
      </c>
    </row>
    <row r="694" spans="1:6">
      <c r="A694">
        <v>2353</v>
      </c>
      <c r="B694" t="s">
        <v>827</v>
      </c>
      <c r="C694">
        <v>9.7100000000000009</v>
      </c>
      <c r="D694">
        <f>VLOOKUP(A694,收盤價!A:C,3,0)</f>
        <v>11.85</v>
      </c>
      <c r="E694" s="164">
        <v>0.22039134912461367</v>
      </c>
      <c r="F694">
        <v>56.21</v>
      </c>
    </row>
    <row r="695" spans="1:6">
      <c r="A695">
        <v>5871</v>
      </c>
      <c r="B695" t="s">
        <v>1254</v>
      </c>
      <c r="C695">
        <v>45.9</v>
      </c>
      <c r="D695">
        <f>VLOOKUP(A695,收盤價!A:C,3,0)</f>
        <v>56</v>
      </c>
      <c r="E695" s="164">
        <v>0.2200435729847495</v>
      </c>
      <c r="F695">
        <v>56.15</v>
      </c>
    </row>
    <row r="696" spans="1:6">
      <c r="A696">
        <v>2102</v>
      </c>
      <c r="B696" t="s">
        <v>776</v>
      </c>
      <c r="C696">
        <v>12.35</v>
      </c>
      <c r="D696">
        <f>VLOOKUP(A696,收盤價!A:C,3,0)</f>
        <v>15.05</v>
      </c>
      <c r="E696" s="164">
        <v>0.21862348178137661</v>
      </c>
      <c r="F696">
        <v>56.09</v>
      </c>
    </row>
    <row r="697" spans="1:6">
      <c r="A697">
        <v>2460</v>
      </c>
      <c r="B697" t="s">
        <v>908</v>
      </c>
      <c r="C697">
        <v>7.51</v>
      </c>
      <c r="D697">
        <f>VLOOKUP(A697,收盤價!A:C,3,0)</f>
        <v>9.15</v>
      </c>
      <c r="E697" s="164">
        <v>0.21837549933422112</v>
      </c>
      <c r="F697">
        <v>56.03</v>
      </c>
    </row>
    <row r="698" spans="1:6">
      <c r="A698">
        <v>1225</v>
      </c>
      <c r="B698" t="s">
        <v>561</v>
      </c>
      <c r="C698">
        <v>20.2</v>
      </c>
      <c r="D698">
        <f>VLOOKUP(A698,收盤價!A:C,3,0)</f>
        <v>24.6</v>
      </c>
      <c r="E698" s="164">
        <v>0.21782178217821793</v>
      </c>
      <c r="F698">
        <v>55.96</v>
      </c>
    </row>
    <row r="699" spans="1:6">
      <c r="A699">
        <v>6271</v>
      </c>
      <c r="B699" t="s">
        <v>1309</v>
      </c>
      <c r="C699">
        <v>66.599999999999994</v>
      </c>
      <c r="D699">
        <f>VLOOKUP(A699,收盤價!A:C,3,0)</f>
        <v>81.099999999999994</v>
      </c>
      <c r="E699" s="164">
        <v>0.21771771771771772</v>
      </c>
      <c r="F699">
        <v>55.9</v>
      </c>
    </row>
    <row r="700" spans="1:6">
      <c r="A700">
        <v>3163</v>
      </c>
      <c r="B700" t="s">
        <v>295</v>
      </c>
      <c r="C700">
        <v>27.1</v>
      </c>
      <c r="D700">
        <f>VLOOKUP(A700,收盤價!A:C,3,0)</f>
        <v>33</v>
      </c>
      <c r="E700" s="164">
        <v>0.21771217712177116</v>
      </c>
      <c r="F700">
        <v>55.84</v>
      </c>
    </row>
    <row r="701" spans="1:6">
      <c r="A701">
        <v>3171</v>
      </c>
      <c r="B701" t="s">
        <v>1483</v>
      </c>
      <c r="C701">
        <v>17</v>
      </c>
      <c r="D701">
        <f>VLOOKUP(A701,收盤價!A:C,3,0)</f>
        <v>20.7</v>
      </c>
      <c r="E701" s="164">
        <v>0.21764705882352936</v>
      </c>
      <c r="F701">
        <v>55.77</v>
      </c>
    </row>
    <row r="702" spans="1:6">
      <c r="A702">
        <v>2437</v>
      </c>
      <c r="B702" t="s">
        <v>889</v>
      </c>
      <c r="C702">
        <v>40.9</v>
      </c>
      <c r="D702">
        <f>VLOOKUP(A702,收盤價!A:C,3,0)</f>
        <v>49.8</v>
      </c>
      <c r="E702" s="164">
        <v>0.21760391198044007</v>
      </c>
      <c r="F702">
        <v>55.71</v>
      </c>
    </row>
    <row r="703" spans="1:6">
      <c r="A703">
        <v>9928</v>
      </c>
      <c r="B703" t="s">
        <v>1416</v>
      </c>
      <c r="C703">
        <v>8.42</v>
      </c>
      <c r="D703">
        <f>VLOOKUP(A703,收盤價!A:C,3,0)</f>
        <v>10.25</v>
      </c>
      <c r="E703" s="164">
        <v>0.21733966745843231</v>
      </c>
      <c r="F703">
        <v>55.65</v>
      </c>
    </row>
    <row r="704" spans="1:6">
      <c r="A704">
        <v>2495</v>
      </c>
      <c r="B704" t="s">
        <v>934</v>
      </c>
      <c r="C704">
        <v>11.75</v>
      </c>
      <c r="D704">
        <f>VLOOKUP(A704,收盤價!A:C,3,0)</f>
        <v>14.3</v>
      </c>
      <c r="E704" s="164">
        <v>0.21702127659574474</v>
      </c>
      <c r="F704">
        <v>55.58</v>
      </c>
    </row>
    <row r="705" spans="1:6">
      <c r="A705">
        <v>4707</v>
      </c>
      <c r="B705" t="s">
        <v>387</v>
      </c>
      <c r="C705">
        <v>7.3</v>
      </c>
      <c r="D705">
        <f>VLOOKUP(A705,收盤價!A:C,3,0)</f>
        <v>8.8800000000000008</v>
      </c>
      <c r="E705" s="164">
        <v>0.2164383561643837</v>
      </c>
      <c r="F705">
        <v>55.52</v>
      </c>
    </row>
    <row r="706" spans="1:6">
      <c r="A706">
        <v>3022</v>
      </c>
      <c r="B706" t="s">
        <v>1060</v>
      </c>
      <c r="C706">
        <v>33.1</v>
      </c>
      <c r="D706">
        <f>VLOOKUP(A706,收盤價!A:C,3,0)</f>
        <v>40.25</v>
      </c>
      <c r="E706" s="164">
        <v>0.21601208459214497</v>
      </c>
      <c r="F706">
        <v>55.46</v>
      </c>
    </row>
    <row r="707" spans="1:6">
      <c r="A707">
        <v>4532</v>
      </c>
      <c r="B707" t="s">
        <v>1193</v>
      </c>
      <c r="C707">
        <v>20.149999999999999</v>
      </c>
      <c r="D707">
        <f>VLOOKUP(A707,收盤價!A:C,3,0)</f>
        <v>24.5</v>
      </c>
      <c r="E707" s="164">
        <v>0.21588089330024823</v>
      </c>
      <c r="F707">
        <v>55.39</v>
      </c>
    </row>
    <row r="708" spans="1:6">
      <c r="A708">
        <v>4432</v>
      </c>
      <c r="B708" t="s">
        <v>1596</v>
      </c>
      <c r="C708">
        <v>63.5</v>
      </c>
      <c r="D708">
        <f>VLOOKUP(A708,收盤價!A:C,3,0)</f>
        <v>77.2</v>
      </c>
      <c r="E708" s="164">
        <v>0.21574803149606303</v>
      </c>
      <c r="F708">
        <v>55.33</v>
      </c>
    </row>
    <row r="709" spans="1:6">
      <c r="A709">
        <v>2430</v>
      </c>
      <c r="B709" t="s">
        <v>884</v>
      </c>
      <c r="C709">
        <v>17.649999999999999</v>
      </c>
      <c r="D709">
        <f>VLOOKUP(A709,收盤價!A:C,3,0)</f>
        <v>21.45</v>
      </c>
      <c r="E709" s="164">
        <v>0.21529745042492923</v>
      </c>
      <c r="F709">
        <v>55.27</v>
      </c>
    </row>
    <row r="710" spans="1:6">
      <c r="A710">
        <v>2451</v>
      </c>
      <c r="B710" t="s">
        <v>900</v>
      </c>
      <c r="C710">
        <v>70</v>
      </c>
      <c r="D710">
        <f>VLOOKUP(A710,收盤價!A:C,3,0)</f>
        <v>85</v>
      </c>
      <c r="E710" s="164">
        <v>0.21428571428571427</v>
      </c>
      <c r="F710">
        <v>55.21</v>
      </c>
    </row>
    <row r="711" spans="1:6">
      <c r="A711">
        <v>4973</v>
      </c>
      <c r="B711" t="s">
        <v>1632</v>
      </c>
      <c r="C711">
        <v>13.6</v>
      </c>
      <c r="D711">
        <f>VLOOKUP(A711,收盤價!A:C,3,0)</f>
        <v>16.5</v>
      </c>
      <c r="E711" s="164">
        <v>0.21323529411764708</v>
      </c>
      <c r="F711">
        <v>55.14</v>
      </c>
    </row>
    <row r="712" spans="1:6">
      <c r="A712">
        <v>3515</v>
      </c>
      <c r="B712" t="s">
        <v>1136</v>
      </c>
      <c r="C712">
        <v>34.299999999999997</v>
      </c>
      <c r="D712">
        <f>VLOOKUP(A712,收盤價!A:C,3,0)</f>
        <v>41.6</v>
      </c>
      <c r="E712" s="164">
        <v>0.21282798833819255</v>
      </c>
      <c r="F712">
        <v>55.08</v>
      </c>
    </row>
    <row r="713" spans="1:6">
      <c r="A713">
        <v>3025</v>
      </c>
      <c r="B713" t="s">
        <v>1063</v>
      </c>
      <c r="C713">
        <v>6.77</v>
      </c>
      <c r="D713">
        <f>VLOOKUP(A713,收盤價!A:C,3,0)</f>
        <v>8.2100000000000009</v>
      </c>
      <c r="E713" s="164">
        <v>0.21270310192023653</v>
      </c>
      <c r="F713">
        <v>55.02</v>
      </c>
    </row>
    <row r="714" spans="1:6">
      <c r="A714">
        <v>3689</v>
      </c>
      <c r="B714" t="s">
        <v>1558</v>
      </c>
      <c r="C714">
        <v>28.3</v>
      </c>
      <c r="D714">
        <f>VLOOKUP(A714,收盤價!A:C,3,0)</f>
        <v>34.299999999999997</v>
      </c>
      <c r="E714" s="164">
        <v>0.21201413427561824</v>
      </c>
      <c r="F714">
        <v>54.95</v>
      </c>
    </row>
    <row r="715" spans="1:6">
      <c r="A715">
        <v>1217</v>
      </c>
      <c r="B715" t="s">
        <v>557</v>
      </c>
      <c r="C715">
        <v>6.33</v>
      </c>
      <c r="D715">
        <f>VLOOKUP(A715,收盤價!A:C,3,0)</f>
        <v>7.67</v>
      </c>
      <c r="E715" s="164">
        <v>0.21169036334913111</v>
      </c>
      <c r="F715">
        <v>54.89</v>
      </c>
    </row>
    <row r="716" spans="1:6">
      <c r="A716">
        <v>2480</v>
      </c>
      <c r="B716" t="s">
        <v>922</v>
      </c>
      <c r="C716">
        <v>20.8</v>
      </c>
      <c r="D716">
        <f>VLOOKUP(A716,收盤價!A:C,3,0)</f>
        <v>25.2</v>
      </c>
      <c r="E716" s="164">
        <v>0.21153846153846145</v>
      </c>
      <c r="F716">
        <v>54.83</v>
      </c>
    </row>
    <row r="717" spans="1:6">
      <c r="A717">
        <v>2642</v>
      </c>
      <c r="B717" t="s">
        <v>985</v>
      </c>
      <c r="C717">
        <v>24.35</v>
      </c>
      <c r="D717">
        <f>VLOOKUP(A717,收盤價!A:C,3,0)</f>
        <v>29.5</v>
      </c>
      <c r="E717" s="164">
        <v>0.21149897330595477</v>
      </c>
      <c r="F717">
        <v>54.76</v>
      </c>
    </row>
    <row r="718" spans="1:6">
      <c r="A718">
        <v>2453</v>
      </c>
      <c r="B718" t="s">
        <v>901</v>
      </c>
      <c r="C718">
        <v>9</v>
      </c>
      <c r="D718">
        <f>VLOOKUP(A718,收盤價!A:C,3,0)</f>
        <v>10.9</v>
      </c>
      <c r="E718" s="164">
        <v>0.21111111111111114</v>
      </c>
      <c r="F718">
        <v>54.7</v>
      </c>
    </row>
    <row r="719" spans="1:6">
      <c r="A719">
        <v>4550</v>
      </c>
      <c r="B719" t="s">
        <v>385</v>
      </c>
      <c r="C719">
        <v>18.25</v>
      </c>
      <c r="D719">
        <f>VLOOKUP(A719,收盤價!A:C,3,0)</f>
        <v>22.1</v>
      </c>
      <c r="E719" s="164">
        <v>0.21095890410958912</v>
      </c>
      <c r="F719">
        <v>54.64</v>
      </c>
    </row>
    <row r="720" spans="1:6">
      <c r="A720">
        <v>1324</v>
      </c>
      <c r="B720" t="s">
        <v>588</v>
      </c>
      <c r="C720">
        <v>9.75</v>
      </c>
      <c r="D720">
        <f>VLOOKUP(A720,收盤價!A:C,3,0)</f>
        <v>11.8</v>
      </c>
      <c r="E720" s="164">
        <v>0.21025641025641034</v>
      </c>
      <c r="F720">
        <v>54.57</v>
      </c>
    </row>
    <row r="721" spans="1:6">
      <c r="A721">
        <v>4506</v>
      </c>
      <c r="B721" t="s">
        <v>382</v>
      </c>
      <c r="C721">
        <v>23.1</v>
      </c>
      <c r="D721">
        <f>VLOOKUP(A721,收盤價!A:C,3,0)</f>
        <v>27.95</v>
      </c>
      <c r="E721" s="164">
        <v>0.20995670995670984</v>
      </c>
      <c r="F721">
        <v>54.51</v>
      </c>
    </row>
    <row r="722" spans="1:6">
      <c r="A722">
        <v>1613</v>
      </c>
      <c r="B722" t="s">
        <v>690</v>
      </c>
      <c r="C722">
        <v>2.62</v>
      </c>
      <c r="D722">
        <f>VLOOKUP(A722,收盤價!A:C,3,0)</f>
        <v>3.17</v>
      </c>
      <c r="E722" s="164">
        <v>0.20992366412213734</v>
      </c>
      <c r="F722">
        <v>54.45</v>
      </c>
    </row>
    <row r="723" spans="1:6">
      <c r="A723">
        <v>5243</v>
      </c>
      <c r="B723" t="s">
        <v>1230</v>
      </c>
      <c r="C723">
        <v>22.7</v>
      </c>
      <c r="D723">
        <f>VLOOKUP(A723,收盤價!A:C,3,0)</f>
        <v>27.45</v>
      </c>
      <c r="E723" s="164">
        <v>0.20925110132158592</v>
      </c>
      <c r="F723">
        <v>54.38</v>
      </c>
    </row>
    <row r="724" spans="1:6">
      <c r="A724">
        <v>1528</v>
      </c>
      <c r="B724" t="s">
        <v>662</v>
      </c>
      <c r="C724">
        <v>7.6</v>
      </c>
      <c r="D724">
        <f>VLOOKUP(A724,收盤價!A:C,3,0)</f>
        <v>9.19</v>
      </c>
      <c r="E724" s="164">
        <v>0.20921052631578946</v>
      </c>
      <c r="F724">
        <v>54.32</v>
      </c>
    </row>
    <row r="725" spans="1:6">
      <c r="A725">
        <v>4513</v>
      </c>
      <c r="B725" t="s">
        <v>1600</v>
      </c>
      <c r="C725">
        <v>8.81</v>
      </c>
      <c r="D725">
        <f>VLOOKUP(A725,收盤價!A:C,3,0)</f>
        <v>10.65</v>
      </c>
      <c r="E725" s="164">
        <v>0.20885357548240632</v>
      </c>
      <c r="F725">
        <v>54.26</v>
      </c>
    </row>
    <row r="726" spans="1:6">
      <c r="A726">
        <v>1231</v>
      </c>
      <c r="B726" t="s">
        <v>564</v>
      </c>
      <c r="C726">
        <v>24</v>
      </c>
      <c r="D726">
        <f>VLOOKUP(A726,收盤價!A:C,3,0)</f>
        <v>29</v>
      </c>
      <c r="E726" s="164">
        <v>0.20833333333333334</v>
      </c>
      <c r="F726">
        <v>54.2</v>
      </c>
    </row>
    <row r="727" spans="1:6">
      <c r="A727">
        <v>3567</v>
      </c>
      <c r="B727" t="s">
        <v>1539</v>
      </c>
      <c r="C727">
        <v>10.1</v>
      </c>
      <c r="D727">
        <f>VLOOKUP(A727,收盤價!A:C,3,0)</f>
        <v>12.2</v>
      </c>
      <c r="E727" s="164">
        <v>0.20792079207920788</v>
      </c>
      <c r="F727">
        <v>54.13</v>
      </c>
    </row>
    <row r="728" spans="1:6">
      <c r="A728">
        <v>3021</v>
      </c>
      <c r="B728" t="s">
        <v>1059</v>
      </c>
      <c r="C728">
        <v>10.35</v>
      </c>
      <c r="D728">
        <f>VLOOKUP(A728,收盤價!A:C,3,0)</f>
        <v>12.5</v>
      </c>
      <c r="E728" s="164">
        <v>0.20772946859903385</v>
      </c>
      <c r="F728">
        <v>54.07</v>
      </c>
    </row>
    <row r="729" spans="1:6">
      <c r="A729">
        <v>1903</v>
      </c>
      <c r="B729" t="s">
        <v>741</v>
      </c>
      <c r="C729">
        <v>24.8</v>
      </c>
      <c r="D729">
        <f>VLOOKUP(A729,收盤價!A:C,3,0)</f>
        <v>29.95</v>
      </c>
      <c r="E729" s="164">
        <v>0.20766129032258057</v>
      </c>
      <c r="F729">
        <v>54.01</v>
      </c>
    </row>
    <row r="730" spans="1:6">
      <c r="A730">
        <v>8043</v>
      </c>
      <c r="B730" t="s">
        <v>1781</v>
      </c>
      <c r="C730">
        <v>12.3</v>
      </c>
      <c r="D730">
        <f>VLOOKUP(A730,收盤價!A:C,3,0)</f>
        <v>14.85</v>
      </c>
      <c r="E730" s="164">
        <v>0.20731707317073161</v>
      </c>
      <c r="F730">
        <v>53.94</v>
      </c>
    </row>
    <row r="731" spans="1:6">
      <c r="A731">
        <v>2301</v>
      </c>
      <c r="B731" t="s">
        <v>795</v>
      </c>
      <c r="C731">
        <v>28</v>
      </c>
      <c r="D731">
        <f>VLOOKUP(A731,收盤價!A:C,3,0)</f>
        <v>33.799999999999997</v>
      </c>
      <c r="E731" s="164">
        <v>0.20714285714285705</v>
      </c>
      <c r="F731">
        <v>53.88</v>
      </c>
    </row>
    <row r="732" spans="1:6">
      <c r="A732">
        <v>3665</v>
      </c>
      <c r="B732" t="s">
        <v>1165</v>
      </c>
      <c r="C732">
        <v>116</v>
      </c>
      <c r="D732">
        <f>VLOOKUP(A732,收盤價!A:C,3,0)</f>
        <v>140</v>
      </c>
      <c r="E732" s="164">
        <v>0.20689655172413793</v>
      </c>
      <c r="F732">
        <v>53.82</v>
      </c>
    </row>
    <row r="733" spans="1:6">
      <c r="A733">
        <v>1259</v>
      </c>
      <c r="B733" t="s">
        <v>261</v>
      </c>
      <c r="C733">
        <v>58.5</v>
      </c>
      <c r="D733">
        <f>VLOOKUP(A733,收盤價!A:C,3,0)</f>
        <v>70.599999999999994</v>
      </c>
      <c r="E733" s="164">
        <v>0.20683760683760674</v>
      </c>
      <c r="F733">
        <v>53.75</v>
      </c>
    </row>
    <row r="734" spans="1:6">
      <c r="A734">
        <v>1538</v>
      </c>
      <c r="B734" t="s">
        <v>671</v>
      </c>
      <c r="C734">
        <v>4.16</v>
      </c>
      <c r="D734">
        <f>VLOOKUP(A734,收盤價!A:C,3,0)</f>
        <v>5.0199999999999996</v>
      </c>
      <c r="E734" s="164">
        <v>0.20673076923076908</v>
      </c>
      <c r="F734">
        <v>53.69</v>
      </c>
    </row>
    <row r="735" spans="1:6">
      <c r="A735">
        <v>6155</v>
      </c>
      <c r="B735" t="s">
        <v>1275</v>
      </c>
      <c r="C735">
        <v>15</v>
      </c>
      <c r="D735">
        <f>VLOOKUP(A735,收盤價!A:C,3,0)</f>
        <v>18.100000000000001</v>
      </c>
      <c r="E735" s="164">
        <v>0.20666666666666675</v>
      </c>
      <c r="F735">
        <v>53.63</v>
      </c>
    </row>
    <row r="736" spans="1:6">
      <c r="A736">
        <v>1301</v>
      </c>
      <c r="B736" t="s">
        <v>571</v>
      </c>
      <c r="C736">
        <v>62</v>
      </c>
      <c r="D736">
        <f>VLOOKUP(A736,收盤價!A:C,3,0)</f>
        <v>74.8</v>
      </c>
      <c r="E736" s="164">
        <v>0.20645161290322575</v>
      </c>
      <c r="F736">
        <v>53.56</v>
      </c>
    </row>
    <row r="737" spans="1:6">
      <c r="A737">
        <v>6133</v>
      </c>
      <c r="B737" t="s">
        <v>1267</v>
      </c>
      <c r="C737">
        <v>9.1199999999999992</v>
      </c>
      <c r="D737">
        <f>VLOOKUP(A737,收盤價!A:C,3,0)</f>
        <v>11</v>
      </c>
      <c r="E737" s="164">
        <v>0.2061403508771931</v>
      </c>
      <c r="F737">
        <v>53.5</v>
      </c>
    </row>
    <row r="738" spans="1:6">
      <c r="A738">
        <v>5493</v>
      </c>
      <c r="B738" t="s">
        <v>1685</v>
      </c>
      <c r="C738">
        <v>28.15</v>
      </c>
      <c r="D738">
        <f>VLOOKUP(A738,收盤價!A:C,3,0)</f>
        <v>33.950000000000003</v>
      </c>
      <c r="E738" s="164">
        <v>0.20603907637655433</v>
      </c>
      <c r="F738">
        <v>53.44</v>
      </c>
    </row>
    <row r="739" spans="1:6">
      <c r="A739">
        <v>2401</v>
      </c>
      <c r="B739" t="s">
        <v>862</v>
      </c>
      <c r="C739">
        <v>9.9499999999999993</v>
      </c>
      <c r="D739">
        <f>VLOOKUP(A739,收盤價!A:C,3,0)</f>
        <v>12</v>
      </c>
      <c r="E739" s="164">
        <v>0.20603015075376893</v>
      </c>
      <c r="F739">
        <v>53.38</v>
      </c>
    </row>
    <row r="740" spans="1:6">
      <c r="A740">
        <v>3005</v>
      </c>
      <c r="B740" t="s">
        <v>1048</v>
      </c>
      <c r="C740">
        <v>17.5</v>
      </c>
      <c r="D740">
        <f>VLOOKUP(A740,收盤價!A:C,3,0)</f>
        <v>21.1</v>
      </c>
      <c r="E740" s="164">
        <v>0.20571428571428579</v>
      </c>
      <c r="F740">
        <v>53.31</v>
      </c>
    </row>
    <row r="741" spans="1:6">
      <c r="A741">
        <v>4530</v>
      </c>
      <c r="B741" t="s">
        <v>1605</v>
      </c>
      <c r="C741">
        <v>3.9</v>
      </c>
      <c r="D741">
        <f>VLOOKUP(A741,收盤價!A:C,3,0)</f>
        <v>4.7</v>
      </c>
      <c r="E741" s="164">
        <v>0.2051282051282052</v>
      </c>
      <c r="F741">
        <v>53.25</v>
      </c>
    </row>
    <row r="742" spans="1:6">
      <c r="A742">
        <v>2337</v>
      </c>
      <c r="B742" t="s">
        <v>816</v>
      </c>
      <c r="C742">
        <v>3.95</v>
      </c>
      <c r="D742">
        <f>VLOOKUP(A742,收盤價!A:C,3,0)</f>
        <v>4.76</v>
      </c>
      <c r="E742" s="164">
        <v>0.20506329113924041</v>
      </c>
      <c r="F742">
        <v>53.19</v>
      </c>
    </row>
    <row r="743" spans="1:6">
      <c r="A743">
        <v>1438</v>
      </c>
      <c r="B743" t="s">
        <v>610</v>
      </c>
      <c r="C743">
        <v>4.05</v>
      </c>
      <c r="D743">
        <f>VLOOKUP(A743,收盤價!A:C,3,0)</f>
        <v>4.88</v>
      </c>
      <c r="E743" s="164">
        <v>0.2049382716049383</v>
      </c>
      <c r="F743">
        <v>53.12</v>
      </c>
    </row>
    <row r="744" spans="1:6">
      <c r="A744">
        <v>2477</v>
      </c>
      <c r="B744" t="s">
        <v>920</v>
      </c>
      <c r="C744">
        <v>10.25</v>
      </c>
      <c r="D744">
        <f>VLOOKUP(A744,收盤價!A:C,3,0)</f>
        <v>12.35</v>
      </c>
      <c r="E744" s="164">
        <v>0.20487804878048776</v>
      </c>
      <c r="F744">
        <v>53.06</v>
      </c>
    </row>
    <row r="745" spans="1:6">
      <c r="A745">
        <v>3303</v>
      </c>
      <c r="B745" t="s">
        <v>317</v>
      </c>
      <c r="C745">
        <v>14.4</v>
      </c>
      <c r="D745">
        <f>VLOOKUP(A745,收盤價!A:C,3,0)</f>
        <v>17.350000000000001</v>
      </c>
      <c r="E745" s="164">
        <v>0.20486111111111119</v>
      </c>
      <c r="F745">
        <v>53</v>
      </c>
    </row>
    <row r="746" spans="1:6">
      <c r="A746">
        <v>5529</v>
      </c>
      <c r="B746" t="s">
        <v>1692</v>
      </c>
      <c r="C746">
        <v>6.8</v>
      </c>
      <c r="D746">
        <f>VLOOKUP(A746,收盤價!A:C,3,0)</f>
        <v>8.19</v>
      </c>
      <c r="E746" s="164">
        <v>0.20441176470588232</v>
      </c>
      <c r="F746">
        <v>52.93</v>
      </c>
    </row>
    <row r="747" spans="1:6">
      <c r="A747">
        <v>1210</v>
      </c>
      <c r="B747" t="s">
        <v>553</v>
      </c>
      <c r="C747">
        <v>16.649999999999999</v>
      </c>
      <c r="D747">
        <f>VLOOKUP(A747,收盤價!A:C,3,0)</f>
        <v>20.05</v>
      </c>
      <c r="E747" s="164">
        <v>0.20420420420420435</v>
      </c>
      <c r="F747">
        <v>52.87</v>
      </c>
    </row>
    <row r="748" spans="1:6">
      <c r="A748">
        <v>8111</v>
      </c>
      <c r="B748" t="s">
        <v>1805</v>
      </c>
      <c r="C748">
        <v>3.53</v>
      </c>
      <c r="D748">
        <f>VLOOKUP(A748,收盤價!A:C,3,0)</f>
        <v>4.25</v>
      </c>
      <c r="E748" s="164">
        <v>0.20396600566572246</v>
      </c>
      <c r="F748">
        <v>52.81</v>
      </c>
    </row>
    <row r="749" spans="1:6">
      <c r="A749">
        <v>1714</v>
      </c>
      <c r="B749" t="s">
        <v>707</v>
      </c>
      <c r="C749">
        <v>6.2</v>
      </c>
      <c r="D749">
        <f>VLOOKUP(A749,收盤價!A:C,3,0)</f>
        <v>7.46</v>
      </c>
      <c r="E749" s="164">
        <v>0.20322580645161287</v>
      </c>
      <c r="F749">
        <v>52.74</v>
      </c>
    </row>
    <row r="750" spans="1:6">
      <c r="A750">
        <v>8289</v>
      </c>
      <c r="B750" t="s">
        <v>1818</v>
      </c>
      <c r="C750">
        <v>9.19</v>
      </c>
      <c r="D750">
        <f>VLOOKUP(A750,收盤價!A:C,3,0)</f>
        <v>11.05</v>
      </c>
      <c r="E750" s="164">
        <v>0.20239390642002192</v>
      </c>
      <c r="F750">
        <v>52.68</v>
      </c>
    </row>
    <row r="751" spans="1:6">
      <c r="A751">
        <v>1517</v>
      </c>
      <c r="B751" t="s">
        <v>654</v>
      </c>
      <c r="C751">
        <v>9.94</v>
      </c>
      <c r="D751">
        <f>VLOOKUP(A751,收盤價!A:C,3,0)</f>
        <v>11.95</v>
      </c>
      <c r="E751" s="164">
        <v>0.2022132796780684</v>
      </c>
      <c r="F751">
        <v>52.62</v>
      </c>
    </row>
    <row r="752" spans="1:6">
      <c r="A752">
        <v>3494</v>
      </c>
      <c r="B752" t="s">
        <v>1132</v>
      </c>
      <c r="C752">
        <v>10.15</v>
      </c>
      <c r="D752">
        <f>VLOOKUP(A752,收盤價!A:C,3,0)</f>
        <v>12.2</v>
      </c>
      <c r="E752" s="164">
        <v>0.20197044334975359</v>
      </c>
      <c r="F752">
        <v>52.56</v>
      </c>
    </row>
    <row r="753" spans="1:6">
      <c r="A753">
        <v>8942</v>
      </c>
      <c r="B753" t="s">
        <v>1847</v>
      </c>
      <c r="C753">
        <v>72.5</v>
      </c>
      <c r="D753">
        <f>VLOOKUP(A753,收盤價!A:C,3,0)</f>
        <v>87.1</v>
      </c>
      <c r="E753" s="164">
        <v>0.20137931034482751</v>
      </c>
      <c r="F753">
        <v>52.49</v>
      </c>
    </row>
    <row r="754" spans="1:6">
      <c r="A754">
        <v>8076</v>
      </c>
      <c r="B754" t="s">
        <v>1793</v>
      </c>
      <c r="C754">
        <v>76</v>
      </c>
      <c r="D754">
        <f>VLOOKUP(A754,收盤價!A:C,3,0)</f>
        <v>91.3</v>
      </c>
      <c r="E754" s="164">
        <v>0.20131578947368417</v>
      </c>
      <c r="F754">
        <v>52.43</v>
      </c>
    </row>
    <row r="755" spans="1:6">
      <c r="A755">
        <v>2303</v>
      </c>
      <c r="B755" t="s">
        <v>797</v>
      </c>
      <c r="C755">
        <v>10.050000000000001</v>
      </c>
      <c r="D755">
        <f>VLOOKUP(A755,收盤價!A:C,3,0)</f>
        <v>12.05</v>
      </c>
      <c r="E755" s="164">
        <v>0.19900497512437809</v>
      </c>
      <c r="F755">
        <v>52.37</v>
      </c>
    </row>
    <row r="756" spans="1:6">
      <c r="A756">
        <v>4527</v>
      </c>
      <c r="B756" t="s">
        <v>1602</v>
      </c>
      <c r="C756">
        <v>18.850000000000001</v>
      </c>
      <c r="D756">
        <f>VLOOKUP(A756,收盤價!A:C,3,0)</f>
        <v>22.6</v>
      </c>
      <c r="E756" s="164">
        <v>0.19893899204244031</v>
      </c>
      <c r="F756">
        <v>52.3</v>
      </c>
    </row>
    <row r="757" spans="1:6">
      <c r="A757">
        <v>5016</v>
      </c>
      <c r="B757" t="s">
        <v>1638</v>
      </c>
      <c r="C757">
        <v>19.899999999999999</v>
      </c>
      <c r="D757">
        <f>VLOOKUP(A757,收盤價!A:C,3,0)</f>
        <v>23.85</v>
      </c>
      <c r="E757" s="164">
        <v>0.19849246231155795</v>
      </c>
      <c r="F757">
        <v>52.24</v>
      </c>
    </row>
    <row r="758" spans="1:6">
      <c r="A758">
        <v>3379</v>
      </c>
      <c r="B758" t="s">
        <v>1512</v>
      </c>
      <c r="C758">
        <v>11.6</v>
      </c>
      <c r="D758">
        <f>VLOOKUP(A758,收盤價!A:C,3,0)</f>
        <v>13.9</v>
      </c>
      <c r="E758" s="164">
        <v>0.19827586206896558</v>
      </c>
      <c r="F758">
        <v>52.18</v>
      </c>
    </row>
    <row r="759" spans="1:6">
      <c r="A759">
        <v>3323</v>
      </c>
      <c r="B759" t="s">
        <v>319</v>
      </c>
      <c r="C759">
        <v>15.7</v>
      </c>
      <c r="D759">
        <f>VLOOKUP(A759,收盤價!A:C,3,0)</f>
        <v>18.8</v>
      </c>
      <c r="E759" s="164">
        <v>0.19745222929936315</v>
      </c>
      <c r="F759">
        <v>52.11</v>
      </c>
    </row>
    <row r="760" spans="1:6">
      <c r="A760">
        <v>8112</v>
      </c>
      <c r="B760" t="s">
        <v>1348</v>
      </c>
      <c r="C760">
        <v>10.9</v>
      </c>
      <c r="D760">
        <f>VLOOKUP(A760,收盤價!A:C,3,0)</f>
        <v>13.05</v>
      </c>
      <c r="E760" s="164">
        <v>0.19724770642201839</v>
      </c>
      <c r="F760">
        <v>52.05</v>
      </c>
    </row>
    <row r="761" spans="1:6">
      <c r="A761">
        <v>1537</v>
      </c>
      <c r="B761" t="s">
        <v>670</v>
      </c>
      <c r="C761">
        <v>109</v>
      </c>
      <c r="D761">
        <f>VLOOKUP(A761,收盤價!A:C,3,0)</f>
        <v>130.5</v>
      </c>
      <c r="E761" s="164">
        <v>0.19724770642201836</v>
      </c>
      <c r="F761">
        <v>51.99</v>
      </c>
    </row>
    <row r="762" spans="1:6">
      <c r="A762">
        <v>1213</v>
      </c>
      <c r="B762" t="s">
        <v>554</v>
      </c>
      <c r="C762">
        <v>13.2</v>
      </c>
      <c r="D762">
        <f>VLOOKUP(A762,收盤價!A:C,3,0)</f>
        <v>15.8</v>
      </c>
      <c r="E762" s="164">
        <v>0.1969696969696971</v>
      </c>
      <c r="F762">
        <v>51.92</v>
      </c>
    </row>
    <row r="763" spans="1:6">
      <c r="A763">
        <v>3033</v>
      </c>
      <c r="B763" t="s">
        <v>1071</v>
      </c>
      <c r="C763">
        <v>16</v>
      </c>
      <c r="D763">
        <f>VLOOKUP(A763,收盤價!A:C,3,0)</f>
        <v>19.149999999999999</v>
      </c>
      <c r="E763" s="164">
        <v>0.19687499999999991</v>
      </c>
      <c r="F763">
        <v>51.86</v>
      </c>
    </row>
    <row r="764" spans="1:6">
      <c r="A764">
        <v>6148</v>
      </c>
      <c r="B764" t="s">
        <v>1728</v>
      </c>
      <c r="C764">
        <v>6.36</v>
      </c>
      <c r="D764">
        <f>VLOOKUP(A764,收盤價!A:C,3,0)</f>
        <v>7.61</v>
      </c>
      <c r="E764" s="164">
        <v>0.19654088050314464</v>
      </c>
      <c r="F764">
        <v>51.8</v>
      </c>
    </row>
    <row r="765" spans="1:6">
      <c r="A765">
        <v>3026</v>
      </c>
      <c r="B765" t="s">
        <v>1064</v>
      </c>
      <c r="C765">
        <v>28</v>
      </c>
      <c r="D765">
        <f>VLOOKUP(A765,收盤價!A:C,3,0)</f>
        <v>33.5</v>
      </c>
      <c r="E765" s="164">
        <v>0.19642857142857142</v>
      </c>
      <c r="F765">
        <v>51.74</v>
      </c>
    </row>
    <row r="766" spans="1:6">
      <c r="A766">
        <v>1519</v>
      </c>
      <c r="B766" t="s">
        <v>655</v>
      </c>
      <c r="C766">
        <v>13.5</v>
      </c>
      <c r="D766">
        <f>VLOOKUP(A766,收盤價!A:C,3,0)</f>
        <v>16.149999999999999</v>
      </c>
      <c r="E766" s="164">
        <v>0.19629629629629619</v>
      </c>
      <c r="F766">
        <v>51.67</v>
      </c>
    </row>
    <row r="767" spans="1:6">
      <c r="A767">
        <v>3036</v>
      </c>
      <c r="B767" t="s">
        <v>1074</v>
      </c>
      <c r="C767">
        <v>30.1</v>
      </c>
      <c r="D767">
        <f>VLOOKUP(A767,收盤價!A:C,3,0)</f>
        <v>36</v>
      </c>
      <c r="E767" s="164">
        <v>0.1960132890365448</v>
      </c>
      <c r="F767">
        <v>51.61</v>
      </c>
    </row>
    <row r="768" spans="1:6">
      <c r="A768">
        <v>5202</v>
      </c>
      <c r="B768" t="s">
        <v>1640</v>
      </c>
      <c r="C768">
        <v>12.55</v>
      </c>
      <c r="D768">
        <f>VLOOKUP(A768,收盤價!A:C,3,0)</f>
        <v>15</v>
      </c>
      <c r="E768" s="164">
        <v>0.19521912350597603</v>
      </c>
      <c r="F768">
        <v>51.55</v>
      </c>
    </row>
    <row r="769" spans="1:6">
      <c r="A769">
        <v>2459</v>
      </c>
      <c r="B769" t="s">
        <v>907</v>
      </c>
      <c r="C769">
        <v>27.95</v>
      </c>
      <c r="D769">
        <f>VLOOKUP(A769,收盤價!A:C,3,0)</f>
        <v>33.4</v>
      </c>
      <c r="E769" s="164">
        <v>0.19499105545617171</v>
      </c>
      <c r="F769">
        <v>51.48</v>
      </c>
    </row>
    <row r="770" spans="1:6">
      <c r="A770">
        <v>5491</v>
      </c>
      <c r="B770" t="s">
        <v>1684</v>
      </c>
      <c r="C770">
        <v>5.8</v>
      </c>
      <c r="D770">
        <f>VLOOKUP(A770,收盤價!A:C,3,0)</f>
        <v>6.93</v>
      </c>
      <c r="E770" s="164">
        <v>0.19482758620689655</v>
      </c>
      <c r="F770">
        <v>51.42</v>
      </c>
    </row>
    <row r="771" spans="1:6">
      <c r="A771">
        <v>3093</v>
      </c>
      <c r="B771" t="s">
        <v>290</v>
      </c>
      <c r="C771">
        <v>24.9</v>
      </c>
      <c r="D771">
        <f>VLOOKUP(A771,收盤價!A:C,3,0)</f>
        <v>29.75</v>
      </c>
      <c r="E771" s="164">
        <v>0.19477911646586352</v>
      </c>
      <c r="F771">
        <v>51.36</v>
      </c>
    </row>
    <row r="772" spans="1:6">
      <c r="A772">
        <v>3085</v>
      </c>
      <c r="B772" t="s">
        <v>286</v>
      </c>
      <c r="C772">
        <v>5.86</v>
      </c>
      <c r="D772">
        <f>VLOOKUP(A772,收盤價!A:C,3,0)</f>
        <v>7</v>
      </c>
      <c r="E772" s="164">
        <v>0.1945392491467576</v>
      </c>
      <c r="F772">
        <v>51.29</v>
      </c>
    </row>
    <row r="773" spans="1:6">
      <c r="A773">
        <v>5536</v>
      </c>
      <c r="B773" t="s">
        <v>444</v>
      </c>
      <c r="C773">
        <v>71.5</v>
      </c>
      <c r="D773">
        <f>VLOOKUP(A773,收盤價!A:C,3,0)</f>
        <v>85.4</v>
      </c>
      <c r="E773" s="164">
        <v>0.19440559440559449</v>
      </c>
      <c r="F773">
        <v>51.23</v>
      </c>
    </row>
    <row r="774" spans="1:6">
      <c r="A774">
        <v>1809</v>
      </c>
      <c r="B774" t="s">
        <v>737</v>
      </c>
      <c r="C774">
        <v>8.5</v>
      </c>
      <c r="D774">
        <f>VLOOKUP(A774,收盤價!A:C,3,0)</f>
        <v>10.15</v>
      </c>
      <c r="E774" s="164">
        <v>0.19411764705882356</v>
      </c>
      <c r="F774">
        <v>51.17</v>
      </c>
    </row>
    <row r="775" spans="1:6">
      <c r="A775">
        <v>2034</v>
      </c>
      <c r="B775" t="s">
        <v>770</v>
      </c>
      <c r="C775">
        <v>15.8</v>
      </c>
      <c r="D775">
        <f>VLOOKUP(A775,收盤價!A:C,3,0)</f>
        <v>18.850000000000001</v>
      </c>
      <c r="E775" s="164">
        <v>0.19303797468354433</v>
      </c>
      <c r="F775">
        <v>51.1</v>
      </c>
    </row>
    <row r="776" spans="1:6">
      <c r="A776">
        <v>6124</v>
      </c>
      <c r="B776" t="s">
        <v>1718</v>
      </c>
      <c r="C776">
        <v>21.5</v>
      </c>
      <c r="D776">
        <f>VLOOKUP(A776,收盤價!A:C,3,0)</f>
        <v>25.65</v>
      </c>
      <c r="E776" s="164">
        <v>0.19302325581395341</v>
      </c>
      <c r="F776">
        <v>51.04</v>
      </c>
    </row>
    <row r="777" spans="1:6">
      <c r="A777">
        <v>6147</v>
      </c>
      <c r="B777" t="s">
        <v>1727</v>
      </c>
      <c r="C777">
        <v>40.85</v>
      </c>
      <c r="D777">
        <f>VLOOKUP(A777,收盤價!A:C,3,0)</f>
        <v>48.7</v>
      </c>
      <c r="E777" s="164">
        <v>0.19216646266829868</v>
      </c>
      <c r="F777">
        <v>50.98</v>
      </c>
    </row>
    <row r="778" spans="1:6">
      <c r="A778">
        <v>1443</v>
      </c>
      <c r="B778" t="s">
        <v>615</v>
      </c>
      <c r="C778">
        <v>4.28</v>
      </c>
      <c r="D778">
        <f>VLOOKUP(A778,收盤價!A:C,3,0)</f>
        <v>5.0999999999999996</v>
      </c>
      <c r="E778" s="164">
        <v>0.19158878504672883</v>
      </c>
      <c r="F778">
        <v>50.91</v>
      </c>
    </row>
    <row r="779" spans="1:6">
      <c r="A779">
        <v>5457</v>
      </c>
      <c r="B779" t="s">
        <v>436</v>
      </c>
      <c r="C779">
        <v>25.6</v>
      </c>
      <c r="D779">
        <f>VLOOKUP(A779,收盤價!A:C,3,0)</f>
        <v>30.5</v>
      </c>
      <c r="E779" s="164">
        <v>0.19140624999999994</v>
      </c>
      <c r="F779">
        <v>50.85</v>
      </c>
    </row>
    <row r="780" spans="1:6">
      <c r="A780">
        <v>4908</v>
      </c>
      <c r="B780" t="s">
        <v>1623</v>
      </c>
      <c r="C780">
        <v>16.05</v>
      </c>
      <c r="D780">
        <f>VLOOKUP(A780,收盤價!A:C,3,0)</f>
        <v>19.100000000000001</v>
      </c>
      <c r="E780" s="164">
        <v>0.19003115264797513</v>
      </c>
      <c r="F780">
        <v>50.79</v>
      </c>
    </row>
    <row r="781" spans="1:6">
      <c r="A781">
        <v>3265</v>
      </c>
      <c r="B781" t="s">
        <v>308</v>
      </c>
      <c r="C781">
        <v>18.75</v>
      </c>
      <c r="D781">
        <f>VLOOKUP(A781,收盤價!A:C,3,0)</f>
        <v>22.3</v>
      </c>
      <c r="E781" s="164">
        <v>0.18933333333333338</v>
      </c>
      <c r="F781">
        <v>50.73</v>
      </c>
    </row>
    <row r="782" spans="1:6">
      <c r="A782">
        <v>6197</v>
      </c>
      <c r="B782" t="s">
        <v>1289</v>
      </c>
      <c r="C782">
        <v>27</v>
      </c>
      <c r="D782">
        <f>VLOOKUP(A782,收盤價!A:C,3,0)</f>
        <v>32.1</v>
      </c>
      <c r="E782" s="164">
        <v>0.18888888888888894</v>
      </c>
      <c r="F782">
        <v>50.66</v>
      </c>
    </row>
    <row r="783" spans="1:6">
      <c r="A783">
        <v>3206</v>
      </c>
      <c r="B783" t="s">
        <v>1486</v>
      </c>
      <c r="C783">
        <v>18.3</v>
      </c>
      <c r="D783">
        <f>VLOOKUP(A783,收盤價!A:C,3,0)</f>
        <v>21.75</v>
      </c>
      <c r="E783" s="164">
        <v>0.18852459016393439</v>
      </c>
      <c r="F783">
        <v>50.6</v>
      </c>
    </row>
    <row r="784" spans="1:6">
      <c r="A784">
        <v>8463</v>
      </c>
      <c r="B784" t="s">
        <v>1370</v>
      </c>
      <c r="C784">
        <v>24.15</v>
      </c>
      <c r="D784">
        <f>VLOOKUP(A784,收盤價!A:C,3,0)</f>
        <v>28.7</v>
      </c>
      <c r="E784" s="164">
        <v>0.18840579710144931</v>
      </c>
      <c r="F784">
        <v>50.54</v>
      </c>
    </row>
    <row r="785" spans="1:6">
      <c r="A785">
        <v>2867</v>
      </c>
      <c r="B785" t="s">
        <v>1016</v>
      </c>
      <c r="C785">
        <v>16.25</v>
      </c>
      <c r="D785">
        <f>VLOOKUP(A785,收盤價!A:C,3,0)</f>
        <v>19.3</v>
      </c>
      <c r="E785" s="164">
        <v>0.18769230769230774</v>
      </c>
      <c r="F785">
        <v>50.47</v>
      </c>
    </row>
    <row r="786" spans="1:6">
      <c r="A786">
        <v>2115</v>
      </c>
      <c r="B786" t="s">
        <v>785</v>
      </c>
      <c r="C786">
        <v>35.700000000000003</v>
      </c>
      <c r="D786">
        <f>VLOOKUP(A786,收盤價!A:C,3,0)</f>
        <v>42.4</v>
      </c>
      <c r="E786" s="164">
        <v>0.18767507002801107</v>
      </c>
      <c r="F786">
        <v>50.41</v>
      </c>
    </row>
    <row r="787" spans="1:6">
      <c r="A787">
        <v>4720</v>
      </c>
      <c r="B787" t="s">
        <v>1197</v>
      </c>
      <c r="C787">
        <v>14.4</v>
      </c>
      <c r="D787">
        <f>VLOOKUP(A787,收盤價!A:C,3,0)</f>
        <v>17.100000000000001</v>
      </c>
      <c r="E787" s="164">
        <v>0.18750000000000006</v>
      </c>
      <c r="F787">
        <v>50.35</v>
      </c>
    </row>
    <row r="788" spans="1:6">
      <c r="A788">
        <v>2114</v>
      </c>
      <c r="B788" t="s">
        <v>784</v>
      </c>
      <c r="C788">
        <v>64</v>
      </c>
      <c r="D788">
        <f>VLOOKUP(A788,收盤價!A:C,3,0)</f>
        <v>76</v>
      </c>
      <c r="E788" s="164">
        <v>0.1875</v>
      </c>
      <c r="F788">
        <v>50.28</v>
      </c>
    </row>
    <row r="789" spans="1:6">
      <c r="A789">
        <v>2371</v>
      </c>
      <c r="B789" t="s">
        <v>843</v>
      </c>
      <c r="C789">
        <v>4.59</v>
      </c>
      <c r="D789">
        <f>VLOOKUP(A789,收盤價!A:C,3,0)</f>
        <v>5.45</v>
      </c>
      <c r="E789" s="164">
        <v>0.18736383442265803</v>
      </c>
      <c r="F789">
        <v>50.22</v>
      </c>
    </row>
    <row r="790" spans="1:6">
      <c r="A790">
        <v>2926</v>
      </c>
      <c r="B790" t="s">
        <v>1465</v>
      </c>
      <c r="C790">
        <v>147</v>
      </c>
      <c r="D790">
        <f>VLOOKUP(A790,收盤價!A:C,3,0)</f>
        <v>174.5</v>
      </c>
      <c r="E790" s="164">
        <v>0.1870748299319728</v>
      </c>
      <c r="F790">
        <v>50.16</v>
      </c>
    </row>
    <row r="791" spans="1:6">
      <c r="A791">
        <v>1439</v>
      </c>
      <c r="B791" t="s">
        <v>611</v>
      </c>
      <c r="C791">
        <v>11.5</v>
      </c>
      <c r="D791">
        <f>VLOOKUP(A791,收盤價!A:C,3,0)</f>
        <v>13.65</v>
      </c>
      <c r="E791" s="164">
        <v>0.18695652173913047</v>
      </c>
      <c r="F791">
        <v>50.09</v>
      </c>
    </row>
    <row r="792" spans="1:6">
      <c r="A792">
        <v>3058</v>
      </c>
      <c r="B792" t="s">
        <v>1094</v>
      </c>
      <c r="C792">
        <v>7.2</v>
      </c>
      <c r="D792">
        <f>VLOOKUP(A792,收盤價!A:C,3,0)</f>
        <v>8.5399999999999991</v>
      </c>
      <c r="E792" s="164">
        <v>0.18611111111111098</v>
      </c>
      <c r="F792">
        <v>50.03</v>
      </c>
    </row>
    <row r="793" spans="1:6">
      <c r="A793">
        <v>2009</v>
      </c>
      <c r="B793" t="s">
        <v>751</v>
      </c>
      <c r="C793">
        <v>5.61</v>
      </c>
      <c r="D793">
        <f>VLOOKUP(A793,收盤價!A:C,3,0)</f>
        <v>6.65</v>
      </c>
      <c r="E793" s="164">
        <v>0.1853832442067736</v>
      </c>
      <c r="F793">
        <v>49.97</v>
      </c>
    </row>
    <row r="794" spans="1:6">
      <c r="A794">
        <v>2414</v>
      </c>
      <c r="B794" t="s">
        <v>871</v>
      </c>
      <c r="C794">
        <v>13.8</v>
      </c>
      <c r="D794">
        <f>VLOOKUP(A794,收盤價!A:C,3,0)</f>
        <v>16.350000000000001</v>
      </c>
      <c r="E794" s="164">
        <v>0.18478260869565222</v>
      </c>
      <c r="F794">
        <v>49.91</v>
      </c>
    </row>
    <row r="795" spans="1:6">
      <c r="A795">
        <v>1808</v>
      </c>
      <c r="B795" t="s">
        <v>736</v>
      </c>
      <c r="C795">
        <v>23.05</v>
      </c>
      <c r="D795">
        <f>VLOOKUP(A795,收盤價!A:C,3,0)</f>
        <v>27.3</v>
      </c>
      <c r="E795" s="164">
        <v>0.18438177874186551</v>
      </c>
      <c r="F795">
        <v>49.84</v>
      </c>
    </row>
    <row r="796" spans="1:6">
      <c r="A796">
        <v>6194</v>
      </c>
      <c r="B796" t="s">
        <v>1740</v>
      </c>
      <c r="C796">
        <v>16.600000000000001</v>
      </c>
      <c r="D796">
        <f>VLOOKUP(A796,收盤價!A:C,3,0)</f>
        <v>19.649999999999999</v>
      </c>
      <c r="E796" s="164">
        <v>0.18373493975903596</v>
      </c>
      <c r="F796">
        <v>49.78</v>
      </c>
    </row>
    <row r="797" spans="1:6">
      <c r="A797">
        <v>4542</v>
      </c>
      <c r="B797" t="s">
        <v>383</v>
      </c>
      <c r="C797">
        <v>16.649999999999999</v>
      </c>
      <c r="D797">
        <f>VLOOKUP(A797,收盤價!A:C,3,0)</f>
        <v>19.7</v>
      </c>
      <c r="E797" s="164">
        <v>0.18318318318318325</v>
      </c>
      <c r="F797">
        <v>49.72</v>
      </c>
    </row>
    <row r="798" spans="1:6">
      <c r="A798">
        <v>3528</v>
      </c>
      <c r="B798" t="s">
        <v>1531</v>
      </c>
      <c r="C798">
        <v>25.7</v>
      </c>
      <c r="D798">
        <f>VLOOKUP(A798,收盤價!A:C,3,0)</f>
        <v>30.4</v>
      </c>
      <c r="E798" s="164">
        <v>0.1828793774319066</v>
      </c>
      <c r="F798">
        <v>49.65</v>
      </c>
    </row>
    <row r="799" spans="1:6">
      <c r="A799">
        <v>1409</v>
      </c>
      <c r="B799" t="s">
        <v>596</v>
      </c>
      <c r="C799">
        <v>7.47</v>
      </c>
      <c r="D799">
        <f>VLOOKUP(A799,收盤價!A:C,3,0)</f>
        <v>8.83</v>
      </c>
      <c r="E799" s="164">
        <v>0.18206157965194114</v>
      </c>
      <c r="F799">
        <v>49.59</v>
      </c>
    </row>
    <row r="800" spans="1:6">
      <c r="A800">
        <v>2705</v>
      </c>
      <c r="B800" t="s">
        <v>989</v>
      </c>
      <c r="C800">
        <v>8.8000000000000007</v>
      </c>
      <c r="D800">
        <f>VLOOKUP(A800,收盤價!A:C,3,0)</f>
        <v>10.4</v>
      </c>
      <c r="E800" s="164">
        <v>0.18181818181818177</v>
      </c>
      <c r="F800">
        <v>49.53</v>
      </c>
    </row>
    <row r="801" spans="1:6">
      <c r="A801">
        <v>6277</v>
      </c>
      <c r="B801" t="s">
        <v>1310</v>
      </c>
      <c r="C801">
        <v>60</v>
      </c>
      <c r="D801">
        <f>VLOOKUP(A801,收盤價!A:C,3,0)</f>
        <v>70.900000000000006</v>
      </c>
      <c r="E801" s="164">
        <v>0.18166666666666675</v>
      </c>
      <c r="F801">
        <v>49.46</v>
      </c>
    </row>
    <row r="802" spans="1:6">
      <c r="A802">
        <v>8081</v>
      </c>
      <c r="B802" t="s">
        <v>1343</v>
      </c>
      <c r="C802">
        <v>47.85</v>
      </c>
      <c r="D802">
        <f>VLOOKUP(A802,收盤價!A:C,3,0)</f>
        <v>56.5</v>
      </c>
      <c r="E802" s="164">
        <v>0.18077324973876693</v>
      </c>
      <c r="F802">
        <v>49.4</v>
      </c>
    </row>
    <row r="803" spans="1:6">
      <c r="A803">
        <v>8940</v>
      </c>
      <c r="B803" t="s">
        <v>1372</v>
      </c>
      <c r="C803">
        <v>13</v>
      </c>
      <c r="D803">
        <f>VLOOKUP(A803,收盤價!A:C,3,0)</f>
        <v>15.35</v>
      </c>
      <c r="E803" s="164">
        <v>0.18076923076923074</v>
      </c>
      <c r="F803">
        <v>49.34</v>
      </c>
    </row>
    <row r="804" spans="1:6">
      <c r="A804">
        <v>2106</v>
      </c>
      <c r="B804" t="s">
        <v>780</v>
      </c>
      <c r="C804">
        <v>43.2</v>
      </c>
      <c r="D804">
        <f>VLOOKUP(A804,收盤價!A:C,3,0)</f>
        <v>51</v>
      </c>
      <c r="E804" s="164">
        <v>0.18055555555555547</v>
      </c>
      <c r="F804">
        <v>49.27</v>
      </c>
    </row>
    <row r="805" spans="1:6">
      <c r="A805">
        <v>3664</v>
      </c>
      <c r="B805" t="s">
        <v>1553</v>
      </c>
      <c r="C805">
        <v>12.8</v>
      </c>
      <c r="D805">
        <f>VLOOKUP(A805,收盤價!A:C,3,0)</f>
        <v>15.1</v>
      </c>
      <c r="E805" s="164">
        <v>0.17968749999999992</v>
      </c>
      <c r="F805">
        <v>49.21</v>
      </c>
    </row>
    <row r="806" spans="1:6">
      <c r="A806">
        <v>8938</v>
      </c>
      <c r="B806" t="s">
        <v>533</v>
      </c>
      <c r="C806">
        <v>17</v>
      </c>
      <c r="D806">
        <f>VLOOKUP(A806,收盤價!A:C,3,0)</f>
        <v>20.05</v>
      </c>
      <c r="E806" s="164">
        <v>0.17941176470588238</v>
      </c>
      <c r="F806">
        <v>49.15</v>
      </c>
    </row>
    <row r="807" spans="1:6">
      <c r="A807">
        <v>2305</v>
      </c>
      <c r="B807" t="s">
        <v>798</v>
      </c>
      <c r="C807">
        <v>4.97</v>
      </c>
      <c r="D807">
        <f>VLOOKUP(A807,收盤價!A:C,3,0)</f>
        <v>5.86</v>
      </c>
      <c r="E807" s="164">
        <v>0.1790744466800806</v>
      </c>
      <c r="F807">
        <v>49.09</v>
      </c>
    </row>
    <row r="808" spans="1:6">
      <c r="A808">
        <v>1521</v>
      </c>
      <c r="B808" t="s">
        <v>656</v>
      </c>
      <c r="C808">
        <v>67.7</v>
      </c>
      <c r="D808">
        <f>VLOOKUP(A808,收盤價!A:C,3,0)</f>
        <v>79.8</v>
      </c>
      <c r="E808" s="164">
        <v>0.17872968980797627</v>
      </c>
      <c r="F808">
        <v>49.02</v>
      </c>
    </row>
    <row r="809" spans="1:6">
      <c r="A809">
        <v>3558</v>
      </c>
      <c r="B809" t="s">
        <v>346</v>
      </c>
      <c r="C809">
        <v>210</v>
      </c>
      <c r="D809">
        <f>VLOOKUP(A809,收盤價!A:C,3,0)</f>
        <v>247.5</v>
      </c>
      <c r="E809" s="164">
        <v>0.17857142857142858</v>
      </c>
      <c r="F809">
        <v>48.96</v>
      </c>
    </row>
    <row r="810" spans="1:6">
      <c r="A810">
        <v>3042</v>
      </c>
      <c r="B810" t="s">
        <v>1079</v>
      </c>
      <c r="C810">
        <v>30</v>
      </c>
      <c r="D810">
        <f>VLOOKUP(A810,收盤價!A:C,3,0)</f>
        <v>35.35</v>
      </c>
      <c r="E810" s="164">
        <v>0.17833333333333337</v>
      </c>
      <c r="F810">
        <v>48.9</v>
      </c>
    </row>
    <row r="811" spans="1:6">
      <c r="A811">
        <v>6109</v>
      </c>
      <c r="B811" t="s">
        <v>1711</v>
      </c>
      <c r="C811">
        <v>11.5</v>
      </c>
      <c r="D811">
        <f>VLOOKUP(A811,收盤價!A:C,3,0)</f>
        <v>13.55</v>
      </c>
      <c r="E811" s="164">
        <v>0.17826086956521744</v>
      </c>
      <c r="F811">
        <v>48.83</v>
      </c>
    </row>
    <row r="812" spans="1:6">
      <c r="A812">
        <v>5230</v>
      </c>
      <c r="B812" t="s">
        <v>409</v>
      </c>
      <c r="C812">
        <v>43.8</v>
      </c>
      <c r="D812">
        <f>VLOOKUP(A812,收盤價!A:C,3,0)</f>
        <v>51.6</v>
      </c>
      <c r="E812" s="164">
        <v>0.17808219178082202</v>
      </c>
      <c r="F812">
        <v>48.77</v>
      </c>
    </row>
    <row r="813" spans="1:6">
      <c r="A813">
        <v>3518</v>
      </c>
      <c r="B813" t="s">
        <v>1137</v>
      </c>
      <c r="C813">
        <v>33.200000000000003</v>
      </c>
      <c r="D813">
        <f>VLOOKUP(A813,收盤價!A:C,3,0)</f>
        <v>39.1</v>
      </c>
      <c r="E813" s="164">
        <v>0.17771084337349391</v>
      </c>
      <c r="F813">
        <v>48.71</v>
      </c>
    </row>
    <row r="814" spans="1:6">
      <c r="A814">
        <v>2546</v>
      </c>
      <c r="B814" t="s">
        <v>963</v>
      </c>
      <c r="C814">
        <v>12.7</v>
      </c>
      <c r="D814">
        <f>VLOOKUP(A814,收盤價!A:C,3,0)</f>
        <v>14.95</v>
      </c>
      <c r="E814" s="164">
        <v>0.17716535433070868</v>
      </c>
      <c r="F814">
        <v>48.64</v>
      </c>
    </row>
    <row r="815" spans="1:6">
      <c r="A815">
        <v>3291</v>
      </c>
      <c r="B815" t="s">
        <v>313</v>
      </c>
      <c r="C815">
        <v>14.4</v>
      </c>
      <c r="D815">
        <f>VLOOKUP(A815,收盤價!A:C,3,0)</f>
        <v>16.95</v>
      </c>
      <c r="E815" s="164">
        <v>0.17708333333333326</v>
      </c>
      <c r="F815">
        <v>48.58</v>
      </c>
    </row>
    <row r="816" spans="1:6">
      <c r="A816">
        <v>6286</v>
      </c>
      <c r="B816" t="s">
        <v>1316</v>
      </c>
      <c r="C816">
        <v>161</v>
      </c>
      <c r="D816">
        <f>VLOOKUP(A816,收盤價!A:C,3,0)</f>
        <v>189.5</v>
      </c>
      <c r="E816" s="164">
        <v>0.17701863354037267</v>
      </c>
      <c r="F816">
        <v>48.52</v>
      </c>
    </row>
    <row r="817" spans="1:6">
      <c r="A817">
        <v>2536</v>
      </c>
      <c r="B817" t="s">
        <v>955</v>
      </c>
      <c r="C817">
        <v>18.649999999999999</v>
      </c>
      <c r="D817">
        <f>VLOOKUP(A817,收盤價!A:C,3,0)</f>
        <v>21.95</v>
      </c>
      <c r="E817" s="164">
        <v>0.17694369973190355</v>
      </c>
      <c r="F817">
        <v>48.45</v>
      </c>
    </row>
    <row r="818" spans="1:6">
      <c r="A818">
        <v>6139</v>
      </c>
      <c r="B818" t="s">
        <v>1269</v>
      </c>
      <c r="C818">
        <v>15</v>
      </c>
      <c r="D818">
        <f>VLOOKUP(A818,收盤價!A:C,3,0)</f>
        <v>17.649999999999999</v>
      </c>
      <c r="E818" s="164">
        <v>0.17666666666666658</v>
      </c>
      <c r="F818">
        <v>48.39</v>
      </c>
    </row>
    <row r="819" spans="1:6">
      <c r="A819">
        <v>4915</v>
      </c>
      <c r="B819" t="s">
        <v>1207</v>
      </c>
      <c r="C819">
        <v>34.5</v>
      </c>
      <c r="D819">
        <f>VLOOKUP(A819,收盤價!A:C,3,0)</f>
        <v>40.549999999999997</v>
      </c>
      <c r="E819" s="164">
        <v>0.17536231884057962</v>
      </c>
      <c r="F819">
        <v>48.33</v>
      </c>
    </row>
    <row r="820" spans="1:6">
      <c r="A820">
        <v>5210</v>
      </c>
      <c r="B820" t="s">
        <v>407</v>
      </c>
      <c r="C820">
        <v>5.82</v>
      </c>
      <c r="D820">
        <f>VLOOKUP(A820,收盤價!A:C,3,0)</f>
        <v>6.84</v>
      </c>
      <c r="E820" s="164">
        <v>0.17525773195876279</v>
      </c>
      <c r="F820">
        <v>48.26</v>
      </c>
    </row>
    <row r="821" spans="1:6">
      <c r="A821">
        <v>2206</v>
      </c>
      <c r="B821" t="s">
        <v>788</v>
      </c>
      <c r="C821">
        <v>19.7</v>
      </c>
      <c r="D821">
        <f>VLOOKUP(A821,收盤價!A:C,3,0)</f>
        <v>23.15</v>
      </c>
      <c r="E821" s="164">
        <v>0.17512690355329946</v>
      </c>
      <c r="F821">
        <v>48.2</v>
      </c>
    </row>
    <row r="822" spans="1:6">
      <c r="A822">
        <v>2454</v>
      </c>
      <c r="B822" t="s">
        <v>902</v>
      </c>
      <c r="C822">
        <v>229</v>
      </c>
      <c r="D822">
        <f>VLOOKUP(A822,收盤價!A:C,3,0)</f>
        <v>269</v>
      </c>
      <c r="E822" s="164">
        <v>0.17467248908296942</v>
      </c>
      <c r="F822">
        <v>48.14</v>
      </c>
    </row>
    <row r="823" spans="1:6">
      <c r="A823">
        <v>4109</v>
      </c>
      <c r="B823" t="s">
        <v>1564</v>
      </c>
      <c r="C823">
        <v>21.55</v>
      </c>
      <c r="D823">
        <f>VLOOKUP(A823,收盤價!A:C,3,0)</f>
        <v>25.3</v>
      </c>
      <c r="E823" s="164">
        <v>0.1740139211136891</v>
      </c>
      <c r="F823">
        <v>48.08</v>
      </c>
    </row>
    <row r="824" spans="1:6">
      <c r="A824">
        <v>9941</v>
      </c>
      <c r="B824" t="s">
        <v>1427</v>
      </c>
      <c r="C824">
        <v>62.9</v>
      </c>
      <c r="D824">
        <f>VLOOKUP(A824,收盤價!A:C,3,0)</f>
        <v>73.8</v>
      </c>
      <c r="E824" s="164">
        <v>0.17329093799682033</v>
      </c>
      <c r="F824">
        <v>48.01</v>
      </c>
    </row>
    <row r="825" spans="1:6">
      <c r="A825">
        <v>2482</v>
      </c>
      <c r="B825" t="s">
        <v>924</v>
      </c>
      <c r="C825">
        <v>11.85</v>
      </c>
      <c r="D825">
        <f>VLOOKUP(A825,收盤價!A:C,3,0)</f>
        <v>13.9</v>
      </c>
      <c r="E825" s="164">
        <v>0.17299578059071735</v>
      </c>
      <c r="F825">
        <v>47.95</v>
      </c>
    </row>
    <row r="826" spans="1:6">
      <c r="A826">
        <v>5403</v>
      </c>
      <c r="B826" t="s">
        <v>1861</v>
      </c>
      <c r="C826">
        <v>18.5</v>
      </c>
      <c r="D826">
        <f>VLOOKUP(A826,收盤價!A:C,3,0)</f>
        <v>21.7</v>
      </c>
      <c r="E826" s="164">
        <v>0.17297297297297293</v>
      </c>
      <c r="F826">
        <v>47.89</v>
      </c>
    </row>
    <row r="827" spans="1:6">
      <c r="A827">
        <v>2316</v>
      </c>
      <c r="B827" t="s">
        <v>804</v>
      </c>
      <c r="C827">
        <v>22.55</v>
      </c>
      <c r="D827">
        <f>VLOOKUP(A827,收盤價!A:C,3,0)</f>
        <v>26.45</v>
      </c>
      <c r="E827" s="164">
        <v>0.17294900221729484</v>
      </c>
      <c r="F827">
        <v>47.82</v>
      </c>
    </row>
    <row r="828" spans="1:6">
      <c r="A828">
        <v>2417</v>
      </c>
      <c r="B828" t="s">
        <v>873</v>
      </c>
      <c r="C828">
        <v>8.33</v>
      </c>
      <c r="D828">
        <f>VLOOKUP(A828,收盤價!A:C,3,0)</f>
        <v>9.77</v>
      </c>
      <c r="E828" s="164">
        <v>0.17286914765906355</v>
      </c>
      <c r="F828">
        <v>47.76</v>
      </c>
    </row>
    <row r="829" spans="1:6">
      <c r="A829">
        <v>4510</v>
      </c>
      <c r="B829" t="s">
        <v>1599</v>
      </c>
      <c r="C829">
        <v>14.2</v>
      </c>
      <c r="D829">
        <f>VLOOKUP(A829,收盤價!A:C,3,0)</f>
        <v>16.649999999999999</v>
      </c>
      <c r="E829" s="164">
        <v>0.1725352112676056</v>
      </c>
      <c r="F829">
        <v>47.7</v>
      </c>
    </row>
    <row r="830" spans="1:6">
      <c r="A830">
        <v>6024</v>
      </c>
      <c r="B830" t="s">
        <v>452</v>
      </c>
      <c r="C830">
        <v>24.35</v>
      </c>
      <c r="D830">
        <f>VLOOKUP(A830,收盤價!A:C,3,0)</f>
        <v>28.55</v>
      </c>
      <c r="E830" s="164">
        <v>0.17248459958932233</v>
      </c>
      <c r="F830">
        <v>47.63</v>
      </c>
    </row>
    <row r="831" spans="1:6">
      <c r="A831">
        <v>8033</v>
      </c>
      <c r="B831" t="s">
        <v>1338</v>
      </c>
      <c r="C831">
        <v>8.6999999999999993</v>
      </c>
      <c r="D831">
        <f>VLOOKUP(A831,收盤價!A:C,3,0)</f>
        <v>10.199999999999999</v>
      </c>
      <c r="E831" s="164">
        <v>0.17241379310344829</v>
      </c>
      <c r="F831">
        <v>47.57</v>
      </c>
    </row>
    <row r="832" spans="1:6">
      <c r="A832">
        <v>6241</v>
      </c>
      <c r="B832" t="s">
        <v>481</v>
      </c>
      <c r="C832">
        <v>11.9</v>
      </c>
      <c r="D832">
        <f>VLOOKUP(A832,收盤價!A:C,3,0)</f>
        <v>13.95</v>
      </c>
      <c r="E832" s="164">
        <v>0.17226890756302513</v>
      </c>
      <c r="F832">
        <v>47.51</v>
      </c>
    </row>
    <row r="833" spans="1:6">
      <c r="A833">
        <v>1732</v>
      </c>
      <c r="B833" t="s">
        <v>722</v>
      </c>
      <c r="C833">
        <v>11.05</v>
      </c>
      <c r="D833">
        <f>VLOOKUP(A833,收盤價!A:C,3,0)</f>
        <v>12.95</v>
      </c>
      <c r="E833" s="164">
        <v>0.17194570135746592</v>
      </c>
      <c r="F833">
        <v>47.44</v>
      </c>
    </row>
    <row r="834" spans="1:6">
      <c r="A834">
        <v>3339</v>
      </c>
      <c r="B834" t="s">
        <v>1509</v>
      </c>
      <c r="C834">
        <v>3.55</v>
      </c>
      <c r="D834">
        <f>VLOOKUP(A834,收盤價!A:C,3,0)</f>
        <v>4.16</v>
      </c>
      <c r="E834" s="164">
        <v>0.17183098591549306</v>
      </c>
      <c r="F834">
        <v>47.38</v>
      </c>
    </row>
    <row r="835" spans="1:6">
      <c r="A835">
        <v>9914</v>
      </c>
      <c r="B835" t="s">
        <v>1407</v>
      </c>
      <c r="C835">
        <v>151.5</v>
      </c>
      <c r="D835">
        <f>VLOOKUP(A835,收盤價!A:C,3,0)</f>
        <v>177.5</v>
      </c>
      <c r="E835" s="164">
        <v>0.17161716171617161</v>
      </c>
      <c r="F835">
        <v>47.32</v>
      </c>
    </row>
    <row r="836" spans="1:6">
      <c r="A836">
        <v>3551</v>
      </c>
      <c r="B836" t="s">
        <v>343</v>
      </c>
      <c r="C836">
        <v>29.15</v>
      </c>
      <c r="D836">
        <f>VLOOKUP(A836,收盤價!A:C,3,0)</f>
        <v>34.15</v>
      </c>
      <c r="E836" s="164">
        <v>0.17152658662092626</v>
      </c>
      <c r="F836">
        <v>47.26</v>
      </c>
    </row>
    <row r="837" spans="1:6">
      <c r="A837">
        <v>3705</v>
      </c>
      <c r="B837" t="s">
        <v>1177</v>
      </c>
      <c r="C837">
        <v>42.3</v>
      </c>
      <c r="D837">
        <f>VLOOKUP(A837,收盤價!A:C,3,0)</f>
        <v>49.55</v>
      </c>
      <c r="E837" s="164">
        <v>0.17139479905437355</v>
      </c>
      <c r="F837">
        <v>47.19</v>
      </c>
    </row>
    <row r="838" spans="1:6">
      <c r="A838">
        <v>6257</v>
      </c>
      <c r="B838" t="s">
        <v>1307</v>
      </c>
      <c r="C838">
        <v>18.7</v>
      </c>
      <c r="D838">
        <f>VLOOKUP(A838,收盤價!A:C,3,0)</f>
        <v>21.9</v>
      </c>
      <c r="E838" s="164">
        <v>0.17112299465240638</v>
      </c>
      <c r="F838">
        <v>47.13</v>
      </c>
    </row>
    <row r="839" spans="1:6">
      <c r="A839">
        <v>1104</v>
      </c>
      <c r="B839" t="s">
        <v>548</v>
      </c>
      <c r="C839">
        <v>19.899999999999999</v>
      </c>
      <c r="D839">
        <f>VLOOKUP(A839,收盤價!A:C,3,0)</f>
        <v>23.3</v>
      </c>
      <c r="E839" s="164">
        <v>0.17085427135678405</v>
      </c>
      <c r="F839">
        <v>47.07</v>
      </c>
    </row>
    <row r="840" spans="1:6">
      <c r="A840">
        <v>2520</v>
      </c>
      <c r="B840" t="s">
        <v>948</v>
      </c>
      <c r="C840">
        <v>13.8</v>
      </c>
      <c r="D840">
        <f>VLOOKUP(A840,收盤價!A:C,3,0)</f>
        <v>16.149999999999999</v>
      </c>
      <c r="E840" s="164">
        <v>0.17028985507246361</v>
      </c>
      <c r="F840">
        <v>47</v>
      </c>
    </row>
    <row r="841" spans="1:6">
      <c r="A841">
        <v>9938</v>
      </c>
      <c r="B841" t="s">
        <v>1424</v>
      </c>
      <c r="C841">
        <v>67</v>
      </c>
      <c r="D841">
        <f>VLOOKUP(A841,收盤價!A:C,3,0)</f>
        <v>78.400000000000006</v>
      </c>
      <c r="E841" s="164">
        <v>0.17014925373134338</v>
      </c>
      <c r="F841">
        <v>46.94</v>
      </c>
    </row>
    <row r="842" spans="1:6">
      <c r="A842">
        <v>2324</v>
      </c>
      <c r="B842" t="s">
        <v>808</v>
      </c>
      <c r="C842">
        <v>15.3</v>
      </c>
      <c r="D842">
        <f>VLOOKUP(A842,收盤價!A:C,3,0)</f>
        <v>17.899999999999999</v>
      </c>
      <c r="E842" s="164">
        <v>0.16993464052287566</v>
      </c>
      <c r="F842">
        <v>46.88</v>
      </c>
    </row>
    <row r="843" spans="1:6">
      <c r="A843">
        <v>2061</v>
      </c>
      <c r="B843" t="s">
        <v>274</v>
      </c>
      <c r="C843">
        <v>10.6</v>
      </c>
      <c r="D843">
        <f>VLOOKUP(A843,收盤價!A:C,3,0)</f>
        <v>12.4</v>
      </c>
      <c r="E843" s="164">
        <v>0.16981132075471705</v>
      </c>
      <c r="F843">
        <v>46.81</v>
      </c>
    </row>
    <row r="844" spans="1:6">
      <c r="A844">
        <v>6222</v>
      </c>
      <c r="B844" t="s">
        <v>1750</v>
      </c>
      <c r="C844">
        <v>6.78</v>
      </c>
      <c r="D844">
        <f>VLOOKUP(A844,收盤價!A:C,3,0)</f>
        <v>7.93</v>
      </c>
      <c r="E844" s="164">
        <v>0.16961651917404122</v>
      </c>
      <c r="F844">
        <v>46.75</v>
      </c>
    </row>
    <row r="845" spans="1:6">
      <c r="A845">
        <v>2365</v>
      </c>
      <c r="B845" t="s">
        <v>839</v>
      </c>
      <c r="C845">
        <v>7.92</v>
      </c>
      <c r="D845">
        <f>VLOOKUP(A845,收盤價!A:C,3,0)</f>
        <v>9.26</v>
      </c>
      <c r="E845" s="164">
        <v>0.16919191919191917</v>
      </c>
      <c r="F845">
        <v>46.69</v>
      </c>
    </row>
    <row r="846" spans="1:6">
      <c r="A846">
        <v>2423</v>
      </c>
      <c r="B846" t="s">
        <v>877</v>
      </c>
      <c r="C846">
        <v>14.25</v>
      </c>
      <c r="D846">
        <f>VLOOKUP(A846,收盤價!A:C,3,0)</f>
        <v>16.649999999999999</v>
      </c>
      <c r="E846" s="164">
        <v>0.16842105263157886</v>
      </c>
      <c r="F846">
        <v>46.62</v>
      </c>
    </row>
    <row r="847" spans="1:6">
      <c r="A847">
        <v>2505</v>
      </c>
      <c r="B847" t="s">
        <v>941</v>
      </c>
      <c r="C847">
        <v>9.2899999999999991</v>
      </c>
      <c r="D847">
        <f>VLOOKUP(A847,收盤價!A:C,3,0)</f>
        <v>10.85</v>
      </c>
      <c r="E847" s="164">
        <v>0.16792249730893441</v>
      </c>
      <c r="F847">
        <v>46.56</v>
      </c>
    </row>
    <row r="848" spans="1:6">
      <c r="A848">
        <v>6153</v>
      </c>
      <c r="B848" t="s">
        <v>1274</v>
      </c>
      <c r="C848">
        <v>22.95</v>
      </c>
      <c r="D848">
        <f>VLOOKUP(A848,收盤價!A:C,3,0)</f>
        <v>26.8</v>
      </c>
      <c r="E848" s="164">
        <v>0.16775599128540311</v>
      </c>
      <c r="F848">
        <v>46.5</v>
      </c>
    </row>
    <row r="849" spans="1:6">
      <c r="A849">
        <v>4729</v>
      </c>
      <c r="B849" t="s">
        <v>392</v>
      </c>
      <c r="C849">
        <v>10.45</v>
      </c>
      <c r="D849">
        <f>VLOOKUP(A849,收盤價!A:C,3,0)</f>
        <v>12.2</v>
      </c>
      <c r="E849" s="164">
        <v>0.1674641148325359</v>
      </c>
      <c r="F849">
        <v>46.44</v>
      </c>
    </row>
    <row r="850" spans="1:6">
      <c r="A850">
        <v>2443</v>
      </c>
      <c r="B850" t="s">
        <v>895</v>
      </c>
      <c r="C850">
        <v>6.7</v>
      </c>
      <c r="D850">
        <f>VLOOKUP(A850,收盤價!A:C,3,0)</f>
        <v>7.82</v>
      </c>
      <c r="E850" s="164">
        <v>0.16716417910447762</v>
      </c>
      <c r="F850">
        <v>46.37</v>
      </c>
    </row>
    <row r="851" spans="1:6">
      <c r="A851">
        <v>2207</v>
      </c>
      <c r="B851" t="s">
        <v>789</v>
      </c>
      <c r="C851">
        <v>320.5</v>
      </c>
      <c r="D851">
        <f>VLOOKUP(A851,收盤價!A:C,3,0)</f>
        <v>374</v>
      </c>
      <c r="E851" s="164">
        <v>0.1669266770670827</v>
      </c>
      <c r="F851">
        <v>46.31</v>
      </c>
    </row>
    <row r="852" spans="1:6">
      <c r="A852">
        <v>1218</v>
      </c>
      <c r="B852" t="s">
        <v>558</v>
      </c>
      <c r="C852">
        <v>9.77</v>
      </c>
      <c r="D852">
        <f>VLOOKUP(A852,收盤價!A:C,3,0)</f>
        <v>11.4</v>
      </c>
      <c r="E852" s="164">
        <v>0.16683725690890489</v>
      </c>
      <c r="F852">
        <v>46.25</v>
      </c>
    </row>
    <row r="853" spans="1:6">
      <c r="A853">
        <v>6128</v>
      </c>
      <c r="B853" t="s">
        <v>1265</v>
      </c>
      <c r="C853">
        <v>30</v>
      </c>
      <c r="D853">
        <f>VLOOKUP(A853,收盤價!A:C,3,0)</f>
        <v>35</v>
      </c>
      <c r="E853" s="164">
        <v>0.16666666666666666</v>
      </c>
      <c r="F853">
        <v>46.18</v>
      </c>
    </row>
    <row r="854" spans="1:6">
      <c r="A854">
        <v>8271</v>
      </c>
      <c r="B854" t="s">
        <v>1360</v>
      </c>
      <c r="C854">
        <v>15</v>
      </c>
      <c r="D854">
        <f>VLOOKUP(A854,收盤價!A:C,3,0)</f>
        <v>17.5</v>
      </c>
      <c r="E854" s="164">
        <v>0.16666666666666666</v>
      </c>
      <c r="F854">
        <v>46.12</v>
      </c>
    </row>
    <row r="855" spans="1:6">
      <c r="A855">
        <v>3438</v>
      </c>
      <c r="B855" t="s">
        <v>1516</v>
      </c>
      <c r="C855">
        <v>15.6</v>
      </c>
      <c r="D855">
        <f>VLOOKUP(A855,收盤價!A:C,3,0)</f>
        <v>18.2</v>
      </c>
      <c r="E855" s="164">
        <v>0.16666666666666666</v>
      </c>
      <c r="F855">
        <v>46.06</v>
      </c>
    </row>
    <row r="856" spans="1:6">
      <c r="A856">
        <v>4958</v>
      </c>
      <c r="B856" t="s">
        <v>1218</v>
      </c>
      <c r="C856">
        <v>79.400000000000006</v>
      </c>
      <c r="D856">
        <f>VLOOKUP(A856,收盤價!A:C,3,0)</f>
        <v>92.6</v>
      </c>
      <c r="E856" s="164">
        <v>0.16624685138539028</v>
      </c>
      <c r="F856">
        <v>45.99</v>
      </c>
    </row>
    <row r="857" spans="1:6">
      <c r="A857">
        <v>9924</v>
      </c>
      <c r="B857" t="s">
        <v>1412</v>
      </c>
      <c r="C857">
        <v>40.4</v>
      </c>
      <c r="D857">
        <f>VLOOKUP(A857,收盤價!A:C,3,0)</f>
        <v>47.1</v>
      </c>
      <c r="E857" s="164">
        <v>0.16584158415841591</v>
      </c>
      <c r="F857">
        <v>45.93</v>
      </c>
    </row>
    <row r="858" spans="1:6">
      <c r="A858">
        <v>3490</v>
      </c>
      <c r="B858" t="s">
        <v>334</v>
      </c>
      <c r="C858">
        <v>66.400000000000006</v>
      </c>
      <c r="D858">
        <f>VLOOKUP(A858,收盤價!A:C,3,0)</f>
        <v>77.400000000000006</v>
      </c>
      <c r="E858" s="164">
        <v>0.16566265060240962</v>
      </c>
      <c r="F858">
        <v>45.87</v>
      </c>
    </row>
    <row r="859" spans="1:6">
      <c r="A859">
        <v>1227</v>
      </c>
      <c r="B859" t="s">
        <v>562</v>
      </c>
      <c r="C859">
        <v>66.7</v>
      </c>
      <c r="D859">
        <f>VLOOKUP(A859,收盤價!A:C,3,0)</f>
        <v>77.7</v>
      </c>
      <c r="E859" s="164">
        <v>0.16491754122938529</v>
      </c>
      <c r="F859">
        <v>45.8</v>
      </c>
    </row>
    <row r="860" spans="1:6">
      <c r="A860">
        <v>6121</v>
      </c>
      <c r="B860" t="s">
        <v>453</v>
      </c>
      <c r="C860">
        <v>99.6</v>
      </c>
      <c r="D860">
        <f>VLOOKUP(A860,收盤價!A:C,3,0)</f>
        <v>116</v>
      </c>
      <c r="E860" s="164">
        <v>0.16465863453815269</v>
      </c>
      <c r="F860">
        <v>45.74</v>
      </c>
    </row>
    <row r="861" spans="1:6">
      <c r="A861">
        <v>1336</v>
      </c>
      <c r="B861" t="s">
        <v>264</v>
      </c>
      <c r="C861">
        <v>6.57</v>
      </c>
      <c r="D861">
        <f>VLOOKUP(A861,收盤價!A:C,3,0)</f>
        <v>7.65</v>
      </c>
      <c r="E861" s="164">
        <v>0.16438356164383561</v>
      </c>
      <c r="F861">
        <v>45.68</v>
      </c>
    </row>
    <row r="862" spans="1:6">
      <c r="A862">
        <v>3675</v>
      </c>
      <c r="B862" t="s">
        <v>1554</v>
      </c>
      <c r="C862">
        <v>18.899999999999999</v>
      </c>
      <c r="D862">
        <f>VLOOKUP(A862,收盤價!A:C,3,0)</f>
        <v>22</v>
      </c>
      <c r="E862" s="164">
        <v>0.1640211640211641</v>
      </c>
      <c r="F862">
        <v>45.62</v>
      </c>
    </row>
    <row r="863" spans="1:6">
      <c r="A863">
        <v>5206</v>
      </c>
      <c r="B863" t="s">
        <v>406</v>
      </c>
      <c r="C863">
        <v>9.4499999999999993</v>
      </c>
      <c r="D863">
        <f>VLOOKUP(A863,收盤價!A:C,3,0)</f>
        <v>11</v>
      </c>
      <c r="E863" s="164">
        <v>0.1640211640211641</v>
      </c>
      <c r="F863">
        <v>45.55</v>
      </c>
    </row>
    <row r="864" spans="1:6">
      <c r="A864">
        <v>2402</v>
      </c>
      <c r="B864" t="s">
        <v>863</v>
      </c>
      <c r="C864">
        <v>14.35</v>
      </c>
      <c r="D864">
        <f>VLOOKUP(A864,收盤價!A:C,3,0)</f>
        <v>16.7</v>
      </c>
      <c r="E864" s="164">
        <v>0.16376306620209058</v>
      </c>
      <c r="F864">
        <v>45.49</v>
      </c>
    </row>
    <row r="865" spans="1:6">
      <c r="A865">
        <v>9955</v>
      </c>
      <c r="B865" t="s">
        <v>1433</v>
      </c>
      <c r="C865">
        <v>12</v>
      </c>
      <c r="D865">
        <f>VLOOKUP(A865,收盤價!A:C,3,0)</f>
        <v>13.95</v>
      </c>
      <c r="E865" s="164">
        <v>0.16249999999999995</v>
      </c>
      <c r="F865">
        <v>45.43</v>
      </c>
    </row>
    <row r="866" spans="1:6">
      <c r="A866">
        <v>8099</v>
      </c>
      <c r="B866" t="s">
        <v>1803</v>
      </c>
      <c r="C866">
        <v>14.5</v>
      </c>
      <c r="D866">
        <f>VLOOKUP(A866,收盤價!A:C,3,0)</f>
        <v>16.850000000000001</v>
      </c>
      <c r="E866" s="164">
        <v>0.16206896551724148</v>
      </c>
      <c r="F866">
        <v>45.36</v>
      </c>
    </row>
    <row r="867" spans="1:6">
      <c r="A867">
        <v>5487</v>
      </c>
      <c r="B867" t="s">
        <v>440</v>
      </c>
      <c r="C867">
        <v>17.600000000000001</v>
      </c>
      <c r="D867">
        <f>VLOOKUP(A867,收盤價!A:C,3,0)</f>
        <v>20.45</v>
      </c>
      <c r="E867" s="164">
        <v>0.16193181818181804</v>
      </c>
      <c r="F867">
        <v>45.3</v>
      </c>
    </row>
    <row r="868" spans="1:6">
      <c r="A868">
        <v>3526</v>
      </c>
      <c r="B868" t="s">
        <v>1530</v>
      </c>
      <c r="C868">
        <v>18.850000000000001</v>
      </c>
      <c r="D868">
        <f>VLOOKUP(A868,收盤價!A:C,3,0)</f>
        <v>21.9</v>
      </c>
      <c r="E868" s="164">
        <v>0.16180371352785131</v>
      </c>
      <c r="F868">
        <v>45.24</v>
      </c>
    </row>
    <row r="869" spans="1:6">
      <c r="A869">
        <v>6190</v>
      </c>
      <c r="B869" t="s">
        <v>467</v>
      </c>
      <c r="C869">
        <v>5.26</v>
      </c>
      <c r="D869">
        <f>VLOOKUP(A869,收盤價!A:C,3,0)</f>
        <v>6.11</v>
      </c>
      <c r="E869" s="164">
        <v>0.16159695817490505</v>
      </c>
      <c r="F869">
        <v>45.17</v>
      </c>
    </row>
    <row r="870" spans="1:6">
      <c r="A870">
        <v>1321</v>
      </c>
      <c r="B870" t="s">
        <v>586</v>
      </c>
      <c r="C870">
        <v>22.9</v>
      </c>
      <c r="D870">
        <f>VLOOKUP(A870,收盤價!A:C,3,0)</f>
        <v>26.6</v>
      </c>
      <c r="E870" s="164">
        <v>0.16157205240174685</v>
      </c>
      <c r="F870">
        <v>45.11</v>
      </c>
    </row>
    <row r="871" spans="1:6">
      <c r="A871">
        <v>1447</v>
      </c>
      <c r="B871" t="s">
        <v>619</v>
      </c>
      <c r="C871">
        <v>7.25</v>
      </c>
      <c r="D871">
        <f>VLOOKUP(A871,收盤價!A:C,3,0)</f>
        <v>8.42</v>
      </c>
      <c r="E871" s="164">
        <v>0.16137931034482758</v>
      </c>
      <c r="F871">
        <v>45.05</v>
      </c>
    </row>
    <row r="872" spans="1:6">
      <c r="A872">
        <v>2916</v>
      </c>
      <c r="B872" t="s">
        <v>1463</v>
      </c>
      <c r="C872">
        <v>15.5</v>
      </c>
      <c r="D872">
        <f>VLOOKUP(A872,收盤價!A:C,3,0)</f>
        <v>18</v>
      </c>
      <c r="E872" s="164">
        <v>0.16129032258064516</v>
      </c>
      <c r="F872">
        <v>44.98</v>
      </c>
    </row>
    <row r="873" spans="1:6">
      <c r="A873">
        <v>1605</v>
      </c>
      <c r="B873" t="s">
        <v>685</v>
      </c>
      <c r="C873">
        <v>6.16</v>
      </c>
      <c r="D873">
        <f>VLOOKUP(A873,收盤價!A:C,3,0)</f>
        <v>7.15</v>
      </c>
      <c r="E873" s="164">
        <v>0.16071428571428575</v>
      </c>
      <c r="F873">
        <v>44.92</v>
      </c>
    </row>
    <row r="874" spans="1:6">
      <c r="A874">
        <v>1258</v>
      </c>
      <c r="B874" t="s">
        <v>1437</v>
      </c>
      <c r="C874">
        <v>33.35</v>
      </c>
      <c r="D874">
        <f>VLOOKUP(A874,收盤價!A:C,3,0)</f>
        <v>38.700000000000003</v>
      </c>
      <c r="E874" s="164">
        <v>0.16041979010494756</v>
      </c>
      <c r="F874">
        <v>44.86</v>
      </c>
    </row>
    <row r="875" spans="1:6">
      <c r="A875">
        <v>3259</v>
      </c>
      <c r="B875" t="s">
        <v>1494</v>
      </c>
      <c r="C875">
        <v>24.35</v>
      </c>
      <c r="D875">
        <f>VLOOKUP(A875,收盤價!A:C,3,0)</f>
        <v>28.25</v>
      </c>
      <c r="E875" s="164">
        <v>0.16016427104722786</v>
      </c>
      <c r="F875">
        <v>44.79</v>
      </c>
    </row>
    <row r="876" spans="1:6">
      <c r="A876">
        <v>4533</v>
      </c>
      <c r="B876" t="s">
        <v>1606</v>
      </c>
      <c r="C876">
        <v>10</v>
      </c>
      <c r="D876">
        <f>VLOOKUP(A876,收盤價!A:C,3,0)</f>
        <v>11.6</v>
      </c>
      <c r="E876" s="164">
        <v>0.15999999999999998</v>
      </c>
      <c r="F876">
        <v>44.73</v>
      </c>
    </row>
    <row r="877" spans="1:6">
      <c r="A877">
        <v>9951</v>
      </c>
      <c r="B877" t="s">
        <v>1850</v>
      </c>
      <c r="C877">
        <v>134.5</v>
      </c>
      <c r="D877">
        <f>VLOOKUP(A877,收盤價!A:C,3,0)</f>
        <v>156</v>
      </c>
      <c r="E877" s="164">
        <v>0.15985130111524162</v>
      </c>
      <c r="F877">
        <v>44.67</v>
      </c>
    </row>
    <row r="878" spans="1:6">
      <c r="A878">
        <v>6505</v>
      </c>
      <c r="B878" t="s">
        <v>1332</v>
      </c>
      <c r="C878">
        <v>65.099999999999994</v>
      </c>
      <c r="D878">
        <f>VLOOKUP(A878,收盤價!A:C,3,0)</f>
        <v>75.5</v>
      </c>
      <c r="E878" s="164">
        <v>0.15975422427035341</v>
      </c>
      <c r="F878">
        <v>44.61</v>
      </c>
    </row>
    <row r="879" spans="1:6">
      <c r="A879">
        <v>2707</v>
      </c>
      <c r="B879" t="s">
        <v>991</v>
      </c>
      <c r="C879">
        <v>194.5</v>
      </c>
      <c r="D879">
        <f>VLOOKUP(A879,收盤價!A:C,3,0)</f>
        <v>225.5</v>
      </c>
      <c r="E879" s="164">
        <v>0.15938303341902313</v>
      </c>
      <c r="F879">
        <v>44.54</v>
      </c>
    </row>
    <row r="880" spans="1:6">
      <c r="A880">
        <v>5471</v>
      </c>
      <c r="B880" t="s">
        <v>1240</v>
      </c>
      <c r="C880">
        <v>31.4</v>
      </c>
      <c r="D880">
        <f>VLOOKUP(A880,收盤價!A:C,3,0)</f>
        <v>36.4</v>
      </c>
      <c r="E880" s="164">
        <v>0.15923566878980894</v>
      </c>
      <c r="F880">
        <v>44.48</v>
      </c>
    </row>
    <row r="881" spans="1:6">
      <c r="A881">
        <v>6269</v>
      </c>
      <c r="B881" t="s">
        <v>1308</v>
      </c>
      <c r="C881">
        <v>79.3</v>
      </c>
      <c r="D881">
        <f>VLOOKUP(A881,收盤價!A:C,3,0)</f>
        <v>91.9</v>
      </c>
      <c r="E881" s="164">
        <v>0.15889029003783114</v>
      </c>
      <c r="F881">
        <v>44.42</v>
      </c>
    </row>
    <row r="882" spans="1:6">
      <c r="A882">
        <v>1810</v>
      </c>
      <c r="B882" t="s">
        <v>738</v>
      </c>
      <c r="C882">
        <v>6.9</v>
      </c>
      <c r="D882">
        <f>VLOOKUP(A882,收盤價!A:C,3,0)</f>
        <v>7.99</v>
      </c>
      <c r="E882" s="164">
        <v>0.15797101449275358</v>
      </c>
      <c r="F882">
        <v>44.35</v>
      </c>
    </row>
    <row r="883" spans="1:6">
      <c r="A883">
        <v>3285</v>
      </c>
      <c r="B883" t="s">
        <v>312</v>
      </c>
      <c r="C883">
        <v>27.9</v>
      </c>
      <c r="D883">
        <f>VLOOKUP(A883,收盤價!A:C,3,0)</f>
        <v>32.299999999999997</v>
      </c>
      <c r="E883" s="164">
        <v>0.15770609318996412</v>
      </c>
      <c r="F883">
        <v>44.29</v>
      </c>
    </row>
    <row r="884" spans="1:6">
      <c r="A884">
        <v>8213</v>
      </c>
      <c r="B884" t="s">
        <v>1355</v>
      </c>
      <c r="C884">
        <v>29.85</v>
      </c>
      <c r="D884">
        <f>VLOOKUP(A884,收盤價!A:C,3,0)</f>
        <v>34.549999999999997</v>
      </c>
      <c r="E884" s="164">
        <v>0.15745393634840857</v>
      </c>
      <c r="F884">
        <v>44.23</v>
      </c>
    </row>
    <row r="885" spans="1:6">
      <c r="A885">
        <v>3332</v>
      </c>
      <c r="B885" t="s">
        <v>320</v>
      </c>
      <c r="C885">
        <v>33</v>
      </c>
      <c r="D885">
        <f>VLOOKUP(A885,收盤價!A:C,3,0)</f>
        <v>38.15</v>
      </c>
      <c r="E885" s="164">
        <v>0.15606060606060601</v>
      </c>
      <c r="F885">
        <v>44.16</v>
      </c>
    </row>
    <row r="886" spans="1:6">
      <c r="A886">
        <v>1465</v>
      </c>
      <c r="B886" t="s">
        <v>632</v>
      </c>
      <c r="C886">
        <v>12.5</v>
      </c>
      <c r="D886">
        <f>VLOOKUP(A886,收盤價!A:C,3,0)</f>
        <v>14.45</v>
      </c>
      <c r="E886" s="164">
        <v>0.15599999999999994</v>
      </c>
      <c r="F886">
        <v>44.1</v>
      </c>
    </row>
    <row r="887" spans="1:6">
      <c r="A887">
        <v>5489</v>
      </c>
      <c r="B887" t="s">
        <v>1683</v>
      </c>
      <c r="C887">
        <v>45.85</v>
      </c>
      <c r="D887">
        <f>VLOOKUP(A887,收盤價!A:C,3,0)</f>
        <v>53</v>
      </c>
      <c r="E887" s="164">
        <v>0.15594329334787346</v>
      </c>
      <c r="F887">
        <v>44.04</v>
      </c>
    </row>
    <row r="888" spans="1:6">
      <c r="A888">
        <v>5484</v>
      </c>
      <c r="B888" t="s">
        <v>1241</v>
      </c>
      <c r="C888">
        <v>3.55</v>
      </c>
      <c r="D888">
        <f>VLOOKUP(A888,收盤價!A:C,3,0)</f>
        <v>4.0999999999999996</v>
      </c>
      <c r="E888" s="164">
        <v>0.15492957746478869</v>
      </c>
      <c r="F888">
        <v>43.97</v>
      </c>
    </row>
    <row r="889" spans="1:6">
      <c r="A889">
        <v>6234</v>
      </c>
      <c r="B889" t="s">
        <v>478</v>
      </c>
      <c r="C889">
        <v>16.55</v>
      </c>
      <c r="D889">
        <f>VLOOKUP(A889,收盤價!A:C,3,0)</f>
        <v>19.100000000000001</v>
      </c>
      <c r="E889" s="164">
        <v>0.15407854984894265</v>
      </c>
      <c r="F889">
        <v>43.91</v>
      </c>
    </row>
    <row r="890" spans="1:6">
      <c r="A890">
        <v>2012</v>
      </c>
      <c r="B890" t="s">
        <v>753</v>
      </c>
      <c r="C890">
        <v>12.4</v>
      </c>
      <c r="D890">
        <f>VLOOKUP(A890,收盤價!A:C,3,0)</f>
        <v>14.3</v>
      </c>
      <c r="E890" s="164">
        <v>0.15322580645161293</v>
      </c>
      <c r="F890">
        <v>43.85</v>
      </c>
    </row>
    <row r="891" spans="1:6">
      <c r="A891">
        <v>6292</v>
      </c>
      <c r="B891" t="s">
        <v>1766</v>
      </c>
      <c r="C891">
        <v>24.25</v>
      </c>
      <c r="D891">
        <f>VLOOKUP(A891,收盤價!A:C,3,0)</f>
        <v>27.95</v>
      </c>
      <c r="E891" s="164">
        <v>0.15257731958762882</v>
      </c>
      <c r="F891">
        <v>43.79</v>
      </c>
    </row>
    <row r="892" spans="1:6">
      <c r="A892">
        <v>6166</v>
      </c>
      <c r="B892" t="s">
        <v>1278</v>
      </c>
      <c r="C892">
        <v>71.5</v>
      </c>
      <c r="D892">
        <f>VLOOKUP(A892,收盤價!A:C,3,0)</f>
        <v>82.4</v>
      </c>
      <c r="E892" s="164">
        <v>0.15244755244755254</v>
      </c>
      <c r="F892">
        <v>43.72</v>
      </c>
    </row>
    <row r="893" spans="1:6">
      <c r="A893">
        <v>2059</v>
      </c>
      <c r="B893" t="s">
        <v>773</v>
      </c>
      <c r="C893">
        <v>364.5</v>
      </c>
      <c r="D893">
        <f>VLOOKUP(A893,收盤價!A:C,3,0)</f>
        <v>420</v>
      </c>
      <c r="E893" s="164">
        <v>0.15226337448559671</v>
      </c>
      <c r="F893">
        <v>43.66</v>
      </c>
    </row>
    <row r="894" spans="1:6">
      <c r="A894">
        <v>6404</v>
      </c>
      <c r="B894" t="s">
        <v>1769</v>
      </c>
      <c r="C894">
        <v>39.799999999999997</v>
      </c>
      <c r="D894">
        <f>VLOOKUP(A894,收盤價!A:C,3,0)</f>
        <v>45.85</v>
      </c>
      <c r="E894" s="164">
        <v>0.15201005025125641</v>
      </c>
      <c r="F894">
        <v>43.6</v>
      </c>
    </row>
    <row r="895" spans="1:6">
      <c r="A895">
        <v>1451</v>
      </c>
      <c r="B895" t="s">
        <v>621</v>
      </c>
      <c r="C895">
        <v>18.100000000000001</v>
      </c>
      <c r="D895">
        <f>VLOOKUP(A895,收盤價!A:C,3,0)</f>
        <v>20.85</v>
      </c>
      <c r="E895" s="164">
        <v>0.15193370165745856</v>
      </c>
      <c r="F895">
        <v>43.53</v>
      </c>
    </row>
    <row r="896" spans="1:6">
      <c r="A896">
        <v>4714</v>
      </c>
      <c r="B896" t="s">
        <v>389</v>
      </c>
      <c r="C896">
        <v>7.44</v>
      </c>
      <c r="D896">
        <f>VLOOKUP(A896,收盤價!A:C,3,0)</f>
        <v>8.57</v>
      </c>
      <c r="E896" s="164">
        <v>0.1518817204301075</v>
      </c>
      <c r="F896">
        <v>43.47</v>
      </c>
    </row>
    <row r="897" spans="1:6">
      <c r="A897">
        <v>5480</v>
      </c>
      <c r="B897" t="s">
        <v>1679</v>
      </c>
      <c r="C897">
        <v>9.68</v>
      </c>
      <c r="D897">
        <f>VLOOKUP(A897,收盤價!A:C,3,0)</f>
        <v>11.15</v>
      </c>
      <c r="E897" s="164">
        <v>0.15185950413223148</v>
      </c>
      <c r="F897">
        <v>43.41</v>
      </c>
    </row>
    <row r="898" spans="1:6">
      <c r="A898">
        <v>3431</v>
      </c>
      <c r="B898" t="s">
        <v>1515</v>
      </c>
      <c r="C898">
        <v>7.38</v>
      </c>
      <c r="D898">
        <f>VLOOKUP(A898,收盤價!A:C,3,0)</f>
        <v>8.5</v>
      </c>
      <c r="E898" s="164">
        <v>0.15176151761517617</v>
      </c>
      <c r="F898">
        <v>43.34</v>
      </c>
    </row>
    <row r="899" spans="1:6">
      <c r="A899">
        <v>1618</v>
      </c>
      <c r="B899" t="s">
        <v>695</v>
      </c>
      <c r="C899">
        <v>6.01</v>
      </c>
      <c r="D899">
        <f>VLOOKUP(A899,收盤價!A:C,3,0)</f>
        <v>6.92</v>
      </c>
      <c r="E899" s="164">
        <v>0.15141430948419304</v>
      </c>
      <c r="F899">
        <v>43.28</v>
      </c>
    </row>
    <row r="900" spans="1:6">
      <c r="A900">
        <v>4972</v>
      </c>
      <c r="B900" t="s">
        <v>1631</v>
      </c>
      <c r="C900">
        <v>32.700000000000003</v>
      </c>
      <c r="D900">
        <f>VLOOKUP(A900,收盤價!A:C,3,0)</f>
        <v>37.65</v>
      </c>
      <c r="E900" s="164">
        <v>0.1513761467889907</v>
      </c>
      <c r="F900">
        <v>43.22</v>
      </c>
    </row>
    <row r="901" spans="1:6">
      <c r="A901">
        <v>6171</v>
      </c>
      <c r="B901" t="s">
        <v>462</v>
      </c>
      <c r="C901">
        <v>12.9</v>
      </c>
      <c r="D901">
        <f>VLOOKUP(A901,收盤價!A:C,3,0)</f>
        <v>14.85</v>
      </c>
      <c r="E901" s="164">
        <v>0.15116279069767435</v>
      </c>
      <c r="F901">
        <v>43.15</v>
      </c>
    </row>
    <row r="902" spans="1:6">
      <c r="A902">
        <v>6206</v>
      </c>
      <c r="B902" t="s">
        <v>1293</v>
      </c>
      <c r="C902">
        <v>81.599999999999994</v>
      </c>
      <c r="D902">
        <f>VLOOKUP(A902,收盤價!A:C,3,0)</f>
        <v>93.9</v>
      </c>
      <c r="E902" s="164">
        <v>0.15073529411764722</v>
      </c>
      <c r="F902">
        <v>43.09</v>
      </c>
    </row>
    <row r="903" spans="1:6">
      <c r="A903">
        <v>6431</v>
      </c>
      <c r="B903" t="s">
        <v>1324</v>
      </c>
      <c r="C903">
        <v>8.6</v>
      </c>
      <c r="D903">
        <f>VLOOKUP(A903,收盤價!A:C,3,0)</f>
        <v>9.89</v>
      </c>
      <c r="E903" s="164">
        <v>0.15000000000000011</v>
      </c>
      <c r="F903">
        <v>43.03</v>
      </c>
    </row>
    <row r="904" spans="1:6">
      <c r="A904">
        <v>3081</v>
      </c>
      <c r="B904" t="s">
        <v>1471</v>
      </c>
      <c r="C904">
        <v>362</v>
      </c>
      <c r="D904">
        <f>VLOOKUP(A904,收盤價!A:C,3,0)</f>
        <v>416</v>
      </c>
      <c r="E904" s="164">
        <v>0.14917127071823205</v>
      </c>
      <c r="F904">
        <v>42.97</v>
      </c>
    </row>
    <row r="905" spans="1:6">
      <c r="A905">
        <v>1609</v>
      </c>
      <c r="B905" t="s">
        <v>687</v>
      </c>
      <c r="C905">
        <v>4.05</v>
      </c>
      <c r="D905">
        <f>VLOOKUP(A905,收盤價!A:C,3,0)</f>
        <v>4.6500000000000004</v>
      </c>
      <c r="E905" s="164">
        <v>0.14814814814814828</v>
      </c>
      <c r="F905">
        <v>42.9</v>
      </c>
    </row>
    <row r="906" spans="1:6">
      <c r="A906">
        <v>6506</v>
      </c>
      <c r="B906" t="s">
        <v>1774</v>
      </c>
      <c r="C906">
        <v>15.55</v>
      </c>
      <c r="D906">
        <f>VLOOKUP(A906,收盤價!A:C,3,0)</f>
        <v>17.850000000000001</v>
      </c>
      <c r="E906" s="164">
        <v>0.14790996784565921</v>
      </c>
      <c r="F906">
        <v>42.84</v>
      </c>
    </row>
    <row r="907" spans="1:6">
      <c r="A907">
        <v>2311</v>
      </c>
      <c r="B907" t="s">
        <v>800</v>
      </c>
      <c r="C907">
        <v>31.8</v>
      </c>
      <c r="D907">
        <f>VLOOKUP(A907,收盤價!A:C,3,0)</f>
        <v>36.5</v>
      </c>
      <c r="E907" s="164">
        <v>0.14779874213836475</v>
      </c>
      <c r="F907">
        <v>42.78</v>
      </c>
    </row>
    <row r="908" spans="1:6">
      <c r="A908">
        <v>4429</v>
      </c>
      <c r="B908" t="s">
        <v>380</v>
      </c>
      <c r="C908">
        <v>21</v>
      </c>
      <c r="D908">
        <f>VLOOKUP(A908,收盤價!A:C,3,0)</f>
        <v>24.1</v>
      </c>
      <c r="E908" s="164">
        <v>0.14761904761904768</v>
      </c>
      <c r="F908">
        <v>42.71</v>
      </c>
    </row>
    <row r="909" spans="1:6">
      <c r="A909">
        <v>3054</v>
      </c>
      <c r="B909" t="s">
        <v>1090</v>
      </c>
      <c r="C909">
        <v>15.3</v>
      </c>
      <c r="D909">
        <f>VLOOKUP(A909,收盤價!A:C,3,0)</f>
        <v>17.55</v>
      </c>
      <c r="E909" s="164">
        <v>0.14705882352941177</v>
      </c>
      <c r="F909">
        <v>42.65</v>
      </c>
    </row>
    <row r="910" spans="1:6">
      <c r="A910">
        <v>2634</v>
      </c>
      <c r="B910" t="s">
        <v>983</v>
      </c>
      <c r="C910">
        <v>34.799999999999997</v>
      </c>
      <c r="D910">
        <f>VLOOKUP(A910,收盤價!A:C,3,0)</f>
        <v>39.9</v>
      </c>
      <c r="E910" s="164">
        <v>0.14655172413793108</v>
      </c>
      <c r="F910">
        <v>42.59</v>
      </c>
    </row>
    <row r="911" spans="1:6">
      <c r="A911">
        <v>6209</v>
      </c>
      <c r="B911" t="s">
        <v>1294</v>
      </c>
      <c r="C911">
        <v>13.65</v>
      </c>
      <c r="D911">
        <f>VLOOKUP(A911,收盤價!A:C,3,0)</f>
        <v>15.65</v>
      </c>
      <c r="E911" s="164">
        <v>0.14652014652014653</v>
      </c>
      <c r="F911">
        <v>42.52</v>
      </c>
    </row>
    <row r="912" spans="1:6">
      <c r="A912">
        <v>6412</v>
      </c>
      <c r="B912" t="s">
        <v>1320</v>
      </c>
      <c r="C912">
        <v>28.35</v>
      </c>
      <c r="D912">
        <f>VLOOKUP(A912,收盤價!A:C,3,0)</f>
        <v>32.5</v>
      </c>
      <c r="E912" s="164">
        <v>0.14638447971781299</v>
      </c>
      <c r="F912">
        <v>42.46</v>
      </c>
    </row>
    <row r="913" spans="1:6">
      <c r="A913">
        <v>5530</v>
      </c>
      <c r="B913" t="s">
        <v>1693</v>
      </c>
      <c r="C913">
        <v>53.3</v>
      </c>
      <c r="D913">
        <f>VLOOKUP(A913,收盤價!A:C,3,0)</f>
        <v>61.1</v>
      </c>
      <c r="E913" s="164">
        <v>0.14634146341463422</v>
      </c>
      <c r="F913">
        <v>42.4</v>
      </c>
    </row>
    <row r="914" spans="1:6">
      <c r="A914">
        <v>1504</v>
      </c>
      <c r="B914" t="s">
        <v>646</v>
      </c>
      <c r="C914">
        <v>22.6</v>
      </c>
      <c r="D914">
        <f>VLOOKUP(A914,收盤價!A:C,3,0)</f>
        <v>25.9</v>
      </c>
      <c r="E914" s="164">
        <v>0.14601769911504411</v>
      </c>
      <c r="F914">
        <v>42.33</v>
      </c>
    </row>
    <row r="915" spans="1:6">
      <c r="A915">
        <v>4938</v>
      </c>
      <c r="B915" t="s">
        <v>1214</v>
      </c>
      <c r="C915">
        <v>74.8</v>
      </c>
      <c r="D915">
        <f>VLOOKUP(A915,收盤價!A:C,3,0)</f>
        <v>85.7</v>
      </c>
      <c r="E915" s="164">
        <v>0.14572192513368992</v>
      </c>
      <c r="F915">
        <v>42.27</v>
      </c>
    </row>
    <row r="916" spans="1:6">
      <c r="A916">
        <v>9902</v>
      </c>
      <c r="B916" t="s">
        <v>1398</v>
      </c>
      <c r="C916">
        <v>8.73</v>
      </c>
      <c r="D916">
        <f>VLOOKUP(A916,收盤價!A:C,3,0)</f>
        <v>10</v>
      </c>
      <c r="E916" s="164">
        <v>0.14547537227949595</v>
      </c>
      <c r="F916">
        <v>42.21</v>
      </c>
    </row>
    <row r="917" spans="1:6">
      <c r="A917">
        <v>2849</v>
      </c>
      <c r="B917" t="s">
        <v>1010</v>
      </c>
      <c r="C917">
        <v>14.8</v>
      </c>
      <c r="D917">
        <f>VLOOKUP(A917,收盤價!A:C,3,0)</f>
        <v>16.95</v>
      </c>
      <c r="E917" s="164">
        <v>0.14527027027027017</v>
      </c>
      <c r="F917">
        <v>42.15</v>
      </c>
    </row>
    <row r="918" spans="1:6">
      <c r="A918">
        <v>4977</v>
      </c>
      <c r="B918" t="s">
        <v>1221</v>
      </c>
      <c r="C918">
        <v>52.5</v>
      </c>
      <c r="D918">
        <f>VLOOKUP(A918,收盤價!A:C,3,0)</f>
        <v>60.1</v>
      </c>
      <c r="E918" s="164">
        <v>0.14476190476190479</v>
      </c>
      <c r="F918">
        <v>42.08</v>
      </c>
    </row>
    <row r="919" spans="1:6">
      <c r="A919">
        <v>3167</v>
      </c>
      <c r="B919" t="s">
        <v>1103</v>
      </c>
      <c r="C919">
        <v>24.9</v>
      </c>
      <c r="D919">
        <f>VLOOKUP(A919,收盤價!A:C,3,0)</f>
        <v>28.5</v>
      </c>
      <c r="E919" s="164">
        <v>0.14457831325301213</v>
      </c>
      <c r="F919">
        <v>42.02</v>
      </c>
    </row>
    <row r="920" spans="1:6">
      <c r="A920">
        <v>6216</v>
      </c>
      <c r="B920" t="s">
        <v>1298</v>
      </c>
      <c r="C920">
        <v>24.3</v>
      </c>
      <c r="D920">
        <f>VLOOKUP(A920,收盤價!A:C,3,0)</f>
        <v>27.8</v>
      </c>
      <c r="E920" s="164">
        <v>0.14403292181069957</v>
      </c>
      <c r="F920">
        <v>41.96</v>
      </c>
    </row>
    <row r="921" spans="1:6">
      <c r="A921">
        <v>8926</v>
      </c>
      <c r="B921" t="s">
        <v>1371</v>
      </c>
      <c r="C921">
        <v>20.2</v>
      </c>
      <c r="D921">
        <f>VLOOKUP(A921,收盤價!A:C,3,0)</f>
        <v>23.1</v>
      </c>
      <c r="E921" s="164">
        <v>0.14356435643564366</v>
      </c>
      <c r="F921">
        <v>41.89</v>
      </c>
    </row>
    <row r="922" spans="1:6">
      <c r="A922">
        <v>8374</v>
      </c>
      <c r="B922" t="s">
        <v>1362</v>
      </c>
      <c r="C922">
        <v>9.27</v>
      </c>
      <c r="D922">
        <f>VLOOKUP(A922,收盤價!A:C,3,0)</f>
        <v>10.6</v>
      </c>
      <c r="E922" s="164">
        <v>0.1434735706580367</v>
      </c>
      <c r="F922">
        <v>41.83</v>
      </c>
    </row>
    <row r="923" spans="1:6">
      <c r="A923">
        <v>1434</v>
      </c>
      <c r="B923" t="s">
        <v>606</v>
      </c>
      <c r="C923">
        <v>26.5</v>
      </c>
      <c r="D923">
        <f>VLOOKUP(A923,收盤價!A:C,3,0)</f>
        <v>30.3</v>
      </c>
      <c r="E923" s="164">
        <v>0.14339622641509436</v>
      </c>
      <c r="F923">
        <v>41.77</v>
      </c>
    </row>
    <row r="924" spans="1:6">
      <c r="A924">
        <v>3577</v>
      </c>
      <c r="B924" t="s">
        <v>1541</v>
      </c>
      <c r="C924">
        <v>25.9</v>
      </c>
      <c r="D924">
        <f>VLOOKUP(A924,收盤價!A:C,3,0)</f>
        <v>29.6</v>
      </c>
      <c r="E924" s="164">
        <v>0.14285714285714299</v>
      </c>
      <c r="F924">
        <v>41.7</v>
      </c>
    </row>
    <row r="925" spans="1:6">
      <c r="A925">
        <v>2308</v>
      </c>
      <c r="B925" t="s">
        <v>799</v>
      </c>
      <c r="C925">
        <v>140</v>
      </c>
      <c r="D925">
        <f>VLOOKUP(A925,收盤價!A:C,3,0)</f>
        <v>160</v>
      </c>
      <c r="E925" s="164">
        <v>0.14285714285714285</v>
      </c>
      <c r="F925">
        <v>41.64</v>
      </c>
    </row>
    <row r="926" spans="1:6">
      <c r="A926">
        <v>2313</v>
      </c>
      <c r="B926" t="s">
        <v>802</v>
      </c>
      <c r="C926">
        <v>18.95</v>
      </c>
      <c r="D926">
        <f>VLOOKUP(A926,收盤價!A:C,3,0)</f>
        <v>21.65</v>
      </c>
      <c r="E926" s="164">
        <v>0.14248021108179415</v>
      </c>
      <c r="F926">
        <v>41.58</v>
      </c>
    </row>
    <row r="927" spans="1:6">
      <c r="A927">
        <v>1612</v>
      </c>
      <c r="B927" t="s">
        <v>689</v>
      </c>
      <c r="C927">
        <v>7.55</v>
      </c>
      <c r="D927">
        <f>VLOOKUP(A927,收盤價!A:C,3,0)</f>
        <v>8.6199999999999992</v>
      </c>
      <c r="E927" s="164">
        <v>0.14172185430463569</v>
      </c>
      <c r="F927">
        <v>41.51</v>
      </c>
    </row>
    <row r="928" spans="1:6">
      <c r="A928">
        <v>9925</v>
      </c>
      <c r="B928" t="s">
        <v>1413</v>
      </c>
      <c r="C928">
        <v>33.9</v>
      </c>
      <c r="D928">
        <f>VLOOKUP(A928,收盤價!A:C,3,0)</f>
        <v>38.700000000000003</v>
      </c>
      <c r="E928" s="164">
        <v>0.14159292035398244</v>
      </c>
      <c r="F928">
        <v>41.45</v>
      </c>
    </row>
    <row r="929" spans="1:6">
      <c r="A929">
        <v>1580</v>
      </c>
      <c r="B929" t="s">
        <v>1440</v>
      </c>
      <c r="C929">
        <v>99</v>
      </c>
      <c r="D929">
        <f>VLOOKUP(A929,收盤價!A:C,3,0)</f>
        <v>113</v>
      </c>
      <c r="E929" s="164">
        <v>0.14141414141414141</v>
      </c>
      <c r="F929">
        <v>41.39</v>
      </c>
    </row>
    <row r="930" spans="1:6">
      <c r="A930">
        <v>2359</v>
      </c>
      <c r="B930" t="s">
        <v>833</v>
      </c>
      <c r="C930">
        <v>13.45</v>
      </c>
      <c r="D930">
        <f>VLOOKUP(A930,收盤價!A:C,3,0)</f>
        <v>15.35</v>
      </c>
      <c r="E930" s="164">
        <v>0.14126394052044614</v>
      </c>
      <c r="F930">
        <v>41.32</v>
      </c>
    </row>
    <row r="931" spans="1:6">
      <c r="A931">
        <v>2545</v>
      </c>
      <c r="B931" t="s">
        <v>962</v>
      </c>
      <c r="C931">
        <v>22.4</v>
      </c>
      <c r="D931">
        <f>VLOOKUP(A931,收盤價!A:C,3,0)</f>
        <v>25.55</v>
      </c>
      <c r="E931" s="164">
        <v>0.14062500000000011</v>
      </c>
      <c r="F931">
        <v>41.26</v>
      </c>
    </row>
    <row r="932" spans="1:6">
      <c r="A932">
        <v>2702</v>
      </c>
      <c r="B932" t="s">
        <v>987</v>
      </c>
      <c r="C932">
        <v>13.6</v>
      </c>
      <c r="D932">
        <f>VLOOKUP(A932,收盤價!A:C,3,0)</f>
        <v>15.5</v>
      </c>
      <c r="E932" s="164">
        <v>0.13970588235294121</v>
      </c>
      <c r="F932">
        <v>41.2</v>
      </c>
    </row>
    <row r="933" spans="1:6">
      <c r="A933">
        <v>6183</v>
      </c>
      <c r="B933" t="s">
        <v>1283</v>
      </c>
      <c r="C933">
        <v>23.3</v>
      </c>
      <c r="D933">
        <f>VLOOKUP(A933,收盤價!A:C,3,0)</f>
        <v>26.55</v>
      </c>
      <c r="E933" s="164">
        <v>0.13948497854077252</v>
      </c>
      <c r="F933">
        <v>41.14</v>
      </c>
    </row>
    <row r="934" spans="1:6">
      <c r="A934">
        <v>1203</v>
      </c>
      <c r="B934" t="s">
        <v>552</v>
      </c>
      <c r="C934">
        <v>20.149999999999999</v>
      </c>
      <c r="D934">
        <f>VLOOKUP(A934,收盤價!A:C,3,0)</f>
        <v>22.95</v>
      </c>
      <c r="E934" s="164">
        <v>0.13895781637717125</v>
      </c>
      <c r="F934">
        <v>41.07</v>
      </c>
    </row>
    <row r="935" spans="1:6">
      <c r="A935">
        <v>2031</v>
      </c>
      <c r="B935" t="s">
        <v>767</v>
      </c>
      <c r="C935">
        <v>10.8</v>
      </c>
      <c r="D935">
        <f>VLOOKUP(A935,收盤價!A:C,3,0)</f>
        <v>12.3</v>
      </c>
      <c r="E935" s="164">
        <v>0.13888888888888887</v>
      </c>
      <c r="F935">
        <v>41.01</v>
      </c>
    </row>
    <row r="936" spans="1:6">
      <c r="A936">
        <v>3607</v>
      </c>
      <c r="B936" t="s">
        <v>1159</v>
      </c>
      <c r="C936">
        <v>49</v>
      </c>
      <c r="D936">
        <f>VLOOKUP(A936,收盤價!A:C,3,0)</f>
        <v>55.8</v>
      </c>
      <c r="E936" s="164">
        <v>0.13877551020408158</v>
      </c>
      <c r="F936">
        <v>40.950000000000003</v>
      </c>
    </row>
    <row r="937" spans="1:6">
      <c r="A937">
        <v>6105</v>
      </c>
      <c r="B937" t="s">
        <v>1709</v>
      </c>
      <c r="C937">
        <v>37.5</v>
      </c>
      <c r="D937">
        <f>VLOOKUP(A937,收盤價!A:C,3,0)</f>
        <v>42.7</v>
      </c>
      <c r="E937" s="164">
        <v>0.13866666666666674</v>
      </c>
      <c r="F937">
        <v>40.880000000000003</v>
      </c>
    </row>
    <row r="938" spans="1:6">
      <c r="A938">
        <v>5475</v>
      </c>
      <c r="B938" t="s">
        <v>1678</v>
      </c>
      <c r="C938">
        <v>3.25</v>
      </c>
      <c r="D938">
        <f>VLOOKUP(A938,收盤價!A:C,3,0)</f>
        <v>3.7</v>
      </c>
      <c r="E938" s="164">
        <v>0.13846153846153852</v>
      </c>
      <c r="F938">
        <v>40.82</v>
      </c>
    </row>
    <row r="939" spans="1:6">
      <c r="A939">
        <v>2101</v>
      </c>
      <c r="B939" t="s">
        <v>775</v>
      </c>
      <c r="C939">
        <v>25.3</v>
      </c>
      <c r="D939">
        <f>VLOOKUP(A939,收盤價!A:C,3,0)</f>
        <v>28.8</v>
      </c>
      <c r="E939" s="164">
        <v>0.13833992094861661</v>
      </c>
      <c r="F939">
        <v>40.76</v>
      </c>
    </row>
    <row r="940" spans="1:6">
      <c r="A940">
        <v>5013</v>
      </c>
      <c r="B940" t="s">
        <v>1636</v>
      </c>
      <c r="C940">
        <v>14.15</v>
      </c>
      <c r="D940">
        <f>VLOOKUP(A940,收盤價!A:C,3,0)</f>
        <v>16.100000000000001</v>
      </c>
      <c r="E940" s="164">
        <v>0.13780918727915201</v>
      </c>
      <c r="F940">
        <v>40.69</v>
      </c>
    </row>
    <row r="941" spans="1:6">
      <c r="A941">
        <v>5392</v>
      </c>
      <c r="B941" t="s">
        <v>1669</v>
      </c>
      <c r="C941">
        <v>47.9</v>
      </c>
      <c r="D941">
        <f>VLOOKUP(A941,收盤價!A:C,3,0)</f>
        <v>54.5</v>
      </c>
      <c r="E941" s="164">
        <v>0.13778705636743219</v>
      </c>
      <c r="F941">
        <v>40.630000000000003</v>
      </c>
    </row>
    <row r="942" spans="1:6">
      <c r="A942">
        <v>6236</v>
      </c>
      <c r="B942" t="s">
        <v>479</v>
      </c>
      <c r="C942">
        <v>29.1</v>
      </c>
      <c r="D942">
        <f>VLOOKUP(A942,收盤價!A:C,3,0)</f>
        <v>33.1</v>
      </c>
      <c r="E942" s="164">
        <v>0.1374570446735395</v>
      </c>
      <c r="F942">
        <v>40.57</v>
      </c>
    </row>
    <row r="943" spans="1:6">
      <c r="A943">
        <v>9103</v>
      </c>
      <c r="B943" t="s">
        <v>1374</v>
      </c>
      <c r="C943">
        <v>1.75</v>
      </c>
      <c r="D943">
        <f>VLOOKUP(A943,收盤價!A:C,3,0)</f>
        <v>1.99</v>
      </c>
      <c r="E943" s="164">
        <v>0.13714285714285715</v>
      </c>
      <c r="F943">
        <v>40.5</v>
      </c>
    </row>
    <row r="944" spans="1:6">
      <c r="A944">
        <v>5531</v>
      </c>
      <c r="B944" t="s">
        <v>1247</v>
      </c>
      <c r="C944">
        <v>9.6300000000000008</v>
      </c>
      <c r="D944">
        <f>VLOOKUP(A944,收盤價!A:C,3,0)</f>
        <v>10.95</v>
      </c>
      <c r="E944" s="164">
        <v>0.1370716510903425</v>
      </c>
      <c r="F944">
        <v>40.44</v>
      </c>
    </row>
    <row r="945" spans="1:6">
      <c r="A945">
        <v>6016</v>
      </c>
      <c r="B945" t="s">
        <v>1703</v>
      </c>
      <c r="C945">
        <v>5.7</v>
      </c>
      <c r="D945">
        <f>VLOOKUP(A945,收盤價!A:C,3,0)</f>
        <v>6.48</v>
      </c>
      <c r="E945" s="164">
        <v>0.13684210526315793</v>
      </c>
      <c r="F945">
        <v>40.380000000000003</v>
      </c>
    </row>
    <row r="946" spans="1:6">
      <c r="A946">
        <v>6201</v>
      </c>
      <c r="B946" t="s">
        <v>1290</v>
      </c>
      <c r="C946">
        <v>22.7</v>
      </c>
      <c r="D946">
        <f>VLOOKUP(A946,收盤價!A:C,3,0)</f>
        <v>25.8</v>
      </c>
      <c r="E946" s="164">
        <v>0.13656387665198244</v>
      </c>
      <c r="F946">
        <v>40.32</v>
      </c>
    </row>
    <row r="947" spans="1:6">
      <c r="A947">
        <v>3144</v>
      </c>
      <c r="B947" t="s">
        <v>294</v>
      </c>
      <c r="C947">
        <v>13.95</v>
      </c>
      <c r="D947">
        <f>VLOOKUP(A947,收盤價!A:C,3,0)</f>
        <v>15.85</v>
      </c>
      <c r="E947" s="164">
        <v>0.13620071684587817</v>
      </c>
      <c r="F947">
        <v>40.25</v>
      </c>
    </row>
    <row r="948" spans="1:6">
      <c r="A948">
        <v>2501</v>
      </c>
      <c r="B948" t="s">
        <v>939</v>
      </c>
      <c r="C948">
        <v>11.8</v>
      </c>
      <c r="D948">
        <f>VLOOKUP(A948,收盤價!A:C,3,0)</f>
        <v>13.4</v>
      </c>
      <c r="E948" s="164">
        <v>0.13559322033898302</v>
      </c>
      <c r="F948">
        <v>40.19</v>
      </c>
    </row>
    <row r="949" spans="1:6">
      <c r="A949">
        <v>5521</v>
      </c>
      <c r="B949" t="s">
        <v>1244</v>
      </c>
      <c r="C949">
        <v>9.6</v>
      </c>
      <c r="D949">
        <f>VLOOKUP(A949,收盤價!A:C,3,0)</f>
        <v>10.9</v>
      </c>
      <c r="E949" s="164">
        <v>0.13541666666666674</v>
      </c>
      <c r="F949">
        <v>40.130000000000003</v>
      </c>
    </row>
    <row r="950" spans="1:6">
      <c r="A950">
        <v>1712</v>
      </c>
      <c r="B950" t="s">
        <v>705</v>
      </c>
      <c r="C950">
        <v>12.2</v>
      </c>
      <c r="D950">
        <f>VLOOKUP(A950,收盤價!A:C,3,0)</f>
        <v>13.85</v>
      </c>
      <c r="E950" s="164">
        <v>0.1352459016393443</v>
      </c>
      <c r="F950">
        <v>40.06</v>
      </c>
    </row>
    <row r="951" spans="1:6">
      <c r="A951">
        <v>2719</v>
      </c>
      <c r="B951" t="s">
        <v>282</v>
      </c>
      <c r="C951">
        <v>14.85</v>
      </c>
      <c r="D951">
        <f>VLOOKUP(A951,收盤價!A:C,3,0)</f>
        <v>16.850000000000001</v>
      </c>
      <c r="E951" s="164">
        <v>0.13468013468013482</v>
      </c>
      <c r="F951">
        <v>40</v>
      </c>
    </row>
    <row r="952" spans="1:6">
      <c r="A952">
        <v>2809</v>
      </c>
      <c r="B952" t="s">
        <v>998</v>
      </c>
      <c r="C952">
        <v>20.8</v>
      </c>
      <c r="D952">
        <f>VLOOKUP(A952,收盤價!A:C,3,0)</f>
        <v>23.6</v>
      </c>
      <c r="E952" s="164">
        <v>0.13461538461538464</v>
      </c>
      <c r="F952">
        <v>39.94</v>
      </c>
    </row>
    <row r="953" spans="1:6">
      <c r="A953">
        <v>8016</v>
      </c>
      <c r="B953" t="s">
        <v>1336</v>
      </c>
      <c r="C953">
        <v>79.900000000000006</v>
      </c>
      <c r="D953">
        <f>VLOOKUP(A953,收盤價!A:C,3,0)</f>
        <v>90.6</v>
      </c>
      <c r="E953" s="164">
        <v>0.13391739674593225</v>
      </c>
      <c r="F953">
        <v>39.869999999999997</v>
      </c>
    </row>
    <row r="954" spans="1:6">
      <c r="A954">
        <v>1326</v>
      </c>
      <c r="B954" t="s">
        <v>590</v>
      </c>
      <c r="C954">
        <v>62.1</v>
      </c>
      <c r="D954">
        <f>VLOOKUP(A954,收盤價!A:C,3,0)</f>
        <v>70.400000000000006</v>
      </c>
      <c r="E954" s="164">
        <v>0.13365539452495981</v>
      </c>
      <c r="F954">
        <v>39.81</v>
      </c>
    </row>
    <row r="955" spans="1:6">
      <c r="A955">
        <v>3390</v>
      </c>
      <c r="B955" t="s">
        <v>1513</v>
      </c>
      <c r="C955">
        <v>13.5</v>
      </c>
      <c r="D955">
        <f>VLOOKUP(A955,收盤價!A:C,3,0)</f>
        <v>15.3</v>
      </c>
      <c r="E955" s="164">
        <v>0.13333333333333339</v>
      </c>
      <c r="F955">
        <v>39.75</v>
      </c>
    </row>
    <row r="956" spans="1:6">
      <c r="A956">
        <v>6270</v>
      </c>
      <c r="B956" t="s">
        <v>1760</v>
      </c>
      <c r="C956">
        <v>9.09</v>
      </c>
      <c r="D956">
        <f>VLOOKUP(A956,收盤價!A:C,3,0)</f>
        <v>10.3</v>
      </c>
      <c r="E956" s="164">
        <v>0.13311331133113322</v>
      </c>
      <c r="F956">
        <v>39.68</v>
      </c>
    </row>
    <row r="957" spans="1:6">
      <c r="A957">
        <v>6508</v>
      </c>
      <c r="B957" t="s">
        <v>495</v>
      </c>
      <c r="C957">
        <v>24.8</v>
      </c>
      <c r="D957">
        <f>VLOOKUP(A957,收盤價!A:C,3,0)</f>
        <v>28.1</v>
      </c>
      <c r="E957" s="164">
        <v>0.13306451612903228</v>
      </c>
      <c r="F957">
        <v>39.619999999999997</v>
      </c>
    </row>
    <row r="958" spans="1:6">
      <c r="A958">
        <v>1507</v>
      </c>
      <c r="B958" t="s">
        <v>648</v>
      </c>
      <c r="C958">
        <v>42.9</v>
      </c>
      <c r="D958">
        <f>VLOOKUP(A958,收盤價!A:C,3,0)</f>
        <v>48.6</v>
      </c>
      <c r="E958" s="164">
        <v>0.13286713286713295</v>
      </c>
      <c r="F958">
        <v>39.56</v>
      </c>
    </row>
    <row r="959" spans="1:6">
      <c r="A959">
        <v>4523</v>
      </c>
      <c r="B959" t="s">
        <v>1601</v>
      </c>
      <c r="C959">
        <v>15.85</v>
      </c>
      <c r="D959">
        <f>VLOOKUP(A959,收盤價!A:C,3,0)</f>
        <v>17.95</v>
      </c>
      <c r="E959" s="164">
        <v>0.13249211356466875</v>
      </c>
      <c r="F959">
        <v>39.5</v>
      </c>
    </row>
    <row r="960" spans="1:6">
      <c r="A960">
        <v>1473</v>
      </c>
      <c r="B960" t="s">
        <v>640</v>
      </c>
      <c r="C960">
        <v>22.3</v>
      </c>
      <c r="D960">
        <f>VLOOKUP(A960,收盤價!A:C,3,0)</f>
        <v>25.25</v>
      </c>
      <c r="E960" s="164">
        <v>0.13228699551569503</v>
      </c>
      <c r="F960">
        <v>39.43</v>
      </c>
    </row>
    <row r="961" spans="1:6">
      <c r="A961">
        <v>3071</v>
      </c>
      <c r="B961" t="s">
        <v>1468</v>
      </c>
      <c r="C961">
        <v>5.92</v>
      </c>
      <c r="D961">
        <f>VLOOKUP(A961,收盤價!A:C,3,0)</f>
        <v>6.7</v>
      </c>
      <c r="E961" s="164">
        <v>0.1317567567567568</v>
      </c>
      <c r="F961">
        <v>39.369999999999997</v>
      </c>
    </row>
    <row r="962" spans="1:6">
      <c r="A962">
        <v>5324</v>
      </c>
      <c r="B962" t="s">
        <v>422</v>
      </c>
      <c r="C962">
        <v>9.5</v>
      </c>
      <c r="D962">
        <f>VLOOKUP(A962,收盤價!A:C,3,0)</f>
        <v>10.75</v>
      </c>
      <c r="E962" s="164">
        <v>0.13157894736842105</v>
      </c>
      <c r="F962">
        <v>39.31</v>
      </c>
    </row>
    <row r="963" spans="1:6">
      <c r="A963">
        <v>2913</v>
      </c>
      <c r="B963" t="s">
        <v>1041</v>
      </c>
      <c r="C963">
        <v>12.2</v>
      </c>
      <c r="D963">
        <f>VLOOKUP(A963,收盤價!A:C,3,0)</f>
        <v>13.8</v>
      </c>
      <c r="E963" s="164">
        <v>0.13114754098360668</v>
      </c>
      <c r="F963">
        <v>39.24</v>
      </c>
    </row>
    <row r="964" spans="1:6">
      <c r="A964">
        <v>3284</v>
      </c>
      <c r="B964" t="s">
        <v>311</v>
      </c>
      <c r="C964">
        <v>8.7799999999999994</v>
      </c>
      <c r="D964">
        <f>VLOOKUP(A964,收盤價!A:C,3,0)</f>
        <v>9.93</v>
      </c>
      <c r="E964" s="164">
        <v>0.1309794988610479</v>
      </c>
      <c r="F964">
        <v>39.18</v>
      </c>
    </row>
    <row r="965" spans="1:6">
      <c r="A965">
        <v>5353</v>
      </c>
      <c r="B965" t="s">
        <v>1664</v>
      </c>
      <c r="C965">
        <v>8.1</v>
      </c>
      <c r="D965">
        <f>VLOOKUP(A965,收盤價!A:C,3,0)</f>
        <v>9.16</v>
      </c>
      <c r="E965" s="164">
        <v>0.13086419753086426</v>
      </c>
      <c r="F965">
        <v>39.119999999999997</v>
      </c>
    </row>
    <row r="966" spans="1:6">
      <c r="A966">
        <v>2014</v>
      </c>
      <c r="B966" t="s">
        <v>755</v>
      </c>
      <c r="C966">
        <v>3.77</v>
      </c>
      <c r="D966">
        <f>VLOOKUP(A966,收盤價!A:C,3,0)</f>
        <v>4.26</v>
      </c>
      <c r="E966" s="164">
        <v>0.12997347480106095</v>
      </c>
      <c r="F966">
        <v>39.049999999999997</v>
      </c>
    </row>
    <row r="967" spans="1:6">
      <c r="A967">
        <v>1514</v>
      </c>
      <c r="B967" t="s">
        <v>651</v>
      </c>
      <c r="C967">
        <v>7.39</v>
      </c>
      <c r="D967">
        <f>VLOOKUP(A967,收盤價!A:C,3,0)</f>
        <v>8.35</v>
      </c>
      <c r="E967" s="164">
        <v>0.12990527740189445</v>
      </c>
      <c r="F967">
        <v>38.99</v>
      </c>
    </row>
    <row r="968" spans="1:6">
      <c r="A968">
        <v>3653</v>
      </c>
      <c r="B968" t="s">
        <v>1163</v>
      </c>
      <c r="C968">
        <v>37</v>
      </c>
      <c r="D968">
        <f>VLOOKUP(A968,收盤價!A:C,3,0)</f>
        <v>41.8</v>
      </c>
      <c r="E968" s="164">
        <v>0.12972972972972965</v>
      </c>
      <c r="F968">
        <v>38.93</v>
      </c>
    </row>
    <row r="969" spans="1:6">
      <c r="A969">
        <v>1437</v>
      </c>
      <c r="B969" t="s">
        <v>609</v>
      </c>
      <c r="C969">
        <v>10.8</v>
      </c>
      <c r="D969">
        <f>VLOOKUP(A969,收盤價!A:C,3,0)</f>
        <v>12.2</v>
      </c>
      <c r="E969" s="164">
        <v>0.12962962962962948</v>
      </c>
      <c r="F969">
        <v>38.86</v>
      </c>
    </row>
    <row r="970" spans="1:6">
      <c r="A970">
        <v>2489</v>
      </c>
      <c r="B970" t="s">
        <v>930</v>
      </c>
      <c r="C970">
        <v>13.55</v>
      </c>
      <c r="D970">
        <f>VLOOKUP(A970,收盤價!A:C,3,0)</f>
        <v>15.3</v>
      </c>
      <c r="E970" s="164">
        <v>0.12915129151291513</v>
      </c>
      <c r="F970">
        <v>38.799999999999997</v>
      </c>
    </row>
    <row r="971" spans="1:6">
      <c r="A971">
        <v>6208</v>
      </c>
      <c r="B971" t="s">
        <v>1744</v>
      </c>
      <c r="C971">
        <v>9.3000000000000007</v>
      </c>
      <c r="D971">
        <f>VLOOKUP(A971,收盤價!A:C,3,0)</f>
        <v>10.5</v>
      </c>
      <c r="E971" s="164">
        <v>0.12903225806451604</v>
      </c>
      <c r="F971">
        <v>38.74</v>
      </c>
    </row>
    <row r="972" spans="1:6">
      <c r="A972">
        <v>6702</v>
      </c>
      <c r="B972" t="s">
        <v>1334</v>
      </c>
      <c r="C972">
        <v>6.29</v>
      </c>
      <c r="D972">
        <f>VLOOKUP(A972,收盤價!A:C,3,0)</f>
        <v>7.1</v>
      </c>
      <c r="E972" s="164">
        <v>0.12877583465818754</v>
      </c>
      <c r="F972">
        <v>38.68</v>
      </c>
    </row>
    <row r="973" spans="1:6">
      <c r="A973">
        <v>9905</v>
      </c>
      <c r="B973" t="s">
        <v>1400</v>
      </c>
      <c r="C973">
        <v>24.9</v>
      </c>
      <c r="D973">
        <f>VLOOKUP(A973,收盤價!A:C,3,0)</f>
        <v>28.1</v>
      </c>
      <c r="E973" s="164">
        <v>0.12851405622489973</v>
      </c>
      <c r="F973">
        <v>38.61</v>
      </c>
    </row>
    <row r="974" spans="1:6">
      <c r="A974">
        <v>6247</v>
      </c>
      <c r="B974" t="s">
        <v>1757</v>
      </c>
      <c r="C974">
        <v>13.3</v>
      </c>
      <c r="D974">
        <f>VLOOKUP(A974,收盤價!A:C,3,0)</f>
        <v>15</v>
      </c>
      <c r="E974" s="164">
        <v>0.12781954887218039</v>
      </c>
      <c r="F974">
        <v>38.549999999999997</v>
      </c>
    </row>
    <row r="975" spans="1:6">
      <c r="A975">
        <v>2801</v>
      </c>
      <c r="B975" t="s">
        <v>997</v>
      </c>
      <c r="C975">
        <v>14.1</v>
      </c>
      <c r="D975">
        <f>VLOOKUP(A975,收盤價!A:C,3,0)</f>
        <v>15.9</v>
      </c>
      <c r="E975" s="164">
        <v>0.12765957446808515</v>
      </c>
      <c r="F975">
        <v>38.49</v>
      </c>
    </row>
    <row r="976" spans="1:6">
      <c r="A976">
        <v>6419</v>
      </c>
      <c r="B976" t="s">
        <v>1770</v>
      </c>
      <c r="C976">
        <v>20</v>
      </c>
      <c r="D976">
        <f>VLOOKUP(A976,收盤價!A:C,3,0)</f>
        <v>22.55</v>
      </c>
      <c r="E976" s="164">
        <v>0.12750000000000003</v>
      </c>
      <c r="F976">
        <v>38.42</v>
      </c>
    </row>
    <row r="977" spans="1:6">
      <c r="A977">
        <v>1727</v>
      </c>
      <c r="B977" t="s">
        <v>718</v>
      </c>
      <c r="C977">
        <v>13.35</v>
      </c>
      <c r="D977">
        <f>VLOOKUP(A977,收盤價!A:C,3,0)</f>
        <v>15.05</v>
      </c>
      <c r="E977" s="164">
        <v>0.12734082397003754</v>
      </c>
      <c r="F977">
        <v>38.36</v>
      </c>
    </row>
    <row r="978" spans="1:6">
      <c r="A978">
        <v>3553</v>
      </c>
      <c r="B978" t="s">
        <v>344</v>
      </c>
      <c r="C978">
        <v>12.6</v>
      </c>
      <c r="D978">
        <f>VLOOKUP(A978,收盤價!A:C,3,0)</f>
        <v>14.2</v>
      </c>
      <c r="E978" s="164">
        <v>0.12698412698412695</v>
      </c>
      <c r="F978">
        <v>38.299999999999997</v>
      </c>
    </row>
    <row r="979" spans="1:6">
      <c r="A979">
        <v>2208</v>
      </c>
      <c r="B979" t="s">
        <v>790</v>
      </c>
      <c r="C979">
        <v>11.45</v>
      </c>
      <c r="D979">
        <f>VLOOKUP(A979,收盤價!A:C,3,0)</f>
        <v>12.9</v>
      </c>
      <c r="E979" s="164">
        <v>0.12663755458515294</v>
      </c>
      <c r="F979">
        <v>38.229999999999997</v>
      </c>
    </row>
    <row r="980" spans="1:6">
      <c r="A980">
        <v>6251</v>
      </c>
      <c r="B980" t="s">
        <v>1306</v>
      </c>
      <c r="C980">
        <v>8.08</v>
      </c>
      <c r="D980">
        <f>VLOOKUP(A980,收盤價!A:C,3,0)</f>
        <v>9.1</v>
      </c>
      <c r="E980" s="164">
        <v>0.12623762376237618</v>
      </c>
      <c r="F980">
        <v>38.17</v>
      </c>
    </row>
    <row r="981" spans="1:6">
      <c r="A981">
        <v>1303</v>
      </c>
      <c r="B981" t="s">
        <v>572</v>
      </c>
      <c r="C981">
        <v>53.1</v>
      </c>
      <c r="D981">
        <f>VLOOKUP(A981,收盤價!A:C,3,0)</f>
        <v>59.8</v>
      </c>
      <c r="E981" s="164">
        <v>0.12617702448210916</v>
      </c>
      <c r="F981">
        <v>38.11</v>
      </c>
    </row>
    <row r="982" spans="1:6">
      <c r="A982">
        <v>4528</v>
      </c>
      <c r="B982" t="s">
        <v>1603</v>
      </c>
      <c r="C982">
        <v>53.9</v>
      </c>
      <c r="D982">
        <f>VLOOKUP(A982,收盤價!A:C,3,0)</f>
        <v>60.7</v>
      </c>
      <c r="E982" s="164">
        <v>0.12615955473098339</v>
      </c>
      <c r="F982">
        <v>38.04</v>
      </c>
    </row>
    <row r="983" spans="1:6">
      <c r="A983">
        <v>2442</v>
      </c>
      <c r="B983" t="s">
        <v>894</v>
      </c>
      <c r="C983">
        <v>5.85</v>
      </c>
      <c r="D983">
        <f>VLOOKUP(A983,收盤價!A:C,3,0)</f>
        <v>6.58</v>
      </c>
      <c r="E983" s="164">
        <v>0.12478632478632487</v>
      </c>
      <c r="F983">
        <v>37.979999999999997</v>
      </c>
    </row>
    <row r="984" spans="1:6">
      <c r="A984">
        <v>2539</v>
      </c>
      <c r="B984" t="s">
        <v>958</v>
      </c>
      <c r="C984">
        <v>21.25</v>
      </c>
      <c r="D984">
        <f>VLOOKUP(A984,收盤價!A:C,3,0)</f>
        <v>23.9</v>
      </c>
      <c r="E984" s="164">
        <v>0.12470588235294111</v>
      </c>
      <c r="F984">
        <v>37.92</v>
      </c>
    </row>
    <row r="985" spans="1:6">
      <c r="A985">
        <v>6136</v>
      </c>
      <c r="B985" t="s">
        <v>1268</v>
      </c>
      <c r="C985">
        <v>21.3</v>
      </c>
      <c r="D985">
        <f>VLOOKUP(A985,收盤價!A:C,3,0)</f>
        <v>23.95</v>
      </c>
      <c r="E985" s="164">
        <v>0.12441314553990604</v>
      </c>
      <c r="F985">
        <v>37.85</v>
      </c>
    </row>
    <row r="986" spans="1:6">
      <c r="A986">
        <v>8074</v>
      </c>
      <c r="B986" t="s">
        <v>1792</v>
      </c>
      <c r="C986">
        <v>21.35</v>
      </c>
      <c r="D986">
        <f>VLOOKUP(A986,收盤價!A:C,3,0)</f>
        <v>24</v>
      </c>
      <c r="E986" s="164">
        <v>0.12412177985948471</v>
      </c>
      <c r="F986">
        <v>37.79</v>
      </c>
    </row>
    <row r="987" spans="1:6">
      <c r="A987">
        <v>1413</v>
      </c>
      <c r="B987" t="s">
        <v>598</v>
      </c>
      <c r="C987">
        <v>7.01</v>
      </c>
      <c r="D987">
        <f>VLOOKUP(A987,收盤價!A:C,3,0)</f>
        <v>7.88</v>
      </c>
      <c r="E987" s="164">
        <v>0.1241084165477889</v>
      </c>
      <c r="F987">
        <v>37.729999999999997</v>
      </c>
    </row>
    <row r="988" spans="1:6">
      <c r="A988">
        <v>6281</v>
      </c>
      <c r="B988" t="s">
        <v>1312</v>
      </c>
      <c r="C988">
        <v>50</v>
      </c>
      <c r="D988">
        <f>VLOOKUP(A988,收盤價!A:C,3,0)</f>
        <v>56.2</v>
      </c>
      <c r="E988" s="164">
        <v>0.12400000000000005</v>
      </c>
      <c r="F988">
        <v>37.67</v>
      </c>
    </row>
    <row r="989" spans="1:6">
      <c r="A989">
        <v>3680</v>
      </c>
      <c r="B989" t="s">
        <v>1555</v>
      </c>
      <c r="C989">
        <v>26.75</v>
      </c>
      <c r="D989">
        <f>VLOOKUP(A989,收盤價!A:C,3,0)</f>
        <v>30.05</v>
      </c>
      <c r="E989" s="164">
        <v>0.12336448598130843</v>
      </c>
      <c r="F989">
        <v>37.6</v>
      </c>
    </row>
    <row r="990" spans="1:6">
      <c r="A990">
        <v>6226</v>
      </c>
      <c r="B990" t="s">
        <v>1301</v>
      </c>
      <c r="C990">
        <v>5.13</v>
      </c>
      <c r="D990">
        <f>VLOOKUP(A990,收盤價!A:C,3,0)</f>
        <v>5.76</v>
      </c>
      <c r="E990" s="164">
        <v>0.12280701754385963</v>
      </c>
      <c r="F990">
        <v>37.54</v>
      </c>
    </row>
    <row r="991" spans="1:6">
      <c r="A991">
        <v>8024</v>
      </c>
      <c r="B991" t="s">
        <v>499</v>
      </c>
      <c r="C991">
        <v>9.49</v>
      </c>
      <c r="D991">
        <f>VLOOKUP(A991,收盤價!A:C,3,0)</f>
        <v>10.65</v>
      </c>
      <c r="E991" s="164">
        <v>0.12223393045310854</v>
      </c>
      <c r="F991">
        <v>37.479999999999997</v>
      </c>
    </row>
    <row r="992" spans="1:6">
      <c r="A992">
        <v>2887</v>
      </c>
      <c r="B992" t="s">
        <v>1024</v>
      </c>
      <c r="C992">
        <v>10.25</v>
      </c>
      <c r="D992">
        <f>VLOOKUP(A992,收盤價!A:C,3,0)</f>
        <v>11.5</v>
      </c>
      <c r="E992" s="164">
        <v>0.12195121951219512</v>
      </c>
      <c r="F992">
        <v>37.409999999999997</v>
      </c>
    </row>
    <row r="993" spans="1:6">
      <c r="A993">
        <v>5706</v>
      </c>
      <c r="B993" t="s">
        <v>1253</v>
      </c>
      <c r="C993">
        <v>34.200000000000003</v>
      </c>
      <c r="D993">
        <f>VLOOKUP(A993,收盤價!A:C,3,0)</f>
        <v>38.35</v>
      </c>
      <c r="E993" s="164">
        <v>0.12134502923976603</v>
      </c>
      <c r="F993">
        <v>37.35</v>
      </c>
    </row>
    <row r="994" spans="1:6">
      <c r="A994">
        <v>9930</v>
      </c>
      <c r="B994" t="s">
        <v>1418</v>
      </c>
      <c r="C994">
        <v>54.4</v>
      </c>
      <c r="D994">
        <f>VLOOKUP(A994,收盤價!A:C,3,0)</f>
        <v>61</v>
      </c>
      <c r="E994" s="164">
        <v>0.12132352941176473</v>
      </c>
      <c r="F994">
        <v>37.29</v>
      </c>
    </row>
    <row r="995" spans="1:6">
      <c r="A995">
        <v>5511</v>
      </c>
      <c r="B995" t="s">
        <v>1688</v>
      </c>
      <c r="C995">
        <v>21.9</v>
      </c>
      <c r="D995">
        <f>VLOOKUP(A995,收盤價!A:C,3,0)</f>
        <v>24.55</v>
      </c>
      <c r="E995" s="164">
        <v>0.12100456621004577</v>
      </c>
      <c r="F995">
        <v>37.22</v>
      </c>
    </row>
    <row r="996" spans="1:6">
      <c r="A996">
        <v>1785</v>
      </c>
      <c r="B996" t="s">
        <v>1448</v>
      </c>
      <c r="C996">
        <v>16.95</v>
      </c>
      <c r="D996">
        <f>VLOOKUP(A996,收盤價!A:C,3,0)</f>
        <v>19</v>
      </c>
      <c r="E996" s="164">
        <v>0.12094395280235994</v>
      </c>
      <c r="F996">
        <v>37.159999999999997</v>
      </c>
    </row>
    <row r="997" spans="1:6">
      <c r="A997">
        <v>4526</v>
      </c>
      <c r="B997" t="s">
        <v>1192</v>
      </c>
      <c r="C997">
        <v>20.3</v>
      </c>
      <c r="D997">
        <f>VLOOKUP(A997,收盤價!A:C,3,0)</f>
        <v>22.75</v>
      </c>
      <c r="E997" s="164">
        <v>0.12068965517241376</v>
      </c>
      <c r="F997">
        <v>37.1</v>
      </c>
    </row>
    <row r="998" spans="1:6">
      <c r="A998">
        <v>4711</v>
      </c>
      <c r="B998" t="s">
        <v>1612</v>
      </c>
      <c r="C998">
        <v>10.8</v>
      </c>
      <c r="D998">
        <f>VLOOKUP(A998,收盤價!A:C,3,0)</f>
        <v>12.1</v>
      </c>
      <c r="E998" s="164">
        <v>0.12037037037037027</v>
      </c>
      <c r="F998">
        <v>37.03</v>
      </c>
    </row>
    <row r="999" spans="1:6">
      <c r="A999">
        <v>1262</v>
      </c>
      <c r="B999" t="s">
        <v>570</v>
      </c>
      <c r="C999">
        <v>112.5</v>
      </c>
      <c r="D999">
        <f>VLOOKUP(A999,收盤價!A:C,3,0)</f>
        <v>126</v>
      </c>
      <c r="E999" s="164">
        <v>0.12</v>
      </c>
      <c r="F999">
        <v>36.97</v>
      </c>
    </row>
    <row r="1000" spans="1:6">
      <c r="A1000">
        <v>1715</v>
      </c>
      <c r="B1000" t="s">
        <v>708</v>
      </c>
      <c r="C1000">
        <v>10</v>
      </c>
      <c r="D1000">
        <f>VLOOKUP(A1000,收盤價!A:C,3,0)</f>
        <v>11.2</v>
      </c>
      <c r="E1000" s="164">
        <v>0.11999999999999993</v>
      </c>
      <c r="F1000">
        <v>36.909999999999997</v>
      </c>
    </row>
    <row r="1001" spans="1:6">
      <c r="A1001">
        <v>2704</v>
      </c>
      <c r="B1001" t="s">
        <v>988</v>
      </c>
      <c r="C1001">
        <v>24.6</v>
      </c>
      <c r="D1001">
        <f>VLOOKUP(A1001,收盤價!A:C,3,0)</f>
        <v>27.55</v>
      </c>
      <c r="E1001" s="164">
        <v>0.11991869918699183</v>
      </c>
      <c r="F1001">
        <v>36.85</v>
      </c>
    </row>
    <row r="1002" spans="1:6">
      <c r="A1002">
        <v>1513</v>
      </c>
      <c r="B1002" t="s">
        <v>650</v>
      </c>
      <c r="C1002">
        <v>15.5</v>
      </c>
      <c r="D1002">
        <f>VLOOKUP(A1002,收盤價!A:C,3,0)</f>
        <v>17.350000000000001</v>
      </c>
      <c r="E1002" s="164">
        <v>0.11935483870967752</v>
      </c>
      <c r="F1002">
        <v>36.78</v>
      </c>
    </row>
    <row r="1003" spans="1:6">
      <c r="A1003">
        <v>3211</v>
      </c>
      <c r="B1003" t="s">
        <v>1487</v>
      </c>
      <c r="C1003">
        <v>45.3</v>
      </c>
      <c r="D1003">
        <f>VLOOKUP(A1003,收盤價!A:C,3,0)</f>
        <v>50.7</v>
      </c>
      <c r="E1003" s="164">
        <v>0.11920529801324517</v>
      </c>
      <c r="F1003">
        <v>36.72</v>
      </c>
    </row>
    <row r="1004" spans="1:6">
      <c r="A1004">
        <v>1440</v>
      </c>
      <c r="B1004" t="s">
        <v>612</v>
      </c>
      <c r="C1004">
        <v>12.6</v>
      </c>
      <c r="D1004">
        <f>VLOOKUP(A1004,收盤價!A:C,3,0)</f>
        <v>14.1</v>
      </c>
      <c r="E1004" s="164">
        <v>0.11904761904761905</v>
      </c>
      <c r="F1004">
        <v>36.659999999999997</v>
      </c>
    </row>
    <row r="1005" spans="1:6">
      <c r="A1005">
        <v>8454</v>
      </c>
      <c r="B1005" t="s">
        <v>1369</v>
      </c>
      <c r="C1005">
        <v>197.5</v>
      </c>
      <c r="D1005">
        <f>VLOOKUP(A1005,收盤價!A:C,3,0)</f>
        <v>221</v>
      </c>
      <c r="E1005" s="164">
        <v>0.11898734177215189</v>
      </c>
      <c r="F1005">
        <v>36.590000000000003</v>
      </c>
    </row>
    <row r="1006" spans="1:6">
      <c r="A1006">
        <v>2889</v>
      </c>
      <c r="B1006" t="s">
        <v>1026</v>
      </c>
      <c r="C1006">
        <v>6.82</v>
      </c>
      <c r="D1006">
        <f>VLOOKUP(A1006,收盤價!A:C,3,0)</f>
        <v>7.63</v>
      </c>
      <c r="E1006" s="164">
        <v>0.11876832844574774</v>
      </c>
      <c r="F1006">
        <v>36.53</v>
      </c>
    </row>
    <row r="1007" spans="1:6">
      <c r="A1007">
        <v>5287</v>
      </c>
      <c r="B1007" t="s">
        <v>415</v>
      </c>
      <c r="C1007">
        <v>258</v>
      </c>
      <c r="D1007">
        <f>VLOOKUP(A1007,收盤價!A:C,3,0)</f>
        <v>288.5</v>
      </c>
      <c r="E1007" s="164">
        <v>0.11821705426356589</v>
      </c>
      <c r="F1007">
        <v>36.47</v>
      </c>
    </row>
    <row r="1008" spans="1:6">
      <c r="A1008">
        <v>3010</v>
      </c>
      <c r="B1008" t="s">
        <v>1051</v>
      </c>
      <c r="C1008">
        <v>40.25</v>
      </c>
      <c r="D1008">
        <f>VLOOKUP(A1008,收盤價!A:C,3,0)</f>
        <v>45</v>
      </c>
      <c r="E1008" s="164">
        <v>0.11801242236024845</v>
      </c>
      <c r="F1008">
        <v>36.4</v>
      </c>
    </row>
    <row r="1009" spans="1:6">
      <c r="A1009">
        <v>2701</v>
      </c>
      <c r="B1009" t="s">
        <v>986</v>
      </c>
      <c r="C1009">
        <v>12.75</v>
      </c>
      <c r="D1009">
        <f>VLOOKUP(A1009,收盤價!A:C,3,0)</f>
        <v>14.25</v>
      </c>
      <c r="E1009" s="164">
        <v>0.11764705882352941</v>
      </c>
      <c r="F1009">
        <v>36.340000000000003</v>
      </c>
    </row>
    <row r="1010" spans="1:6">
      <c r="A1010">
        <v>2841</v>
      </c>
      <c r="B1010" t="s">
        <v>1007</v>
      </c>
      <c r="C1010">
        <v>9.35</v>
      </c>
      <c r="D1010">
        <f>VLOOKUP(A1010,收盤價!A:C,3,0)</f>
        <v>10.45</v>
      </c>
      <c r="E1010" s="164">
        <v>0.11764705882352938</v>
      </c>
      <c r="F1010">
        <v>36.28</v>
      </c>
    </row>
    <row r="1011" spans="1:6">
      <c r="A1011">
        <v>3702</v>
      </c>
      <c r="B1011" t="s">
        <v>1174</v>
      </c>
      <c r="C1011">
        <v>28.6</v>
      </c>
      <c r="D1011">
        <f>VLOOKUP(A1011,收盤價!A:C,3,0)</f>
        <v>31.95</v>
      </c>
      <c r="E1011" s="164">
        <v>0.11713286713286705</v>
      </c>
      <c r="F1011">
        <v>36.21</v>
      </c>
    </row>
    <row r="1012" spans="1:6">
      <c r="A1012">
        <v>5609</v>
      </c>
      <c r="B1012" t="s">
        <v>446</v>
      </c>
      <c r="C1012">
        <v>15.8</v>
      </c>
      <c r="D1012">
        <f>VLOOKUP(A1012,收盤價!A:C,3,0)</f>
        <v>17.649999999999999</v>
      </c>
      <c r="E1012" s="164">
        <v>0.11708860759493657</v>
      </c>
      <c r="F1012">
        <v>36.15</v>
      </c>
    </row>
    <row r="1013" spans="1:6">
      <c r="A1013">
        <v>2358</v>
      </c>
      <c r="B1013" t="s">
        <v>832</v>
      </c>
      <c r="C1013">
        <v>7.61</v>
      </c>
      <c r="D1013">
        <f>VLOOKUP(A1013,收盤價!A:C,3,0)</f>
        <v>8.5</v>
      </c>
      <c r="E1013" s="164">
        <v>0.11695137976346907</v>
      </c>
      <c r="F1013">
        <v>36.090000000000003</v>
      </c>
    </row>
    <row r="1014" spans="1:6">
      <c r="A1014">
        <v>1314</v>
      </c>
      <c r="B1014" t="s">
        <v>582</v>
      </c>
      <c r="C1014">
        <v>6.97</v>
      </c>
      <c r="D1014">
        <f>VLOOKUP(A1014,收盤價!A:C,3,0)</f>
        <v>7.78</v>
      </c>
      <c r="E1014" s="164">
        <v>0.11621233859397426</v>
      </c>
      <c r="F1014">
        <v>36.03</v>
      </c>
    </row>
    <row r="1015" spans="1:6">
      <c r="A1015">
        <v>3581</v>
      </c>
      <c r="B1015" t="s">
        <v>1543</v>
      </c>
      <c r="C1015">
        <v>12.5</v>
      </c>
      <c r="D1015">
        <f>VLOOKUP(A1015,收盤價!A:C,3,0)</f>
        <v>13.95</v>
      </c>
      <c r="E1015" s="164">
        <v>0.11599999999999994</v>
      </c>
      <c r="F1015">
        <v>35.96</v>
      </c>
    </row>
    <row r="1016" spans="1:6">
      <c r="A1016">
        <v>4739</v>
      </c>
      <c r="B1016" t="s">
        <v>1616</v>
      </c>
      <c r="C1016">
        <v>34.950000000000003</v>
      </c>
      <c r="D1016">
        <f>VLOOKUP(A1016,收盤價!A:C,3,0)</f>
        <v>39</v>
      </c>
      <c r="E1016" s="164">
        <v>0.11587982832618017</v>
      </c>
      <c r="F1016">
        <v>35.9</v>
      </c>
    </row>
    <row r="1017" spans="1:6">
      <c r="A1017">
        <v>9917</v>
      </c>
      <c r="B1017" t="s">
        <v>1408</v>
      </c>
      <c r="C1017">
        <v>84.6</v>
      </c>
      <c r="D1017">
        <f>VLOOKUP(A1017,收盤價!A:C,3,0)</f>
        <v>94.4</v>
      </c>
      <c r="E1017" s="164">
        <v>0.11583924349881811</v>
      </c>
      <c r="F1017">
        <v>35.840000000000003</v>
      </c>
    </row>
    <row r="1018" spans="1:6">
      <c r="A1018">
        <v>5345</v>
      </c>
      <c r="B1018" t="s">
        <v>423</v>
      </c>
      <c r="C1018">
        <v>9.01</v>
      </c>
      <c r="D1018">
        <f>VLOOKUP(A1018,收盤價!A:C,3,0)</f>
        <v>10.050000000000001</v>
      </c>
      <c r="E1018" s="164">
        <v>0.11542730299667048</v>
      </c>
      <c r="F1018">
        <v>35.770000000000003</v>
      </c>
    </row>
    <row r="1019" spans="1:6">
      <c r="A1019">
        <v>2013</v>
      </c>
      <c r="B1019" t="s">
        <v>754</v>
      </c>
      <c r="C1019">
        <v>16.899999999999999</v>
      </c>
      <c r="D1019">
        <f>VLOOKUP(A1019,收盤價!A:C,3,0)</f>
        <v>18.850000000000001</v>
      </c>
      <c r="E1019" s="164">
        <v>0.11538461538461556</v>
      </c>
      <c r="F1019">
        <v>35.71</v>
      </c>
    </row>
    <row r="1020" spans="1:6">
      <c r="A1020">
        <v>2547</v>
      </c>
      <c r="B1020" t="s">
        <v>964</v>
      </c>
      <c r="C1020">
        <v>10.4</v>
      </c>
      <c r="D1020">
        <f>VLOOKUP(A1020,收盤價!A:C,3,0)</f>
        <v>11.6</v>
      </c>
      <c r="E1020" s="164">
        <v>0.11538461538461531</v>
      </c>
      <c r="F1020">
        <v>35.65</v>
      </c>
    </row>
    <row r="1021" spans="1:6">
      <c r="A1021">
        <v>8084</v>
      </c>
      <c r="B1021" t="s">
        <v>1796</v>
      </c>
      <c r="C1021">
        <v>20.45</v>
      </c>
      <c r="D1021">
        <f>VLOOKUP(A1021,收盤價!A:C,3,0)</f>
        <v>22.8</v>
      </c>
      <c r="E1021" s="164">
        <v>0.11491442542787293</v>
      </c>
      <c r="F1021">
        <v>35.58</v>
      </c>
    </row>
    <row r="1022" spans="1:6">
      <c r="A1022">
        <v>1902</v>
      </c>
      <c r="B1022" t="s">
        <v>740</v>
      </c>
      <c r="C1022">
        <v>9.51</v>
      </c>
      <c r="D1022">
        <f>VLOOKUP(A1022,收盤價!A:C,3,0)</f>
        <v>10.6</v>
      </c>
      <c r="E1022" s="164">
        <v>0.11461619348054677</v>
      </c>
      <c r="F1022">
        <v>35.520000000000003</v>
      </c>
    </row>
    <row r="1023" spans="1:6">
      <c r="A1023">
        <v>2444</v>
      </c>
      <c r="B1023" t="s">
        <v>896</v>
      </c>
      <c r="C1023">
        <v>8.4</v>
      </c>
      <c r="D1023">
        <f>VLOOKUP(A1023,收盤價!A:C,3,0)</f>
        <v>9.36</v>
      </c>
      <c r="E1023" s="164">
        <v>0.11428571428571417</v>
      </c>
      <c r="F1023">
        <v>35.46</v>
      </c>
    </row>
    <row r="1024" spans="1:6">
      <c r="A1024">
        <v>8937</v>
      </c>
      <c r="B1024" t="s">
        <v>1846</v>
      </c>
      <c r="C1024">
        <v>10.95</v>
      </c>
      <c r="D1024">
        <f>VLOOKUP(A1024,收盤價!A:C,3,0)</f>
        <v>12.2</v>
      </c>
      <c r="E1024" s="164">
        <v>0.11415525114155252</v>
      </c>
      <c r="F1024">
        <v>35.39</v>
      </c>
    </row>
    <row r="1025" spans="1:6">
      <c r="A1025">
        <v>1232</v>
      </c>
      <c r="B1025" t="s">
        <v>565</v>
      </c>
      <c r="C1025">
        <v>67.5</v>
      </c>
      <c r="D1025">
        <f>VLOOKUP(A1025,收盤價!A:C,3,0)</f>
        <v>75.2</v>
      </c>
      <c r="E1025" s="164">
        <v>0.11407407407407412</v>
      </c>
      <c r="F1025">
        <v>35.33</v>
      </c>
    </row>
    <row r="1026" spans="1:6">
      <c r="A1026">
        <v>1515</v>
      </c>
      <c r="B1026" t="s">
        <v>652</v>
      </c>
      <c r="C1026">
        <v>9.3800000000000008</v>
      </c>
      <c r="D1026">
        <f>VLOOKUP(A1026,收盤價!A:C,3,0)</f>
        <v>10.45</v>
      </c>
      <c r="E1026" s="164">
        <v>0.11407249466950943</v>
      </c>
      <c r="F1026">
        <v>35.270000000000003</v>
      </c>
    </row>
    <row r="1027" spans="1:6">
      <c r="A1027">
        <v>6229</v>
      </c>
      <c r="B1027" t="s">
        <v>476</v>
      </c>
      <c r="C1027">
        <v>10.1</v>
      </c>
      <c r="D1027">
        <f>VLOOKUP(A1027,收盤價!A:C,3,0)</f>
        <v>11.25</v>
      </c>
      <c r="E1027" s="164">
        <v>0.11386138613861391</v>
      </c>
      <c r="F1027">
        <v>35.21</v>
      </c>
    </row>
    <row r="1028" spans="1:6">
      <c r="A1028">
        <v>6127</v>
      </c>
      <c r="B1028" t="s">
        <v>1720</v>
      </c>
      <c r="C1028">
        <v>8.6999999999999993</v>
      </c>
      <c r="D1028">
        <f>VLOOKUP(A1028,收盤價!A:C,3,0)</f>
        <v>9.69</v>
      </c>
      <c r="E1028" s="164">
        <v>0.1137931034482759</v>
      </c>
      <c r="F1028">
        <v>35.14</v>
      </c>
    </row>
    <row r="1029" spans="1:6">
      <c r="A1029">
        <v>2227</v>
      </c>
      <c r="B1029" t="s">
        <v>791</v>
      </c>
      <c r="C1029">
        <v>260</v>
      </c>
      <c r="D1029">
        <f>VLOOKUP(A1029,收盤價!A:C,3,0)</f>
        <v>289.5</v>
      </c>
      <c r="E1029" s="164">
        <v>0.11346153846153846</v>
      </c>
      <c r="F1029">
        <v>35.08</v>
      </c>
    </row>
    <row r="1030" spans="1:6">
      <c r="A1030">
        <v>1103</v>
      </c>
      <c r="B1030" t="s">
        <v>547</v>
      </c>
      <c r="C1030">
        <v>8.83</v>
      </c>
      <c r="D1030">
        <f>VLOOKUP(A1030,收盤價!A:C,3,0)</f>
        <v>9.83</v>
      </c>
      <c r="E1030" s="164">
        <v>0.11325028312570781</v>
      </c>
      <c r="F1030">
        <v>35.020000000000003</v>
      </c>
    </row>
    <row r="1031" spans="1:6">
      <c r="A1031">
        <v>2608</v>
      </c>
      <c r="B1031" t="s">
        <v>972</v>
      </c>
      <c r="C1031">
        <v>34.799999999999997</v>
      </c>
      <c r="D1031">
        <f>VLOOKUP(A1031,收盤價!A:C,3,0)</f>
        <v>38.700000000000003</v>
      </c>
      <c r="E1031" s="164">
        <v>0.11206896551724155</v>
      </c>
      <c r="F1031">
        <v>34.950000000000003</v>
      </c>
    </row>
    <row r="1032" spans="1:6">
      <c r="A1032">
        <v>2362</v>
      </c>
      <c r="B1032" t="s">
        <v>836</v>
      </c>
      <c r="C1032">
        <v>27.35</v>
      </c>
      <c r="D1032">
        <f>VLOOKUP(A1032,收盤價!A:C,3,0)</f>
        <v>30.4</v>
      </c>
      <c r="E1032" s="164">
        <v>0.11151736745886644</v>
      </c>
      <c r="F1032">
        <v>34.89</v>
      </c>
    </row>
    <row r="1033" spans="1:6">
      <c r="A1033">
        <v>2103</v>
      </c>
      <c r="B1033" t="s">
        <v>777</v>
      </c>
      <c r="C1033">
        <v>18</v>
      </c>
      <c r="D1033">
        <f>VLOOKUP(A1033,收盤價!A:C,3,0)</f>
        <v>20</v>
      </c>
      <c r="E1033" s="164">
        <v>0.1111111111111111</v>
      </c>
      <c r="F1033">
        <v>34.83</v>
      </c>
    </row>
    <row r="1034" spans="1:6">
      <c r="A1034">
        <v>2478</v>
      </c>
      <c r="B1034" t="s">
        <v>921</v>
      </c>
      <c r="C1034">
        <v>13.05</v>
      </c>
      <c r="D1034">
        <f>VLOOKUP(A1034,收盤價!A:C,3,0)</f>
        <v>14.5</v>
      </c>
      <c r="E1034" s="164">
        <v>0.11111111111111105</v>
      </c>
      <c r="F1034">
        <v>34.76</v>
      </c>
    </row>
    <row r="1035" spans="1:6">
      <c r="A1035">
        <v>2015</v>
      </c>
      <c r="B1035" t="s">
        <v>756</v>
      </c>
      <c r="C1035">
        <v>33.799999999999997</v>
      </c>
      <c r="D1035">
        <f>VLOOKUP(A1035,收盤價!A:C,3,0)</f>
        <v>37.549999999999997</v>
      </c>
      <c r="E1035" s="164">
        <v>0.11094674556213019</v>
      </c>
      <c r="F1035">
        <v>34.700000000000003</v>
      </c>
    </row>
    <row r="1036" spans="1:6">
      <c r="A1036">
        <v>4305</v>
      </c>
      <c r="B1036" t="s">
        <v>1587</v>
      </c>
      <c r="C1036">
        <v>24.4</v>
      </c>
      <c r="D1036">
        <f>VLOOKUP(A1036,收盤價!A:C,3,0)</f>
        <v>27.1</v>
      </c>
      <c r="E1036" s="164">
        <v>0.11065573770491816</v>
      </c>
      <c r="F1036">
        <v>34.64</v>
      </c>
    </row>
    <row r="1037" spans="1:6">
      <c r="A1037">
        <v>6276</v>
      </c>
      <c r="B1037" t="s">
        <v>491</v>
      </c>
      <c r="C1037">
        <v>6.69</v>
      </c>
      <c r="D1037">
        <f>VLOOKUP(A1037,收盤價!A:C,3,0)</f>
        <v>7.43</v>
      </c>
      <c r="E1037" s="164">
        <v>0.11061285500747374</v>
      </c>
      <c r="F1037">
        <v>34.57</v>
      </c>
    </row>
    <row r="1038" spans="1:6">
      <c r="A1038">
        <v>3360</v>
      </c>
      <c r="B1038" t="s">
        <v>321</v>
      </c>
      <c r="C1038">
        <v>10.9</v>
      </c>
      <c r="D1038">
        <f>VLOOKUP(A1038,收盤價!A:C,3,0)</f>
        <v>12.1</v>
      </c>
      <c r="E1038" s="164">
        <v>0.11009174311926599</v>
      </c>
      <c r="F1038">
        <v>34.51</v>
      </c>
    </row>
    <row r="1039" spans="1:6">
      <c r="A1039">
        <v>5314</v>
      </c>
      <c r="B1039" t="s">
        <v>1655</v>
      </c>
      <c r="C1039">
        <v>6</v>
      </c>
      <c r="D1039">
        <f>VLOOKUP(A1039,收盤價!A:C,3,0)</f>
        <v>6.66</v>
      </c>
      <c r="E1039" s="164">
        <v>0.11000000000000003</v>
      </c>
      <c r="F1039">
        <v>34.450000000000003</v>
      </c>
    </row>
    <row r="1040" spans="1:6">
      <c r="A1040">
        <v>2329</v>
      </c>
      <c r="B1040" t="s">
        <v>812</v>
      </c>
      <c r="C1040">
        <v>10.1</v>
      </c>
      <c r="D1040">
        <f>VLOOKUP(A1040,收盤價!A:C,3,0)</f>
        <v>11.2</v>
      </c>
      <c r="E1040" s="164">
        <v>0.10891089108910888</v>
      </c>
      <c r="F1040">
        <v>34.380000000000003</v>
      </c>
    </row>
    <row r="1041" spans="1:6">
      <c r="A1041">
        <v>6192</v>
      </c>
      <c r="B1041" t="s">
        <v>1287</v>
      </c>
      <c r="C1041">
        <v>39.5</v>
      </c>
      <c r="D1041">
        <f>VLOOKUP(A1041,收盤價!A:C,3,0)</f>
        <v>43.8</v>
      </c>
      <c r="E1041" s="164">
        <v>0.10886075949367081</v>
      </c>
      <c r="F1041">
        <v>34.32</v>
      </c>
    </row>
    <row r="1042" spans="1:6">
      <c r="A1042">
        <v>6023</v>
      </c>
      <c r="B1042" t="s">
        <v>1705</v>
      </c>
      <c r="C1042">
        <v>32.299999999999997</v>
      </c>
      <c r="D1042">
        <f>VLOOKUP(A1042,收盤價!A:C,3,0)</f>
        <v>35.799999999999997</v>
      </c>
      <c r="E1042" s="164">
        <v>0.108359133126935</v>
      </c>
      <c r="F1042">
        <v>34.26</v>
      </c>
    </row>
    <row r="1043" spans="1:6">
      <c r="A1043">
        <v>2607</v>
      </c>
      <c r="B1043" t="s">
        <v>971</v>
      </c>
      <c r="C1043">
        <v>12</v>
      </c>
      <c r="D1043">
        <f>VLOOKUP(A1043,收盤價!A:C,3,0)</f>
        <v>13.3</v>
      </c>
      <c r="E1043" s="164">
        <v>0.10833333333333339</v>
      </c>
      <c r="F1043">
        <v>34.200000000000003</v>
      </c>
    </row>
    <row r="1044" spans="1:6">
      <c r="A1044">
        <v>2327</v>
      </c>
      <c r="B1044" t="s">
        <v>810</v>
      </c>
      <c r="C1044">
        <v>46.3</v>
      </c>
      <c r="D1044">
        <f>VLOOKUP(A1044,收盤價!A:C,3,0)</f>
        <v>51.3</v>
      </c>
      <c r="E1044" s="164">
        <v>0.10799136069114472</v>
      </c>
      <c r="F1044">
        <v>34.130000000000003</v>
      </c>
    </row>
    <row r="1045" spans="1:6">
      <c r="A1045">
        <v>6210</v>
      </c>
      <c r="B1045" t="s">
        <v>1745</v>
      </c>
      <c r="C1045">
        <v>40.299999999999997</v>
      </c>
      <c r="D1045">
        <f>VLOOKUP(A1045,收盤價!A:C,3,0)</f>
        <v>44.65</v>
      </c>
      <c r="E1045" s="164">
        <v>0.10794044665012412</v>
      </c>
      <c r="F1045">
        <v>34.07</v>
      </c>
    </row>
    <row r="1046" spans="1:6">
      <c r="A1046">
        <v>1423</v>
      </c>
      <c r="B1046" t="s">
        <v>604</v>
      </c>
      <c r="C1046">
        <v>6.4</v>
      </c>
      <c r="D1046">
        <f>VLOOKUP(A1046,收盤價!A:C,3,0)</f>
        <v>7.09</v>
      </c>
      <c r="E1046" s="164">
        <v>0.10781249999999992</v>
      </c>
      <c r="F1046">
        <v>34.01</v>
      </c>
    </row>
    <row r="1047" spans="1:6">
      <c r="A1047">
        <v>1614</v>
      </c>
      <c r="B1047" t="s">
        <v>691</v>
      </c>
      <c r="C1047">
        <v>23.2</v>
      </c>
      <c r="D1047">
        <f>VLOOKUP(A1047,收盤價!A:C,3,0)</f>
        <v>25.7</v>
      </c>
      <c r="E1047" s="164">
        <v>0.10775862068965518</v>
      </c>
      <c r="F1047">
        <v>33.94</v>
      </c>
    </row>
    <row r="1048" spans="1:6">
      <c r="A1048">
        <v>2535</v>
      </c>
      <c r="B1048" t="s">
        <v>954</v>
      </c>
      <c r="C1048">
        <v>13</v>
      </c>
      <c r="D1048">
        <f>VLOOKUP(A1048,收盤價!A:C,3,0)</f>
        <v>14.4</v>
      </c>
      <c r="E1048" s="164">
        <v>0.10769230769230773</v>
      </c>
      <c r="F1048">
        <v>33.880000000000003</v>
      </c>
    </row>
    <row r="1049" spans="1:6">
      <c r="A1049">
        <v>911868</v>
      </c>
      <c r="B1049" t="s">
        <v>1390</v>
      </c>
      <c r="C1049">
        <v>2.33</v>
      </c>
      <c r="D1049">
        <f>VLOOKUP(A1049,收盤價!A:C,3,0)</f>
        <v>2.58</v>
      </c>
      <c r="E1049" s="164">
        <v>0.1072961373390558</v>
      </c>
      <c r="F1049">
        <v>33.82</v>
      </c>
    </row>
    <row r="1050" spans="1:6">
      <c r="A1050">
        <v>1449</v>
      </c>
      <c r="B1050" t="s">
        <v>620</v>
      </c>
      <c r="C1050">
        <v>5.5</v>
      </c>
      <c r="D1050">
        <f>VLOOKUP(A1050,收盤價!A:C,3,0)</f>
        <v>6.09</v>
      </c>
      <c r="E1050" s="164">
        <v>0.10727272727272724</v>
      </c>
      <c r="F1050">
        <v>33.75</v>
      </c>
    </row>
    <row r="1051" spans="1:6">
      <c r="A1051">
        <v>1583</v>
      </c>
      <c r="B1051" t="s">
        <v>679</v>
      </c>
      <c r="C1051">
        <v>57.9</v>
      </c>
      <c r="D1051">
        <f>VLOOKUP(A1051,收盤價!A:C,3,0)</f>
        <v>64.099999999999994</v>
      </c>
      <c r="E1051" s="164">
        <v>0.10708117443868732</v>
      </c>
      <c r="F1051">
        <v>33.69</v>
      </c>
    </row>
    <row r="1052" spans="1:6">
      <c r="A1052">
        <v>2832</v>
      </c>
      <c r="B1052" t="s">
        <v>1003</v>
      </c>
      <c r="C1052">
        <v>19.649999999999999</v>
      </c>
      <c r="D1052">
        <f>VLOOKUP(A1052,收盤價!A:C,3,0)</f>
        <v>21.75</v>
      </c>
      <c r="E1052" s="164">
        <v>0.10687022900763367</v>
      </c>
      <c r="F1052">
        <v>33.630000000000003</v>
      </c>
    </row>
    <row r="1053" spans="1:6">
      <c r="A1053">
        <v>8932</v>
      </c>
      <c r="B1053" t="s">
        <v>1842</v>
      </c>
      <c r="C1053">
        <v>8.5</v>
      </c>
      <c r="D1053">
        <f>VLOOKUP(A1053,收盤價!A:C,3,0)</f>
        <v>9.4</v>
      </c>
      <c r="E1053" s="164">
        <v>0.10588235294117651</v>
      </c>
      <c r="F1053">
        <v>33.56</v>
      </c>
    </row>
    <row r="1054" spans="1:6">
      <c r="A1054">
        <v>1442</v>
      </c>
      <c r="B1054" t="s">
        <v>614</v>
      </c>
      <c r="C1054">
        <v>16.100000000000001</v>
      </c>
      <c r="D1054">
        <f>VLOOKUP(A1054,收盤價!A:C,3,0)</f>
        <v>17.8</v>
      </c>
      <c r="E1054" s="164">
        <v>0.10559006211180119</v>
      </c>
      <c r="F1054">
        <v>33.5</v>
      </c>
    </row>
    <row r="1055" spans="1:6">
      <c r="A1055">
        <v>5276</v>
      </c>
      <c r="B1055" t="s">
        <v>1649</v>
      </c>
      <c r="C1055">
        <v>19.899999999999999</v>
      </c>
      <c r="D1055">
        <f>VLOOKUP(A1055,收盤價!A:C,3,0)</f>
        <v>22</v>
      </c>
      <c r="E1055" s="164">
        <v>0.10552763819095486</v>
      </c>
      <c r="F1055">
        <v>33.44</v>
      </c>
    </row>
    <row r="1056" spans="1:6">
      <c r="A1056">
        <v>2537</v>
      </c>
      <c r="B1056" t="s">
        <v>956</v>
      </c>
      <c r="C1056">
        <v>7.5</v>
      </c>
      <c r="D1056">
        <f>VLOOKUP(A1056,收盤價!A:C,3,0)</f>
        <v>8.2899999999999991</v>
      </c>
      <c r="E1056" s="164">
        <v>0.10533333333333322</v>
      </c>
      <c r="F1056">
        <v>33.380000000000003</v>
      </c>
    </row>
    <row r="1057" spans="1:6">
      <c r="A1057">
        <v>2380</v>
      </c>
      <c r="B1057" t="s">
        <v>850</v>
      </c>
      <c r="C1057">
        <v>6.75</v>
      </c>
      <c r="D1057">
        <f>VLOOKUP(A1057,收盤價!A:C,3,0)</f>
        <v>7.46</v>
      </c>
      <c r="E1057" s="164">
        <v>0.10518518518518517</v>
      </c>
      <c r="F1057">
        <v>33.31</v>
      </c>
    </row>
    <row r="1058" spans="1:6">
      <c r="A1058">
        <v>1315</v>
      </c>
      <c r="B1058" t="s">
        <v>583</v>
      </c>
      <c r="C1058">
        <v>21.4</v>
      </c>
      <c r="D1058">
        <f>VLOOKUP(A1058,收盤價!A:C,3,0)</f>
        <v>23.65</v>
      </c>
      <c r="E1058" s="164">
        <v>0.10514018691588786</v>
      </c>
      <c r="F1058">
        <v>33.25</v>
      </c>
    </row>
    <row r="1059" spans="1:6">
      <c r="A1059">
        <v>1110</v>
      </c>
      <c r="B1059" t="s">
        <v>550</v>
      </c>
      <c r="C1059">
        <v>13.4</v>
      </c>
      <c r="D1059">
        <f>VLOOKUP(A1059,收盤價!A:C,3,0)</f>
        <v>14.8</v>
      </c>
      <c r="E1059" s="164">
        <v>0.10447761194029853</v>
      </c>
      <c r="F1059">
        <v>33.19</v>
      </c>
    </row>
    <row r="1060" spans="1:6">
      <c r="A1060">
        <v>1611</v>
      </c>
      <c r="B1060" t="s">
        <v>688</v>
      </c>
      <c r="C1060">
        <v>6.44</v>
      </c>
      <c r="D1060">
        <f>VLOOKUP(A1060,收盤價!A:C,3,0)</f>
        <v>7.11</v>
      </c>
      <c r="E1060" s="164">
        <v>0.10403726708074533</v>
      </c>
      <c r="F1060">
        <v>33.119999999999997</v>
      </c>
    </row>
    <row r="1061" spans="1:6">
      <c r="A1061">
        <v>8150</v>
      </c>
      <c r="B1061" t="s">
        <v>1351</v>
      </c>
      <c r="C1061">
        <v>29.45</v>
      </c>
      <c r="D1061">
        <f>VLOOKUP(A1061,收盤價!A:C,3,0)</f>
        <v>32.5</v>
      </c>
      <c r="E1061" s="164">
        <v>0.10356536502546691</v>
      </c>
      <c r="F1061">
        <v>33.06</v>
      </c>
    </row>
    <row r="1062" spans="1:6">
      <c r="A1062">
        <v>9907</v>
      </c>
      <c r="B1062" t="s">
        <v>1402</v>
      </c>
      <c r="C1062">
        <v>13.6</v>
      </c>
      <c r="D1062">
        <f>VLOOKUP(A1062,收盤價!A:C,3,0)</f>
        <v>15</v>
      </c>
      <c r="E1062" s="164">
        <v>0.10294117647058826</v>
      </c>
      <c r="F1062">
        <v>33</v>
      </c>
    </row>
    <row r="1063" spans="1:6">
      <c r="A1063">
        <v>1717</v>
      </c>
      <c r="B1063" t="s">
        <v>709</v>
      </c>
      <c r="C1063">
        <v>27.8</v>
      </c>
      <c r="D1063">
        <f>VLOOKUP(A1063,收盤價!A:C,3,0)</f>
        <v>30.65</v>
      </c>
      <c r="E1063" s="164">
        <v>0.10251798561151071</v>
      </c>
      <c r="F1063">
        <v>32.93</v>
      </c>
    </row>
    <row r="1064" spans="1:6">
      <c r="A1064">
        <v>8287</v>
      </c>
      <c r="B1064" t="s">
        <v>1817</v>
      </c>
      <c r="C1064">
        <v>14.65</v>
      </c>
      <c r="D1064">
        <f>VLOOKUP(A1064,收盤價!A:C,3,0)</f>
        <v>16.149999999999999</v>
      </c>
      <c r="E1064" s="164">
        <v>0.10238907849829339</v>
      </c>
      <c r="F1064">
        <v>32.869999999999997</v>
      </c>
    </row>
    <row r="1065" spans="1:6">
      <c r="A1065">
        <v>3296</v>
      </c>
      <c r="B1065" t="s">
        <v>1110</v>
      </c>
      <c r="C1065">
        <v>12.7</v>
      </c>
      <c r="D1065">
        <f>VLOOKUP(A1065,收盤價!A:C,3,0)</f>
        <v>14</v>
      </c>
      <c r="E1065" s="164">
        <v>0.10236220472440952</v>
      </c>
      <c r="F1065">
        <v>32.81</v>
      </c>
    </row>
    <row r="1066" spans="1:6">
      <c r="A1066">
        <v>2105</v>
      </c>
      <c r="B1066" t="s">
        <v>779</v>
      </c>
      <c r="C1066">
        <v>50.1</v>
      </c>
      <c r="D1066">
        <f>VLOOKUP(A1066,收盤價!A:C,3,0)</f>
        <v>55.2</v>
      </c>
      <c r="E1066" s="164">
        <v>0.10179640718562877</v>
      </c>
      <c r="F1066">
        <v>32.74</v>
      </c>
    </row>
    <row r="1067" spans="1:6">
      <c r="A1067">
        <v>1742</v>
      </c>
      <c r="B1067" t="s">
        <v>538</v>
      </c>
      <c r="C1067">
        <v>10.45</v>
      </c>
      <c r="D1067">
        <f>VLOOKUP(A1067,收盤價!A:C,3,0)</f>
        <v>11.5</v>
      </c>
      <c r="E1067" s="164">
        <v>0.10047846889952161</v>
      </c>
      <c r="F1067">
        <v>32.68</v>
      </c>
    </row>
    <row r="1068" spans="1:6">
      <c r="A1068">
        <v>2882</v>
      </c>
      <c r="B1068" t="s">
        <v>1019</v>
      </c>
      <c r="C1068">
        <v>41</v>
      </c>
      <c r="D1068">
        <f>VLOOKUP(A1068,收盤價!A:C,3,0)</f>
        <v>45.1</v>
      </c>
      <c r="E1068" s="164">
        <v>0.10000000000000003</v>
      </c>
      <c r="F1068">
        <v>32.619999999999997</v>
      </c>
    </row>
    <row r="1069" spans="1:6">
      <c r="A1069">
        <v>8931</v>
      </c>
      <c r="B1069" t="s">
        <v>1841</v>
      </c>
      <c r="C1069">
        <v>19</v>
      </c>
      <c r="D1069">
        <f>VLOOKUP(A1069,收盤價!A:C,3,0)</f>
        <v>20.9</v>
      </c>
      <c r="E1069" s="164">
        <v>9.9999999999999922E-2</v>
      </c>
      <c r="F1069">
        <v>32.56</v>
      </c>
    </row>
    <row r="1070" spans="1:6">
      <c r="A1070">
        <v>6224</v>
      </c>
      <c r="B1070" t="s">
        <v>1299</v>
      </c>
      <c r="C1070">
        <v>59.1</v>
      </c>
      <c r="D1070">
        <f>VLOOKUP(A1070,收盤價!A:C,3,0)</f>
        <v>65</v>
      </c>
      <c r="E1070" s="164">
        <v>9.9830795262267319E-2</v>
      </c>
      <c r="F1070">
        <v>32.49</v>
      </c>
    </row>
    <row r="1071" spans="1:6">
      <c r="A1071">
        <v>8416</v>
      </c>
      <c r="B1071" t="s">
        <v>515</v>
      </c>
      <c r="C1071">
        <v>93.2</v>
      </c>
      <c r="D1071">
        <f>VLOOKUP(A1071,收盤價!A:C,3,0)</f>
        <v>102.5</v>
      </c>
      <c r="E1071" s="164">
        <v>9.9785407725321851E-2</v>
      </c>
      <c r="F1071">
        <v>32.43</v>
      </c>
    </row>
    <row r="1072" spans="1:6">
      <c r="A1072">
        <v>6164</v>
      </c>
      <c r="B1072" t="s">
        <v>1276</v>
      </c>
      <c r="C1072">
        <v>9.23</v>
      </c>
      <c r="D1072">
        <f>VLOOKUP(A1072,收盤價!A:C,3,0)</f>
        <v>10.15</v>
      </c>
      <c r="E1072" s="164">
        <v>9.9674972914409521E-2</v>
      </c>
      <c r="F1072">
        <v>32.369999999999997</v>
      </c>
    </row>
    <row r="1073" spans="1:6">
      <c r="A1073">
        <v>1444</v>
      </c>
      <c r="B1073" t="s">
        <v>616</v>
      </c>
      <c r="C1073">
        <v>8.25</v>
      </c>
      <c r="D1073">
        <f>VLOOKUP(A1073,收盤價!A:C,3,0)</f>
        <v>9.07</v>
      </c>
      <c r="E1073" s="164">
        <v>9.9393939393939423E-2</v>
      </c>
      <c r="F1073">
        <v>32.299999999999997</v>
      </c>
    </row>
    <row r="1074" spans="1:6">
      <c r="A1074">
        <v>9188</v>
      </c>
      <c r="B1074" t="s">
        <v>1396</v>
      </c>
      <c r="C1074">
        <v>3.47</v>
      </c>
      <c r="D1074">
        <f>VLOOKUP(A1074,收盤價!A:C,3,0)</f>
        <v>3.81</v>
      </c>
      <c r="E1074" s="164">
        <v>9.7982708933717536E-2</v>
      </c>
      <c r="F1074">
        <v>32.24</v>
      </c>
    </row>
    <row r="1075" spans="1:6">
      <c r="A1075">
        <v>1802</v>
      </c>
      <c r="B1075" t="s">
        <v>733</v>
      </c>
      <c r="C1075">
        <v>10.8</v>
      </c>
      <c r="D1075">
        <f>VLOOKUP(A1075,收盤價!A:C,3,0)</f>
        <v>11.85</v>
      </c>
      <c r="E1075" s="164">
        <v>9.7222222222222113E-2</v>
      </c>
      <c r="F1075">
        <v>32.18</v>
      </c>
    </row>
    <row r="1076" spans="1:6">
      <c r="A1076">
        <v>4175</v>
      </c>
      <c r="B1076" t="s">
        <v>375</v>
      </c>
      <c r="C1076">
        <v>72.2</v>
      </c>
      <c r="D1076">
        <f>VLOOKUP(A1076,收盤價!A:C,3,0)</f>
        <v>79.2</v>
      </c>
      <c r="E1076" s="164">
        <v>9.6952908587257608E-2</v>
      </c>
      <c r="F1076">
        <v>32.11</v>
      </c>
    </row>
    <row r="1077" spans="1:6">
      <c r="A1077">
        <v>5291</v>
      </c>
      <c r="B1077" t="s">
        <v>416</v>
      </c>
      <c r="C1077">
        <v>16</v>
      </c>
      <c r="D1077">
        <f>VLOOKUP(A1077,收盤價!A:C,3,0)</f>
        <v>17.55</v>
      </c>
      <c r="E1077" s="164">
        <v>9.6875000000000044E-2</v>
      </c>
      <c r="F1077">
        <v>32.049999999999997</v>
      </c>
    </row>
    <row r="1078" spans="1:6">
      <c r="A1078">
        <v>4420</v>
      </c>
      <c r="B1078" t="s">
        <v>1594</v>
      </c>
      <c r="C1078">
        <v>39.5</v>
      </c>
      <c r="D1078">
        <f>VLOOKUP(A1078,收盤價!A:C,3,0)</f>
        <v>43.3</v>
      </c>
      <c r="E1078" s="164">
        <v>9.620253164556955E-2</v>
      </c>
      <c r="F1078">
        <v>31.99</v>
      </c>
    </row>
    <row r="1079" spans="1:6">
      <c r="A1079">
        <v>5212</v>
      </c>
      <c r="B1079" t="s">
        <v>1643</v>
      </c>
      <c r="C1079">
        <v>18.2</v>
      </c>
      <c r="D1079">
        <f>VLOOKUP(A1079,收盤價!A:C,3,0)</f>
        <v>19.95</v>
      </c>
      <c r="E1079" s="164">
        <v>9.6153846153846159E-2</v>
      </c>
      <c r="F1079">
        <v>31.92</v>
      </c>
    </row>
    <row r="1080" spans="1:6">
      <c r="A1080">
        <v>4995</v>
      </c>
      <c r="B1080" t="s">
        <v>1635</v>
      </c>
      <c r="C1080">
        <v>34.950000000000003</v>
      </c>
      <c r="D1080">
        <f>VLOOKUP(A1080,收盤價!A:C,3,0)</f>
        <v>38.299999999999997</v>
      </c>
      <c r="E1080" s="164">
        <v>9.5851216022889665E-2</v>
      </c>
      <c r="F1080">
        <v>31.86</v>
      </c>
    </row>
    <row r="1081" spans="1:6">
      <c r="A1081">
        <v>3512</v>
      </c>
      <c r="B1081" t="s">
        <v>1526</v>
      </c>
      <c r="C1081">
        <v>28.95</v>
      </c>
      <c r="D1081">
        <f>VLOOKUP(A1081,收盤價!A:C,3,0)</f>
        <v>31.7</v>
      </c>
      <c r="E1081" s="164">
        <v>9.4991364421416244E-2</v>
      </c>
      <c r="F1081">
        <v>31.8</v>
      </c>
    </row>
    <row r="1082" spans="1:6">
      <c r="A1082">
        <v>8042</v>
      </c>
      <c r="B1082" t="s">
        <v>1780</v>
      </c>
      <c r="C1082">
        <v>32.9</v>
      </c>
      <c r="D1082">
        <f>VLOOKUP(A1082,收盤價!A:C,3,0)</f>
        <v>36</v>
      </c>
      <c r="E1082" s="164">
        <v>9.4224924012158096E-2</v>
      </c>
      <c r="F1082">
        <v>31.74</v>
      </c>
    </row>
    <row r="1083" spans="1:6">
      <c r="A1083">
        <v>1909</v>
      </c>
      <c r="B1083" t="s">
        <v>745</v>
      </c>
      <c r="C1083">
        <v>10.1</v>
      </c>
      <c r="D1083">
        <f>VLOOKUP(A1083,收盤價!A:C,3,0)</f>
        <v>11.05</v>
      </c>
      <c r="E1083" s="164">
        <v>9.4059405940594171E-2</v>
      </c>
      <c r="F1083">
        <v>31.67</v>
      </c>
    </row>
    <row r="1084" spans="1:6">
      <c r="A1084">
        <v>5201</v>
      </c>
      <c r="B1084" t="s">
        <v>1639</v>
      </c>
      <c r="C1084">
        <v>11.7</v>
      </c>
      <c r="D1084">
        <f>VLOOKUP(A1084,收盤價!A:C,3,0)</f>
        <v>12.8</v>
      </c>
      <c r="E1084" s="164">
        <v>9.4017094017094141E-2</v>
      </c>
      <c r="F1084">
        <v>31.61</v>
      </c>
    </row>
    <row r="1085" spans="1:6">
      <c r="A1085">
        <v>1722</v>
      </c>
      <c r="B1085" t="s">
        <v>713</v>
      </c>
      <c r="C1085">
        <v>37.299999999999997</v>
      </c>
      <c r="D1085">
        <f>VLOOKUP(A1085,收盤價!A:C,3,0)</f>
        <v>40.799999999999997</v>
      </c>
      <c r="E1085" s="164">
        <v>9.3833780160857916E-2</v>
      </c>
      <c r="F1085">
        <v>31.55</v>
      </c>
    </row>
    <row r="1086" spans="1:6">
      <c r="A1086">
        <v>5340</v>
      </c>
      <c r="B1086" t="s">
        <v>1659</v>
      </c>
      <c r="C1086">
        <v>3.33</v>
      </c>
      <c r="D1086">
        <f>VLOOKUP(A1086,收盤價!A:C,3,0)</f>
        <v>3.64</v>
      </c>
      <c r="E1086" s="164">
        <v>9.3093093093093104E-2</v>
      </c>
      <c r="F1086">
        <v>31.48</v>
      </c>
    </row>
    <row r="1087" spans="1:6">
      <c r="A1087">
        <v>1313</v>
      </c>
      <c r="B1087" t="s">
        <v>581</v>
      </c>
      <c r="C1087">
        <v>8.4</v>
      </c>
      <c r="D1087">
        <f>VLOOKUP(A1087,收盤價!A:C,3,0)</f>
        <v>9.18</v>
      </c>
      <c r="E1087" s="164">
        <v>9.2857142857142777E-2</v>
      </c>
      <c r="F1087">
        <v>31.42</v>
      </c>
    </row>
    <row r="1088" spans="1:6">
      <c r="A1088">
        <v>6504</v>
      </c>
      <c r="B1088" t="s">
        <v>1331</v>
      </c>
      <c r="C1088">
        <v>167</v>
      </c>
      <c r="D1088">
        <f>VLOOKUP(A1088,收盤價!A:C,3,0)</f>
        <v>182.5</v>
      </c>
      <c r="E1088" s="164">
        <v>9.2814371257485026E-2</v>
      </c>
      <c r="F1088">
        <v>31.36</v>
      </c>
    </row>
    <row r="1089" spans="1:6">
      <c r="A1089">
        <v>3030</v>
      </c>
      <c r="B1089" t="s">
        <v>1068</v>
      </c>
      <c r="C1089">
        <v>48.3</v>
      </c>
      <c r="D1089">
        <f>VLOOKUP(A1089,收盤價!A:C,3,0)</f>
        <v>52.7</v>
      </c>
      <c r="E1089" s="164">
        <v>9.1097308488612957E-2</v>
      </c>
      <c r="F1089">
        <v>31.29</v>
      </c>
    </row>
    <row r="1090" spans="1:6">
      <c r="A1090">
        <v>8082</v>
      </c>
      <c r="B1090" t="s">
        <v>506</v>
      </c>
      <c r="C1090">
        <v>1.87</v>
      </c>
      <c r="D1090">
        <f>VLOOKUP(A1090,收盤價!A:C,3,0)</f>
        <v>2.04</v>
      </c>
      <c r="E1090" s="164">
        <v>9.090909090909087E-2</v>
      </c>
      <c r="F1090">
        <v>31.23</v>
      </c>
    </row>
    <row r="1091" spans="1:6">
      <c r="A1091">
        <v>4956</v>
      </c>
      <c r="B1091" t="s">
        <v>1217</v>
      </c>
      <c r="C1091">
        <v>10.5</v>
      </c>
      <c r="D1091">
        <f>VLOOKUP(A1091,收盤價!A:C,3,0)</f>
        <v>11.45</v>
      </c>
      <c r="E1091" s="164">
        <v>9.0476190476190405E-2</v>
      </c>
      <c r="F1091">
        <v>31.17</v>
      </c>
    </row>
    <row r="1092" spans="1:6">
      <c r="A1092">
        <v>8424</v>
      </c>
      <c r="B1092" t="s">
        <v>518</v>
      </c>
      <c r="C1092">
        <v>36.15</v>
      </c>
      <c r="D1092">
        <f>VLOOKUP(A1092,收盤價!A:C,3,0)</f>
        <v>39.4</v>
      </c>
      <c r="E1092" s="164">
        <v>8.9903181189488243E-2</v>
      </c>
      <c r="F1092">
        <v>31.1</v>
      </c>
    </row>
    <row r="1093" spans="1:6">
      <c r="A1093">
        <v>6221</v>
      </c>
      <c r="B1093" t="s">
        <v>473</v>
      </c>
      <c r="C1093">
        <v>21.2</v>
      </c>
      <c r="D1093">
        <f>VLOOKUP(A1093,收盤價!A:C,3,0)</f>
        <v>23.1</v>
      </c>
      <c r="E1093" s="164">
        <v>8.9622641509434067E-2</v>
      </c>
      <c r="F1093">
        <v>31.04</v>
      </c>
    </row>
    <row r="1094" spans="1:6">
      <c r="A1094">
        <v>2616</v>
      </c>
      <c r="B1094" t="s">
        <v>980</v>
      </c>
      <c r="C1094">
        <v>20.65</v>
      </c>
      <c r="D1094">
        <f>VLOOKUP(A1094,收盤價!A:C,3,0)</f>
        <v>22.5</v>
      </c>
      <c r="E1094" s="164">
        <v>8.9588377723971019E-2</v>
      </c>
      <c r="F1094">
        <v>30.98</v>
      </c>
    </row>
    <row r="1095" spans="1:6">
      <c r="A1095">
        <v>9939</v>
      </c>
      <c r="B1095" t="s">
        <v>1425</v>
      </c>
      <c r="C1095">
        <v>44.25</v>
      </c>
      <c r="D1095">
        <f>VLOOKUP(A1095,收盤價!A:C,3,0)</f>
        <v>48.2</v>
      </c>
      <c r="E1095" s="164">
        <v>8.926553672316391E-2</v>
      </c>
      <c r="F1095">
        <v>30.91</v>
      </c>
    </row>
    <row r="1096" spans="1:6">
      <c r="A1096">
        <v>1589</v>
      </c>
      <c r="B1096" t="s">
        <v>680</v>
      </c>
      <c r="C1096">
        <v>168.5</v>
      </c>
      <c r="D1096">
        <f>VLOOKUP(A1096,收盤價!A:C,3,0)</f>
        <v>183.5</v>
      </c>
      <c r="E1096" s="164">
        <v>8.9020771513353122E-2</v>
      </c>
      <c r="F1096">
        <v>30.85</v>
      </c>
    </row>
    <row r="1097" spans="1:6">
      <c r="A1097">
        <v>911619</v>
      </c>
      <c r="B1097" t="s">
        <v>1387</v>
      </c>
      <c r="C1097">
        <v>1.24</v>
      </c>
      <c r="D1097">
        <f>VLOOKUP(A1097,收盤價!A:C,3,0)</f>
        <v>1.35</v>
      </c>
      <c r="E1097" s="164">
        <v>8.8709677419354913E-2</v>
      </c>
      <c r="F1097">
        <v>30.79</v>
      </c>
    </row>
    <row r="1098" spans="1:6">
      <c r="A1098">
        <v>5384</v>
      </c>
      <c r="B1098" t="s">
        <v>428</v>
      </c>
      <c r="C1098">
        <v>11.85</v>
      </c>
      <c r="D1098">
        <f>VLOOKUP(A1098,收盤價!A:C,3,0)</f>
        <v>12.9</v>
      </c>
      <c r="E1098" s="164">
        <v>8.8607594936708917E-2</v>
      </c>
      <c r="F1098">
        <v>30.73</v>
      </c>
    </row>
    <row r="1099" spans="1:6">
      <c r="A1099">
        <v>2467</v>
      </c>
      <c r="B1099" t="s">
        <v>914</v>
      </c>
      <c r="C1099">
        <v>11.3</v>
      </c>
      <c r="D1099">
        <f>VLOOKUP(A1099,收盤價!A:C,3,0)</f>
        <v>12.3</v>
      </c>
      <c r="E1099" s="164">
        <v>8.8495575221238937E-2</v>
      </c>
      <c r="F1099">
        <v>30.66</v>
      </c>
    </row>
    <row r="1100" spans="1:6">
      <c r="A1100">
        <v>3028</v>
      </c>
      <c r="B1100" t="s">
        <v>1066</v>
      </c>
      <c r="C1100">
        <v>14.7</v>
      </c>
      <c r="D1100">
        <f>VLOOKUP(A1100,收盤價!A:C,3,0)</f>
        <v>16</v>
      </c>
      <c r="E1100" s="164">
        <v>8.843537414965992E-2</v>
      </c>
      <c r="F1100">
        <v>30.6</v>
      </c>
    </row>
    <row r="1101" spans="1:6">
      <c r="A1101">
        <v>5512</v>
      </c>
      <c r="B1101" t="s">
        <v>442</v>
      </c>
      <c r="C1101">
        <v>8.73</v>
      </c>
      <c r="D1101">
        <f>VLOOKUP(A1101,收盤價!A:C,3,0)</f>
        <v>9.5</v>
      </c>
      <c r="E1101" s="164">
        <v>8.8201603665521142E-2</v>
      </c>
      <c r="F1101">
        <v>30.54</v>
      </c>
    </row>
    <row r="1102" spans="1:6">
      <c r="A1102">
        <v>1726</v>
      </c>
      <c r="B1102" t="s">
        <v>717</v>
      </c>
      <c r="C1102">
        <v>64.3</v>
      </c>
      <c r="D1102">
        <f>VLOOKUP(A1102,收盤價!A:C,3,0)</f>
        <v>69.900000000000006</v>
      </c>
      <c r="E1102" s="164">
        <v>8.709175738724742E-2</v>
      </c>
      <c r="F1102">
        <v>30.47</v>
      </c>
    </row>
    <row r="1103" spans="1:6">
      <c r="A1103">
        <v>1773</v>
      </c>
      <c r="B1103" t="s">
        <v>729</v>
      </c>
      <c r="C1103">
        <v>37.35</v>
      </c>
      <c r="D1103">
        <f>VLOOKUP(A1103,收盤價!A:C,3,0)</f>
        <v>40.6</v>
      </c>
      <c r="E1103" s="164">
        <v>8.7014725568942436E-2</v>
      </c>
      <c r="F1103">
        <v>30.41</v>
      </c>
    </row>
    <row r="1104" spans="1:6">
      <c r="A1104">
        <v>1735</v>
      </c>
      <c r="B1104" t="s">
        <v>725</v>
      </c>
      <c r="C1104">
        <v>10.95</v>
      </c>
      <c r="D1104">
        <f>VLOOKUP(A1104,收盤價!A:C,3,0)</f>
        <v>11.9</v>
      </c>
      <c r="E1104" s="164">
        <v>8.6757990867580015E-2</v>
      </c>
      <c r="F1104">
        <v>30.35</v>
      </c>
    </row>
    <row r="1105" spans="1:6">
      <c r="A1105">
        <v>2506</v>
      </c>
      <c r="B1105" t="s">
        <v>942</v>
      </c>
      <c r="C1105">
        <v>15</v>
      </c>
      <c r="D1105">
        <f>VLOOKUP(A1105,收盤價!A:C,3,0)</f>
        <v>16.3</v>
      </c>
      <c r="E1105" s="164">
        <v>8.6666666666666711E-2</v>
      </c>
      <c r="F1105">
        <v>30.28</v>
      </c>
    </row>
    <row r="1106" spans="1:6">
      <c r="A1106">
        <v>5464</v>
      </c>
      <c r="B1106" t="s">
        <v>1676</v>
      </c>
      <c r="C1106">
        <v>15.6</v>
      </c>
      <c r="D1106">
        <f>VLOOKUP(A1106,收盤價!A:C,3,0)</f>
        <v>16.95</v>
      </c>
      <c r="E1106" s="164">
        <v>8.6538461538461522E-2</v>
      </c>
      <c r="F1106">
        <v>30.22</v>
      </c>
    </row>
    <row r="1107" spans="1:6">
      <c r="A1107">
        <v>1616</v>
      </c>
      <c r="B1107" t="s">
        <v>693</v>
      </c>
      <c r="C1107">
        <v>4.0999999999999996</v>
      </c>
      <c r="D1107">
        <f>VLOOKUP(A1107,收盤價!A:C,3,0)</f>
        <v>4.45</v>
      </c>
      <c r="E1107" s="164">
        <v>8.5365853658536717E-2</v>
      </c>
      <c r="F1107">
        <v>30.16</v>
      </c>
    </row>
    <row r="1108" spans="1:6">
      <c r="A1108">
        <v>1256</v>
      </c>
      <c r="B1108" t="s">
        <v>1436</v>
      </c>
      <c r="C1108">
        <v>129</v>
      </c>
      <c r="D1108">
        <f>VLOOKUP(A1108,收盤價!A:C,3,0)</f>
        <v>140</v>
      </c>
      <c r="E1108" s="164">
        <v>8.5271317829457363E-2</v>
      </c>
      <c r="F1108">
        <v>30.09</v>
      </c>
    </row>
    <row r="1109" spans="1:6">
      <c r="A1109">
        <v>2884</v>
      </c>
      <c r="B1109" t="s">
        <v>1021</v>
      </c>
      <c r="C1109">
        <v>18.2</v>
      </c>
      <c r="D1109">
        <f>VLOOKUP(A1109,收盤價!A:C,3,0)</f>
        <v>19.75</v>
      </c>
      <c r="E1109" s="164">
        <v>8.5164835164835209E-2</v>
      </c>
      <c r="F1109">
        <v>30.03</v>
      </c>
    </row>
    <row r="1110" spans="1:6">
      <c r="A1110">
        <v>2066</v>
      </c>
      <c r="B1110" t="s">
        <v>277</v>
      </c>
      <c r="C1110">
        <v>99.6</v>
      </c>
      <c r="D1110">
        <f>VLOOKUP(A1110,收盤價!A:C,3,0)</f>
        <v>108</v>
      </c>
      <c r="E1110" s="164">
        <v>8.4337349397590425E-2</v>
      </c>
      <c r="F1110">
        <v>29.97</v>
      </c>
    </row>
    <row r="1111" spans="1:6">
      <c r="A1111">
        <v>1535</v>
      </c>
      <c r="B1111" t="s">
        <v>668</v>
      </c>
      <c r="C1111">
        <v>53.4</v>
      </c>
      <c r="D1111">
        <f>VLOOKUP(A1111,收盤價!A:C,3,0)</f>
        <v>57.9</v>
      </c>
      <c r="E1111" s="164">
        <v>8.4269662921348312E-2</v>
      </c>
      <c r="F1111">
        <v>29.91</v>
      </c>
    </row>
    <row r="1112" spans="1:6">
      <c r="A1112">
        <v>8040</v>
      </c>
      <c r="B1112" t="s">
        <v>1779</v>
      </c>
      <c r="C1112">
        <v>6.8</v>
      </c>
      <c r="D1112">
        <f>VLOOKUP(A1112,收盤價!A:C,3,0)</f>
        <v>7.37</v>
      </c>
      <c r="E1112" s="164">
        <v>8.3823529411764755E-2</v>
      </c>
      <c r="F1112">
        <v>29.84</v>
      </c>
    </row>
    <row r="1113" spans="1:6">
      <c r="A1113">
        <v>2375</v>
      </c>
      <c r="B1113" t="s">
        <v>846</v>
      </c>
      <c r="C1113">
        <v>12.7</v>
      </c>
      <c r="D1113">
        <f>VLOOKUP(A1113,收盤價!A:C,3,0)</f>
        <v>13.75</v>
      </c>
      <c r="E1113" s="164">
        <v>8.267716535433077E-2</v>
      </c>
      <c r="F1113">
        <v>29.78</v>
      </c>
    </row>
    <row r="1114" spans="1:6">
      <c r="A1114">
        <v>5538</v>
      </c>
      <c r="B1114" t="s">
        <v>1250</v>
      </c>
      <c r="C1114">
        <v>24.2</v>
      </c>
      <c r="D1114">
        <f>VLOOKUP(A1114,收盤價!A:C,3,0)</f>
        <v>26.2</v>
      </c>
      <c r="E1114" s="164">
        <v>8.2644628099173556E-2</v>
      </c>
      <c r="F1114">
        <v>29.72</v>
      </c>
    </row>
    <row r="1115" spans="1:6">
      <c r="A1115">
        <v>3276</v>
      </c>
      <c r="B1115" t="s">
        <v>1497</v>
      </c>
      <c r="C1115">
        <v>8.1</v>
      </c>
      <c r="D1115">
        <f>VLOOKUP(A1115,收盤價!A:C,3,0)</f>
        <v>8.76</v>
      </c>
      <c r="E1115" s="164">
        <v>8.1481481481481502E-2</v>
      </c>
      <c r="F1115">
        <v>29.65</v>
      </c>
    </row>
    <row r="1116" spans="1:6">
      <c r="A1116">
        <v>1540</v>
      </c>
      <c r="B1116" t="s">
        <v>673</v>
      </c>
      <c r="C1116">
        <v>14.9</v>
      </c>
      <c r="D1116">
        <f>VLOOKUP(A1116,收盤價!A:C,3,0)</f>
        <v>16.100000000000001</v>
      </c>
      <c r="E1116" s="164">
        <v>8.0536912751677917E-2</v>
      </c>
      <c r="F1116">
        <v>29.59</v>
      </c>
    </row>
    <row r="1117" spans="1:6">
      <c r="A1117">
        <v>5347</v>
      </c>
      <c r="B1117" t="s">
        <v>424</v>
      </c>
      <c r="C1117">
        <v>37.450000000000003</v>
      </c>
      <c r="D1117">
        <f>VLOOKUP(A1117,收盤價!A:C,3,0)</f>
        <v>40.450000000000003</v>
      </c>
      <c r="E1117" s="164">
        <v>8.0106809078771685E-2</v>
      </c>
      <c r="F1117">
        <v>29.53</v>
      </c>
    </row>
    <row r="1118" spans="1:6">
      <c r="A1118">
        <v>8087</v>
      </c>
      <c r="B1118" t="s">
        <v>509</v>
      </c>
      <c r="C1118">
        <v>7.03</v>
      </c>
      <c r="D1118">
        <f>VLOOKUP(A1118,收盤價!A:C,3,0)</f>
        <v>7.59</v>
      </c>
      <c r="E1118" s="164">
        <v>7.9658605974395391E-2</v>
      </c>
      <c r="F1118">
        <v>29.46</v>
      </c>
    </row>
    <row r="1119" spans="1:6">
      <c r="A1119">
        <v>4205</v>
      </c>
      <c r="B1119" t="s">
        <v>1584</v>
      </c>
      <c r="C1119">
        <v>35.9</v>
      </c>
      <c r="D1119">
        <f>VLOOKUP(A1119,收盤價!A:C,3,0)</f>
        <v>38.75</v>
      </c>
      <c r="E1119" s="164">
        <v>7.9387186629526499E-2</v>
      </c>
      <c r="F1119">
        <v>29.4</v>
      </c>
    </row>
    <row r="1120" spans="1:6">
      <c r="A1120">
        <v>2448</v>
      </c>
      <c r="B1120" t="s">
        <v>897</v>
      </c>
      <c r="C1120">
        <v>21.5</v>
      </c>
      <c r="D1120">
        <f>VLOOKUP(A1120,收盤價!A:C,3,0)</f>
        <v>23.2</v>
      </c>
      <c r="E1120" s="164">
        <v>7.9069767441860436E-2</v>
      </c>
      <c r="F1120">
        <v>29.34</v>
      </c>
    </row>
    <row r="1121" spans="1:6">
      <c r="A1121">
        <v>9157</v>
      </c>
      <c r="B1121" t="s">
        <v>1395</v>
      </c>
      <c r="C1121">
        <v>1.27</v>
      </c>
      <c r="D1121">
        <f>VLOOKUP(A1121,收盤價!A:C,3,0)</f>
        <v>1.37</v>
      </c>
      <c r="E1121" s="164">
        <v>7.8740157480315029E-2</v>
      </c>
      <c r="F1121">
        <v>29.27</v>
      </c>
    </row>
    <row r="1122" spans="1:6">
      <c r="A1122">
        <v>8083</v>
      </c>
      <c r="B1122" t="s">
        <v>507</v>
      </c>
      <c r="C1122">
        <v>127</v>
      </c>
      <c r="D1122">
        <f>VLOOKUP(A1122,收盤價!A:C,3,0)</f>
        <v>137</v>
      </c>
      <c r="E1122" s="164">
        <v>7.874015748031496E-2</v>
      </c>
      <c r="F1122">
        <v>29.21</v>
      </c>
    </row>
    <row r="1123" spans="1:6">
      <c r="A1123">
        <v>6203</v>
      </c>
      <c r="B1123" t="s">
        <v>469</v>
      </c>
      <c r="C1123">
        <v>28.05</v>
      </c>
      <c r="D1123">
        <f>VLOOKUP(A1123,收盤價!A:C,3,0)</f>
        <v>30.25</v>
      </c>
      <c r="E1123" s="164">
        <v>7.8431372549019579E-2</v>
      </c>
      <c r="F1123">
        <v>29.15</v>
      </c>
    </row>
    <row r="1124" spans="1:6">
      <c r="A1124">
        <v>3018</v>
      </c>
      <c r="B1124" t="s">
        <v>1057</v>
      </c>
      <c r="C1124">
        <v>15.35</v>
      </c>
      <c r="D1124">
        <f>VLOOKUP(A1124,收盤價!A:C,3,0)</f>
        <v>16.55</v>
      </c>
      <c r="E1124" s="164">
        <v>7.8175895765472389E-2</v>
      </c>
      <c r="F1124">
        <v>29.09</v>
      </c>
    </row>
    <row r="1125" spans="1:6">
      <c r="A1125">
        <v>2474</v>
      </c>
      <c r="B1125" t="s">
        <v>917</v>
      </c>
      <c r="C1125">
        <v>294.5</v>
      </c>
      <c r="D1125">
        <f>VLOOKUP(A1125,收盤價!A:C,3,0)</f>
        <v>317.5</v>
      </c>
      <c r="E1125" s="164">
        <v>7.8098471986417659E-2</v>
      </c>
      <c r="F1125">
        <v>29.02</v>
      </c>
    </row>
    <row r="1126" spans="1:6">
      <c r="A1126">
        <v>5880</v>
      </c>
      <c r="B1126" t="s">
        <v>1255</v>
      </c>
      <c r="C1126">
        <v>12.85</v>
      </c>
      <c r="D1126">
        <f>VLOOKUP(A1126,收盤價!A:C,3,0)</f>
        <v>13.85</v>
      </c>
      <c r="E1126" s="164">
        <v>7.7821011673151752E-2</v>
      </c>
      <c r="F1126">
        <v>28.96</v>
      </c>
    </row>
    <row r="1127" spans="1:6">
      <c r="A1127">
        <v>3557</v>
      </c>
      <c r="B1127" t="s">
        <v>1145</v>
      </c>
      <c r="C1127">
        <v>3.63</v>
      </c>
      <c r="D1127">
        <f>VLOOKUP(A1127,收盤價!A:C,3,0)</f>
        <v>3.91</v>
      </c>
      <c r="E1127" s="164">
        <v>7.7134986225895388E-2</v>
      </c>
      <c r="F1127">
        <v>28.9</v>
      </c>
    </row>
    <row r="1128" spans="1:6">
      <c r="A1128">
        <v>4503</v>
      </c>
      <c r="B1128" t="s">
        <v>381</v>
      </c>
      <c r="C1128">
        <v>11.7</v>
      </c>
      <c r="D1128">
        <f>VLOOKUP(A1128,收盤價!A:C,3,0)</f>
        <v>12.6</v>
      </c>
      <c r="E1128" s="164">
        <v>7.6923076923076955E-2</v>
      </c>
      <c r="F1128">
        <v>28.83</v>
      </c>
    </row>
    <row r="1129" spans="1:6">
      <c r="A1129">
        <v>3628</v>
      </c>
      <c r="B1129" t="s">
        <v>1546</v>
      </c>
      <c r="C1129">
        <v>48.3</v>
      </c>
      <c r="D1129">
        <f>VLOOKUP(A1129,收盤價!A:C,3,0)</f>
        <v>52</v>
      </c>
      <c r="E1129" s="164">
        <v>7.6604554865424487E-2</v>
      </c>
      <c r="F1129">
        <v>28.77</v>
      </c>
    </row>
    <row r="1130" spans="1:6">
      <c r="A1130">
        <v>2836</v>
      </c>
      <c r="B1130" t="s">
        <v>1005</v>
      </c>
      <c r="C1130">
        <v>8.1199999999999992</v>
      </c>
      <c r="D1130">
        <f>VLOOKUP(A1130,收盤價!A:C,3,0)</f>
        <v>8.74</v>
      </c>
      <c r="E1130" s="164">
        <v>7.6354679802955794E-2</v>
      </c>
      <c r="F1130">
        <v>28.71</v>
      </c>
    </row>
    <row r="1131" spans="1:6">
      <c r="A1131">
        <v>2449</v>
      </c>
      <c r="B1131" t="s">
        <v>898</v>
      </c>
      <c r="C1131">
        <v>19.100000000000001</v>
      </c>
      <c r="D1131">
        <f>VLOOKUP(A1131,收盤價!A:C,3,0)</f>
        <v>20.55</v>
      </c>
      <c r="E1131" s="164">
        <v>7.5916230366492102E-2</v>
      </c>
      <c r="F1131">
        <v>28.64</v>
      </c>
    </row>
    <row r="1132" spans="1:6">
      <c r="A1132">
        <v>6195</v>
      </c>
      <c r="B1132" t="s">
        <v>468</v>
      </c>
      <c r="C1132">
        <v>45</v>
      </c>
      <c r="D1132">
        <f>VLOOKUP(A1132,收盤價!A:C,3,0)</f>
        <v>48.4</v>
      </c>
      <c r="E1132" s="164">
        <v>7.5555555555555529E-2</v>
      </c>
      <c r="F1132">
        <v>28.58</v>
      </c>
    </row>
    <row r="1133" spans="1:6">
      <c r="A1133">
        <v>8411</v>
      </c>
      <c r="B1133" t="s">
        <v>1364</v>
      </c>
      <c r="C1133">
        <v>23.85</v>
      </c>
      <c r="D1133">
        <f>VLOOKUP(A1133,收盤價!A:C,3,0)</f>
        <v>25.65</v>
      </c>
      <c r="E1133" s="164">
        <v>7.5471698113207419E-2</v>
      </c>
      <c r="F1133">
        <v>28.52</v>
      </c>
    </row>
    <row r="1134" spans="1:6">
      <c r="A1134">
        <v>3388</v>
      </c>
      <c r="B1134" t="s">
        <v>326</v>
      </c>
      <c r="C1134">
        <v>57</v>
      </c>
      <c r="D1134">
        <f>VLOOKUP(A1134,收盤價!A:C,3,0)</f>
        <v>61.3</v>
      </c>
      <c r="E1134" s="164">
        <v>7.5438596491228027E-2</v>
      </c>
      <c r="F1134">
        <v>28.45</v>
      </c>
    </row>
    <row r="1135" spans="1:6">
      <c r="A1135">
        <v>8071</v>
      </c>
      <c r="B1135" t="s">
        <v>504</v>
      </c>
      <c r="C1135">
        <v>11.95</v>
      </c>
      <c r="D1135">
        <f>VLOOKUP(A1135,收盤價!A:C,3,0)</f>
        <v>12.85</v>
      </c>
      <c r="E1135" s="164">
        <v>7.5313807531380783E-2</v>
      </c>
      <c r="F1135">
        <v>28.39</v>
      </c>
    </row>
    <row r="1136" spans="1:6">
      <c r="A1136">
        <v>6186</v>
      </c>
      <c r="B1136" t="s">
        <v>466</v>
      </c>
      <c r="C1136">
        <v>21.4</v>
      </c>
      <c r="D1136">
        <f>VLOOKUP(A1136,收盤價!A:C,3,0)</f>
        <v>23</v>
      </c>
      <c r="E1136" s="164">
        <v>7.4766355140186994E-2</v>
      </c>
      <c r="F1136">
        <v>28.33</v>
      </c>
    </row>
    <row r="1137" spans="1:6">
      <c r="A1137">
        <v>1453</v>
      </c>
      <c r="B1137" t="s">
        <v>623</v>
      </c>
      <c r="C1137">
        <v>7.72</v>
      </c>
      <c r="D1137">
        <f>VLOOKUP(A1137,收盤價!A:C,3,0)</f>
        <v>8.2899999999999991</v>
      </c>
      <c r="E1137" s="164">
        <v>7.3834196891191639E-2</v>
      </c>
      <c r="F1137">
        <v>28.26</v>
      </c>
    </row>
    <row r="1138" spans="1:6">
      <c r="A1138">
        <v>3663</v>
      </c>
      <c r="B1138" t="s">
        <v>1552</v>
      </c>
      <c r="C1138">
        <v>15</v>
      </c>
      <c r="D1138">
        <f>VLOOKUP(A1138,收盤價!A:C,3,0)</f>
        <v>16.100000000000001</v>
      </c>
      <c r="E1138" s="164">
        <v>7.3333333333333431E-2</v>
      </c>
      <c r="F1138">
        <v>28.2</v>
      </c>
    </row>
    <row r="1139" spans="1:6">
      <c r="A1139">
        <v>9918</v>
      </c>
      <c r="B1139" t="s">
        <v>1409</v>
      </c>
      <c r="C1139">
        <v>28.9</v>
      </c>
      <c r="D1139">
        <f>VLOOKUP(A1139,收盤價!A:C,3,0)</f>
        <v>31</v>
      </c>
      <c r="E1139" s="164">
        <v>7.2664359861591754E-2</v>
      </c>
      <c r="F1139">
        <v>28.14</v>
      </c>
    </row>
    <row r="1140" spans="1:6">
      <c r="A1140">
        <v>5533</v>
      </c>
      <c r="B1140" t="s">
        <v>1248</v>
      </c>
      <c r="C1140">
        <v>15.85</v>
      </c>
      <c r="D1140">
        <f>VLOOKUP(A1140,收盤價!A:C,3,0)</f>
        <v>17</v>
      </c>
      <c r="E1140" s="164">
        <v>7.2555205047318633E-2</v>
      </c>
      <c r="F1140">
        <v>28.08</v>
      </c>
    </row>
    <row r="1141" spans="1:6">
      <c r="A1141">
        <v>2847</v>
      </c>
      <c r="B1141" t="s">
        <v>1009</v>
      </c>
      <c r="C1141">
        <v>12.65</v>
      </c>
      <c r="D1141">
        <f>VLOOKUP(A1141,收盤價!A:C,3,0)</f>
        <v>13.55</v>
      </c>
      <c r="E1141" s="164">
        <v>7.1146245059288557E-2</v>
      </c>
      <c r="F1141">
        <v>28.01</v>
      </c>
    </row>
    <row r="1142" spans="1:6">
      <c r="A1142">
        <v>1108</v>
      </c>
      <c r="B1142" t="s">
        <v>549</v>
      </c>
      <c r="C1142">
        <v>9.43</v>
      </c>
      <c r="D1142">
        <f>VLOOKUP(A1142,收盤價!A:C,3,0)</f>
        <v>10.1</v>
      </c>
      <c r="E1142" s="164">
        <v>7.104984093319193E-2</v>
      </c>
      <c r="F1142">
        <v>27.95</v>
      </c>
    </row>
    <row r="1143" spans="1:6">
      <c r="A1143">
        <v>1591</v>
      </c>
      <c r="B1143" t="s">
        <v>1443</v>
      </c>
      <c r="C1143">
        <v>24</v>
      </c>
      <c r="D1143">
        <f>VLOOKUP(A1143,收盤價!A:C,3,0)</f>
        <v>25.7</v>
      </c>
      <c r="E1143" s="164">
        <v>7.0833333333333304E-2</v>
      </c>
      <c r="F1143">
        <v>27.89</v>
      </c>
    </row>
    <row r="1144" spans="1:6">
      <c r="A1144">
        <v>6108</v>
      </c>
      <c r="B1144" t="s">
        <v>1259</v>
      </c>
      <c r="C1144">
        <v>11.3</v>
      </c>
      <c r="D1144">
        <f>VLOOKUP(A1144,收盤價!A:C,3,0)</f>
        <v>12.1</v>
      </c>
      <c r="E1144" s="164">
        <v>7.0796460176991052E-2</v>
      </c>
      <c r="F1144">
        <v>27.82</v>
      </c>
    </row>
    <row r="1145" spans="1:6">
      <c r="A1145">
        <v>2395</v>
      </c>
      <c r="B1145" t="s">
        <v>859</v>
      </c>
      <c r="C1145">
        <v>198</v>
      </c>
      <c r="D1145">
        <f>VLOOKUP(A1145,收盤價!A:C,3,0)</f>
        <v>212</v>
      </c>
      <c r="E1145" s="164">
        <v>7.0707070707070704E-2</v>
      </c>
      <c r="F1145">
        <v>27.76</v>
      </c>
    </row>
    <row r="1146" spans="1:6">
      <c r="A1146">
        <v>6218</v>
      </c>
      <c r="B1146" t="s">
        <v>1748</v>
      </c>
      <c r="C1146">
        <v>15.6</v>
      </c>
      <c r="D1146">
        <f>VLOOKUP(A1146,收盤價!A:C,3,0)</f>
        <v>16.7</v>
      </c>
      <c r="E1146" s="164">
        <v>7.0512820512820498E-2</v>
      </c>
      <c r="F1146">
        <v>27.7</v>
      </c>
    </row>
    <row r="1147" spans="1:6">
      <c r="A1147">
        <v>6112</v>
      </c>
      <c r="B1147" t="s">
        <v>1260</v>
      </c>
      <c r="C1147">
        <v>25</v>
      </c>
      <c r="D1147">
        <f>VLOOKUP(A1147,收盤價!A:C,3,0)</f>
        <v>26.75</v>
      </c>
      <c r="E1147" s="164">
        <v>7.0000000000000007E-2</v>
      </c>
      <c r="F1147">
        <v>27.63</v>
      </c>
    </row>
    <row r="1148" spans="1:6">
      <c r="A1148">
        <v>5266</v>
      </c>
      <c r="B1148" t="s">
        <v>1647</v>
      </c>
      <c r="C1148">
        <v>55.8</v>
      </c>
      <c r="D1148">
        <f>VLOOKUP(A1148,收盤價!A:C,3,0)</f>
        <v>59.7</v>
      </c>
      <c r="E1148" s="164">
        <v>6.9892473118279674E-2</v>
      </c>
      <c r="F1148">
        <v>27.57</v>
      </c>
    </row>
    <row r="1149" spans="1:6">
      <c r="A1149">
        <v>9931</v>
      </c>
      <c r="B1149" t="s">
        <v>1419</v>
      </c>
      <c r="C1149">
        <v>29</v>
      </c>
      <c r="D1149">
        <f>VLOOKUP(A1149,收盤價!A:C,3,0)</f>
        <v>31</v>
      </c>
      <c r="E1149" s="164">
        <v>6.8965517241379309E-2</v>
      </c>
      <c r="F1149">
        <v>27.51</v>
      </c>
    </row>
    <row r="1150" spans="1:6">
      <c r="A1150">
        <v>2880</v>
      </c>
      <c r="B1150" t="s">
        <v>1017</v>
      </c>
      <c r="C1150">
        <v>14.5</v>
      </c>
      <c r="D1150">
        <f>VLOOKUP(A1150,收盤價!A:C,3,0)</f>
        <v>15.5</v>
      </c>
      <c r="E1150" s="164">
        <v>6.8965517241379309E-2</v>
      </c>
      <c r="F1150">
        <v>27.44</v>
      </c>
    </row>
    <row r="1151" spans="1:6">
      <c r="A1151">
        <v>8072</v>
      </c>
      <c r="B1151" t="s">
        <v>1342</v>
      </c>
      <c r="C1151">
        <v>24</v>
      </c>
      <c r="D1151">
        <f>VLOOKUP(A1151,收盤價!A:C,3,0)</f>
        <v>25.65</v>
      </c>
      <c r="E1151" s="164">
        <v>6.8749999999999936E-2</v>
      </c>
      <c r="F1151">
        <v>27.38</v>
      </c>
    </row>
    <row r="1152" spans="1:6">
      <c r="A1152">
        <v>3073</v>
      </c>
      <c r="B1152" t="s">
        <v>1469</v>
      </c>
      <c r="C1152">
        <v>5.69</v>
      </c>
      <c r="D1152">
        <f>VLOOKUP(A1152,收盤價!A:C,3,0)</f>
        <v>6.08</v>
      </c>
      <c r="E1152" s="164">
        <v>6.8541300527240709E-2</v>
      </c>
      <c r="F1152">
        <v>27.32</v>
      </c>
    </row>
    <row r="1153" spans="1:6">
      <c r="A1153">
        <v>9962</v>
      </c>
      <c r="B1153" t="s">
        <v>1851</v>
      </c>
      <c r="C1153">
        <v>7.1</v>
      </c>
      <c r="D1153">
        <f>VLOOKUP(A1153,收盤價!A:C,3,0)</f>
        <v>7.58</v>
      </c>
      <c r="E1153" s="164">
        <v>6.7605633802816964E-2</v>
      </c>
      <c r="F1153">
        <v>27.26</v>
      </c>
    </row>
    <row r="1154" spans="1:6">
      <c r="A1154">
        <v>4953</v>
      </c>
      <c r="B1154" t="s">
        <v>1628</v>
      </c>
      <c r="C1154">
        <v>20.2</v>
      </c>
      <c r="D1154">
        <f>VLOOKUP(A1154,收盤價!A:C,3,0)</f>
        <v>21.55</v>
      </c>
      <c r="E1154" s="164">
        <v>6.6831683168316905E-2</v>
      </c>
      <c r="F1154">
        <v>27.19</v>
      </c>
    </row>
    <row r="1155" spans="1:6">
      <c r="A1155">
        <v>2204</v>
      </c>
      <c r="B1155" t="s">
        <v>787</v>
      </c>
      <c r="C1155">
        <v>20.25</v>
      </c>
      <c r="D1155">
        <f>VLOOKUP(A1155,收盤價!A:C,3,0)</f>
        <v>21.6</v>
      </c>
      <c r="E1155" s="164">
        <v>6.6666666666666735E-2</v>
      </c>
      <c r="F1155">
        <v>27.13</v>
      </c>
    </row>
    <row r="1156" spans="1:6">
      <c r="A1156">
        <v>3024</v>
      </c>
      <c r="B1156" t="s">
        <v>1062</v>
      </c>
      <c r="C1156">
        <v>3.6</v>
      </c>
      <c r="D1156">
        <f>VLOOKUP(A1156,收盤價!A:C,3,0)</f>
        <v>3.84</v>
      </c>
      <c r="E1156" s="164">
        <v>6.6666666666666596E-2</v>
      </c>
      <c r="F1156">
        <v>27.07</v>
      </c>
    </row>
    <row r="1157" spans="1:6">
      <c r="A1157">
        <v>2392</v>
      </c>
      <c r="B1157" t="s">
        <v>857</v>
      </c>
      <c r="C1157">
        <v>42</v>
      </c>
      <c r="D1157">
        <f>VLOOKUP(A1157,收盤價!A:C,3,0)</f>
        <v>44.8</v>
      </c>
      <c r="E1157" s="164">
        <v>6.6666666666666596E-2</v>
      </c>
      <c r="F1157">
        <v>27</v>
      </c>
    </row>
    <row r="1158" spans="1:6">
      <c r="A1158">
        <v>2497</v>
      </c>
      <c r="B1158" t="s">
        <v>936</v>
      </c>
      <c r="C1158">
        <v>36.5</v>
      </c>
      <c r="D1158">
        <f>VLOOKUP(A1158,收盤價!A:C,3,0)</f>
        <v>38.9</v>
      </c>
      <c r="E1158" s="164">
        <v>6.5753424657534212E-2</v>
      </c>
      <c r="F1158">
        <v>26.94</v>
      </c>
    </row>
    <row r="1159" spans="1:6">
      <c r="A1159">
        <v>2230</v>
      </c>
      <c r="B1159" t="s">
        <v>278</v>
      </c>
      <c r="C1159">
        <v>13.7</v>
      </c>
      <c r="D1159">
        <f>VLOOKUP(A1159,收盤價!A:C,3,0)</f>
        <v>14.6</v>
      </c>
      <c r="E1159" s="164">
        <v>6.5693430656934337E-2</v>
      </c>
      <c r="F1159">
        <v>26.88</v>
      </c>
    </row>
    <row r="1160" spans="1:6">
      <c r="A1160">
        <v>3130</v>
      </c>
      <c r="B1160" t="s">
        <v>1100</v>
      </c>
      <c r="C1160">
        <v>132</v>
      </c>
      <c r="D1160">
        <f>VLOOKUP(A1160,收盤價!A:C,3,0)</f>
        <v>140.5</v>
      </c>
      <c r="E1160" s="164">
        <v>6.4393939393939392E-2</v>
      </c>
      <c r="F1160">
        <v>26.81</v>
      </c>
    </row>
    <row r="1161" spans="1:6">
      <c r="A1161">
        <v>1235</v>
      </c>
      <c r="B1161" t="s">
        <v>568</v>
      </c>
      <c r="C1161">
        <v>17.149999999999999</v>
      </c>
      <c r="D1161">
        <f>VLOOKUP(A1161,收盤價!A:C,3,0)</f>
        <v>18.25</v>
      </c>
      <c r="E1161" s="164">
        <v>6.4139941690962182E-2</v>
      </c>
      <c r="F1161">
        <v>26.75</v>
      </c>
    </row>
    <row r="1162" spans="1:6">
      <c r="A1162">
        <v>6231</v>
      </c>
      <c r="B1162" t="s">
        <v>477</v>
      </c>
      <c r="C1162">
        <v>25.75</v>
      </c>
      <c r="D1162">
        <f>VLOOKUP(A1162,收盤價!A:C,3,0)</f>
        <v>27.4</v>
      </c>
      <c r="E1162" s="164">
        <v>6.4077669902912568E-2</v>
      </c>
      <c r="F1162">
        <v>26.69</v>
      </c>
    </row>
    <row r="1163" spans="1:6">
      <c r="A1163">
        <v>2851</v>
      </c>
      <c r="B1163" t="s">
        <v>1012</v>
      </c>
      <c r="C1163">
        <v>14.05</v>
      </c>
      <c r="D1163">
        <f>VLOOKUP(A1163,收盤價!A:C,3,0)</f>
        <v>14.95</v>
      </c>
      <c r="E1163" s="164">
        <v>6.405693950177925E-2</v>
      </c>
      <c r="F1163">
        <v>26.62</v>
      </c>
    </row>
    <row r="1164" spans="1:6">
      <c r="A1164">
        <v>6198</v>
      </c>
      <c r="B1164" t="s">
        <v>1741</v>
      </c>
      <c r="C1164">
        <v>14.1</v>
      </c>
      <c r="D1164">
        <f>VLOOKUP(A1164,收盤價!A:C,3,0)</f>
        <v>15</v>
      </c>
      <c r="E1164" s="164">
        <v>6.3829787234042576E-2</v>
      </c>
      <c r="F1164">
        <v>26.56</v>
      </c>
    </row>
    <row r="1165" spans="1:6">
      <c r="A1165">
        <v>1729</v>
      </c>
      <c r="B1165" t="s">
        <v>719</v>
      </c>
      <c r="C1165">
        <v>67.900000000000006</v>
      </c>
      <c r="D1165">
        <f>VLOOKUP(A1165,收盤價!A:C,3,0)</f>
        <v>72.2</v>
      </c>
      <c r="E1165" s="164">
        <v>6.3328424153166377E-2</v>
      </c>
      <c r="F1165">
        <v>26.5</v>
      </c>
    </row>
    <row r="1166" spans="1:6">
      <c r="A1166">
        <v>3066</v>
      </c>
      <c r="B1166" t="s">
        <v>1467</v>
      </c>
      <c r="C1166">
        <v>7.43</v>
      </c>
      <c r="D1166">
        <f>VLOOKUP(A1166,收盤價!A:C,3,0)</f>
        <v>7.9</v>
      </c>
      <c r="E1166" s="164">
        <v>6.3257065948856078E-2</v>
      </c>
      <c r="F1166">
        <v>26.44</v>
      </c>
    </row>
    <row r="1167" spans="1:6">
      <c r="A1167">
        <v>1708</v>
      </c>
      <c r="B1167" t="s">
        <v>701</v>
      </c>
      <c r="C1167">
        <v>30.85</v>
      </c>
      <c r="D1167">
        <f>VLOOKUP(A1167,收盤價!A:C,3,0)</f>
        <v>32.799999999999997</v>
      </c>
      <c r="E1167" s="164">
        <v>6.3209076175040374E-2</v>
      </c>
      <c r="F1167">
        <v>26.37</v>
      </c>
    </row>
    <row r="1168" spans="1:6">
      <c r="A1168">
        <v>1445</v>
      </c>
      <c r="B1168" t="s">
        <v>617</v>
      </c>
      <c r="C1168">
        <v>8.75</v>
      </c>
      <c r="D1168">
        <f>VLOOKUP(A1168,收盤價!A:C,3,0)</f>
        <v>9.3000000000000007</v>
      </c>
      <c r="E1168" s="164">
        <v>6.2857142857142945E-2</v>
      </c>
      <c r="F1168">
        <v>26.31</v>
      </c>
    </row>
    <row r="1169" spans="1:6">
      <c r="A1169">
        <v>8054</v>
      </c>
      <c r="B1169" t="s">
        <v>501</v>
      </c>
      <c r="C1169">
        <v>19.95</v>
      </c>
      <c r="D1169">
        <f>VLOOKUP(A1169,收盤價!A:C,3,0)</f>
        <v>21.2</v>
      </c>
      <c r="E1169" s="164">
        <v>6.2656641604010022E-2</v>
      </c>
      <c r="F1169">
        <v>26.25</v>
      </c>
    </row>
    <row r="1170" spans="1:6">
      <c r="A1170">
        <v>5213</v>
      </c>
      <c r="B1170" t="s">
        <v>1644</v>
      </c>
      <c r="C1170">
        <v>14.5</v>
      </c>
      <c r="D1170">
        <f>VLOOKUP(A1170,收盤價!A:C,3,0)</f>
        <v>15.4</v>
      </c>
      <c r="E1170" s="164">
        <v>6.2068965517241406E-2</v>
      </c>
      <c r="F1170">
        <v>26.18</v>
      </c>
    </row>
    <row r="1171" spans="1:6">
      <c r="A1171">
        <v>3584</v>
      </c>
      <c r="B1171" t="s">
        <v>1152</v>
      </c>
      <c r="C1171">
        <v>5.35</v>
      </c>
      <c r="D1171">
        <f>VLOOKUP(A1171,收盤價!A:C,3,0)</f>
        <v>5.68</v>
      </c>
      <c r="E1171" s="164">
        <v>6.1682242990654224E-2</v>
      </c>
      <c r="F1171">
        <v>26.12</v>
      </c>
    </row>
    <row r="1172" spans="1:6">
      <c r="A1172">
        <v>5014</v>
      </c>
      <c r="B1172" t="s">
        <v>1637</v>
      </c>
      <c r="C1172">
        <v>6.51</v>
      </c>
      <c r="D1172">
        <f>VLOOKUP(A1172,收盤價!A:C,3,0)</f>
        <v>6.91</v>
      </c>
      <c r="E1172" s="164">
        <v>6.1443932411674403E-2</v>
      </c>
      <c r="F1172">
        <v>26.06</v>
      </c>
    </row>
    <row r="1173" spans="1:6">
      <c r="A1173">
        <v>1325</v>
      </c>
      <c r="B1173" t="s">
        <v>589</v>
      </c>
      <c r="C1173">
        <v>19.649999999999999</v>
      </c>
      <c r="D1173">
        <f>VLOOKUP(A1173,收盤價!A:C,3,0)</f>
        <v>20.85</v>
      </c>
      <c r="E1173" s="164">
        <v>6.1068702290076486E-2</v>
      </c>
      <c r="F1173">
        <v>25.99</v>
      </c>
    </row>
    <row r="1174" spans="1:6">
      <c r="A1174">
        <v>2511</v>
      </c>
      <c r="B1174" t="s">
        <v>944</v>
      </c>
      <c r="C1174">
        <v>8.7100000000000009</v>
      </c>
      <c r="D1174">
        <f>VLOOKUP(A1174,收盤價!A:C,3,0)</f>
        <v>9.24</v>
      </c>
      <c r="E1174" s="164">
        <v>6.084959816303092E-2</v>
      </c>
      <c r="F1174">
        <v>25.93</v>
      </c>
    </row>
    <row r="1175" spans="1:6">
      <c r="A1175">
        <v>2433</v>
      </c>
      <c r="B1175" t="s">
        <v>886</v>
      </c>
      <c r="C1175">
        <v>41.95</v>
      </c>
      <c r="D1175">
        <f>VLOOKUP(A1175,收盤價!A:C,3,0)</f>
        <v>44.5</v>
      </c>
      <c r="E1175" s="164">
        <v>6.0786650774731749E-2</v>
      </c>
      <c r="F1175">
        <v>25.87</v>
      </c>
    </row>
    <row r="1176" spans="1:6">
      <c r="A1176">
        <v>1904</v>
      </c>
      <c r="B1176" t="s">
        <v>742</v>
      </c>
      <c r="C1176">
        <v>10.7</v>
      </c>
      <c r="D1176">
        <f>VLOOKUP(A1176,收盤價!A:C,3,0)</f>
        <v>11.35</v>
      </c>
      <c r="E1176" s="164">
        <v>6.0747663551401904E-2</v>
      </c>
      <c r="F1176">
        <v>25.8</v>
      </c>
    </row>
    <row r="1177" spans="1:6">
      <c r="A1177">
        <v>2613</v>
      </c>
      <c r="B1177" t="s">
        <v>977</v>
      </c>
      <c r="C1177">
        <v>12.35</v>
      </c>
      <c r="D1177">
        <f>VLOOKUP(A1177,收盤價!A:C,3,0)</f>
        <v>13.1</v>
      </c>
      <c r="E1177" s="164">
        <v>6.0728744939271259E-2</v>
      </c>
      <c r="F1177">
        <v>25.74</v>
      </c>
    </row>
    <row r="1178" spans="1:6">
      <c r="A1178">
        <v>2640</v>
      </c>
      <c r="B1178" t="s">
        <v>1457</v>
      </c>
      <c r="C1178">
        <v>64.3</v>
      </c>
      <c r="D1178">
        <f>VLOOKUP(A1178,收盤價!A:C,3,0)</f>
        <v>68.2</v>
      </c>
      <c r="E1178" s="164">
        <v>6.0653188180404445E-2</v>
      </c>
      <c r="F1178">
        <v>25.68</v>
      </c>
    </row>
    <row r="1179" spans="1:6">
      <c r="A1179">
        <v>2349</v>
      </c>
      <c r="B1179" t="s">
        <v>824</v>
      </c>
      <c r="C1179">
        <v>2.64</v>
      </c>
      <c r="D1179">
        <f>VLOOKUP(A1179,收盤價!A:C,3,0)</f>
        <v>2.8</v>
      </c>
      <c r="E1179" s="164">
        <v>6.060606060606049E-2</v>
      </c>
      <c r="F1179">
        <v>25.62</v>
      </c>
    </row>
    <row r="1180" spans="1:6">
      <c r="A1180">
        <v>2611</v>
      </c>
      <c r="B1180" t="s">
        <v>975</v>
      </c>
      <c r="C1180">
        <v>7.3</v>
      </c>
      <c r="D1180">
        <f>VLOOKUP(A1180,收盤價!A:C,3,0)</f>
        <v>7.74</v>
      </c>
      <c r="E1180" s="164">
        <v>6.0273972602739784E-2</v>
      </c>
      <c r="F1180">
        <v>25.55</v>
      </c>
    </row>
    <row r="1181" spans="1:6">
      <c r="A1181">
        <v>8183</v>
      </c>
      <c r="B1181" t="s">
        <v>1812</v>
      </c>
      <c r="C1181">
        <v>5.15</v>
      </c>
      <c r="D1181">
        <f>VLOOKUP(A1181,收盤價!A:C,3,0)</f>
        <v>5.46</v>
      </c>
      <c r="E1181" s="164">
        <v>6.0194174757281477E-2</v>
      </c>
      <c r="F1181">
        <v>25.49</v>
      </c>
    </row>
    <row r="1182" spans="1:6">
      <c r="A1182">
        <v>1220</v>
      </c>
      <c r="B1182" t="s">
        <v>560</v>
      </c>
      <c r="C1182">
        <v>10</v>
      </c>
      <c r="D1182">
        <f>VLOOKUP(A1182,收盤價!A:C,3,0)</f>
        <v>10.6</v>
      </c>
      <c r="E1182" s="164">
        <v>5.9999999999999963E-2</v>
      </c>
      <c r="F1182">
        <v>25.43</v>
      </c>
    </row>
    <row r="1183" spans="1:6">
      <c r="A1183" t="s">
        <v>260</v>
      </c>
      <c r="B1183" t="s">
        <v>747</v>
      </c>
      <c r="C1183">
        <v>37</v>
      </c>
      <c r="D1183">
        <f>VLOOKUP(A1183,收盤價!A:C,3,0)</f>
        <v>39.200000000000003</v>
      </c>
      <c r="E1183" s="164">
        <v>5.9459459459459539E-2</v>
      </c>
      <c r="F1183">
        <v>25.36</v>
      </c>
    </row>
    <row r="1184" spans="1:6">
      <c r="A1184">
        <v>1590</v>
      </c>
      <c r="B1184" t="s">
        <v>681</v>
      </c>
      <c r="C1184">
        <v>135</v>
      </c>
      <c r="D1184">
        <f>VLOOKUP(A1184,收盤價!A:C,3,0)</f>
        <v>143</v>
      </c>
      <c r="E1184" s="164">
        <v>5.9259259259259262E-2</v>
      </c>
      <c r="F1184">
        <v>25.3</v>
      </c>
    </row>
    <row r="1185" spans="1:6">
      <c r="A1185">
        <v>4173</v>
      </c>
      <c r="B1185" t="s">
        <v>373</v>
      </c>
      <c r="C1185">
        <v>28.9</v>
      </c>
      <c r="D1185">
        <f>VLOOKUP(A1185,收盤價!A:C,3,0)</f>
        <v>30.6</v>
      </c>
      <c r="E1185" s="164">
        <v>5.8823529411764809E-2</v>
      </c>
      <c r="F1185">
        <v>25.24</v>
      </c>
    </row>
    <row r="1186" spans="1:6">
      <c r="A1186">
        <v>3531</v>
      </c>
      <c r="B1186" t="s">
        <v>1532</v>
      </c>
      <c r="C1186">
        <v>12.95</v>
      </c>
      <c r="D1186">
        <f>VLOOKUP(A1186,收盤價!A:C,3,0)</f>
        <v>13.7</v>
      </c>
      <c r="E1186" s="164">
        <v>5.7915057915057917E-2</v>
      </c>
      <c r="F1186">
        <v>25.17</v>
      </c>
    </row>
    <row r="1187" spans="1:6">
      <c r="A1187">
        <v>1264</v>
      </c>
      <c r="B1187" t="s">
        <v>262</v>
      </c>
      <c r="C1187">
        <v>173</v>
      </c>
      <c r="D1187">
        <f>VLOOKUP(A1187,收盤價!A:C,3,0)</f>
        <v>183</v>
      </c>
      <c r="E1187" s="164">
        <v>5.7803468208092484E-2</v>
      </c>
      <c r="F1187">
        <v>25.11</v>
      </c>
    </row>
    <row r="1188" spans="1:6">
      <c r="A1188">
        <v>8443</v>
      </c>
      <c r="B1188" t="s">
        <v>1368</v>
      </c>
      <c r="C1188">
        <v>20.8</v>
      </c>
      <c r="D1188">
        <f>VLOOKUP(A1188,收盤價!A:C,3,0)</f>
        <v>22</v>
      </c>
      <c r="E1188" s="164">
        <v>5.7692307692307654E-2</v>
      </c>
      <c r="F1188">
        <v>25.05</v>
      </c>
    </row>
    <row r="1189" spans="1:6">
      <c r="A1189">
        <v>8423</v>
      </c>
      <c r="B1189" t="s">
        <v>1830</v>
      </c>
      <c r="C1189">
        <v>22.55</v>
      </c>
      <c r="D1189">
        <f>VLOOKUP(A1189,收盤價!A:C,3,0)</f>
        <v>23.85</v>
      </c>
      <c r="E1189" s="164">
        <v>5.7649667405765E-2</v>
      </c>
      <c r="F1189">
        <v>24.98</v>
      </c>
    </row>
    <row r="1190" spans="1:6">
      <c r="A1190">
        <v>1503</v>
      </c>
      <c r="B1190" t="s">
        <v>645</v>
      </c>
      <c r="C1190">
        <v>37.5</v>
      </c>
      <c r="D1190">
        <f>VLOOKUP(A1190,收盤價!A:C,3,0)</f>
        <v>39.65</v>
      </c>
      <c r="E1190" s="164">
        <v>5.7333333333333299E-2</v>
      </c>
      <c r="F1190">
        <v>24.92</v>
      </c>
    </row>
    <row r="1191" spans="1:6">
      <c r="A1191">
        <v>1469</v>
      </c>
      <c r="B1191" t="s">
        <v>636</v>
      </c>
      <c r="C1191">
        <v>12.25</v>
      </c>
      <c r="D1191">
        <f>VLOOKUP(A1191,收盤價!A:C,3,0)</f>
        <v>12.95</v>
      </c>
      <c r="E1191" s="164">
        <v>5.7142857142857086E-2</v>
      </c>
      <c r="F1191">
        <v>24.86</v>
      </c>
    </row>
    <row r="1192" spans="1:6">
      <c r="A1192">
        <v>1414</v>
      </c>
      <c r="B1192" t="s">
        <v>599</v>
      </c>
      <c r="C1192">
        <v>6.15</v>
      </c>
      <c r="D1192">
        <f>VLOOKUP(A1192,收盤價!A:C,3,0)</f>
        <v>6.5</v>
      </c>
      <c r="E1192" s="164">
        <v>5.6910569105690999E-2</v>
      </c>
      <c r="F1192">
        <v>24.79</v>
      </c>
    </row>
    <row r="1193" spans="1:6">
      <c r="A1193">
        <v>9942</v>
      </c>
      <c r="B1193" t="s">
        <v>1428</v>
      </c>
      <c r="C1193">
        <v>67.3</v>
      </c>
      <c r="D1193">
        <f>VLOOKUP(A1193,收盤價!A:C,3,0)</f>
        <v>71.099999999999994</v>
      </c>
      <c r="E1193" s="164">
        <v>5.6463595839524476E-2</v>
      </c>
      <c r="F1193">
        <v>24.73</v>
      </c>
    </row>
    <row r="1194" spans="1:6">
      <c r="A1194">
        <v>2382</v>
      </c>
      <c r="B1194" t="s">
        <v>851</v>
      </c>
      <c r="C1194">
        <v>53.6</v>
      </c>
      <c r="D1194">
        <f>VLOOKUP(A1194,收盤價!A:C,3,0)</f>
        <v>56.6</v>
      </c>
      <c r="E1194" s="164">
        <v>5.5970149253731345E-2</v>
      </c>
      <c r="F1194">
        <v>24.67</v>
      </c>
    </row>
    <row r="1195" spans="1:6">
      <c r="A1195">
        <v>5209</v>
      </c>
      <c r="B1195" t="s">
        <v>1642</v>
      </c>
      <c r="C1195">
        <v>39.9</v>
      </c>
      <c r="D1195">
        <f>VLOOKUP(A1195,收盤價!A:C,3,0)</f>
        <v>42.1</v>
      </c>
      <c r="E1195" s="164">
        <v>5.5137844611528895E-2</v>
      </c>
      <c r="F1195">
        <v>24.61</v>
      </c>
    </row>
    <row r="1196" spans="1:6">
      <c r="A1196">
        <v>5102</v>
      </c>
      <c r="B1196" t="s">
        <v>405</v>
      </c>
      <c r="C1196">
        <v>13.65</v>
      </c>
      <c r="D1196">
        <f>VLOOKUP(A1196,收盤價!A:C,3,0)</f>
        <v>14.4</v>
      </c>
      <c r="E1196" s="164">
        <v>5.4945054945054944E-2</v>
      </c>
      <c r="F1196">
        <v>24.54</v>
      </c>
    </row>
    <row r="1197" spans="1:6">
      <c r="A1197">
        <v>2729</v>
      </c>
      <c r="B1197" t="s">
        <v>1461</v>
      </c>
      <c r="C1197">
        <v>219</v>
      </c>
      <c r="D1197">
        <f>VLOOKUP(A1197,收盤價!A:C,3,0)</f>
        <v>231</v>
      </c>
      <c r="E1197" s="164">
        <v>5.4794520547945202E-2</v>
      </c>
      <c r="F1197">
        <v>24.48</v>
      </c>
    </row>
    <row r="1198" spans="1:6">
      <c r="A1198">
        <v>4976</v>
      </c>
      <c r="B1198" t="s">
        <v>1220</v>
      </c>
      <c r="C1198">
        <v>14.7</v>
      </c>
      <c r="D1198">
        <f>VLOOKUP(A1198,收盤價!A:C,3,0)</f>
        <v>15.5</v>
      </c>
      <c r="E1198" s="164">
        <v>5.4421768707483047E-2</v>
      </c>
      <c r="F1198">
        <v>24.42</v>
      </c>
    </row>
    <row r="1199" spans="1:6">
      <c r="A1199">
        <v>1454</v>
      </c>
      <c r="B1199" t="s">
        <v>624</v>
      </c>
      <c r="C1199">
        <v>8.82</v>
      </c>
      <c r="D1199">
        <f>VLOOKUP(A1199,收盤價!A:C,3,0)</f>
        <v>9.3000000000000007</v>
      </c>
      <c r="E1199" s="164">
        <v>5.442176870748304E-2</v>
      </c>
      <c r="F1199">
        <v>24.35</v>
      </c>
    </row>
    <row r="1200" spans="1:6">
      <c r="A1200">
        <v>5520</v>
      </c>
      <c r="B1200" t="s">
        <v>1691</v>
      </c>
      <c r="C1200">
        <v>24.2</v>
      </c>
      <c r="D1200">
        <f>VLOOKUP(A1200,收盤價!A:C,3,0)</f>
        <v>25.5</v>
      </c>
      <c r="E1200" s="164">
        <v>5.3719008264462839E-2</v>
      </c>
      <c r="F1200">
        <v>24.29</v>
      </c>
    </row>
    <row r="1201" spans="1:6">
      <c r="A1201">
        <v>2904</v>
      </c>
      <c r="B1201" t="s">
        <v>1034</v>
      </c>
      <c r="C1201">
        <v>24.5</v>
      </c>
      <c r="D1201">
        <f>VLOOKUP(A1201,收盤價!A:C,3,0)</f>
        <v>25.8</v>
      </c>
      <c r="E1201" s="164">
        <v>5.3061224489795944E-2</v>
      </c>
      <c r="F1201">
        <v>24.23</v>
      </c>
    </row>
    <row r="1202" spans="1:6">
      <c r="A1202">
        <v>5703</v>
      </c>
      <c r="B1202" t="s">
        <v>1697</v>
      </c>
      <c r="C1202">
        <v>20.75</v>
      </c>
      <c r="D1202">
        <f>VLOOKUP(A1202,收盤價!A:C,3,0)</f>
        <v>21.85</v>
      </c>
      <c r="E1202" s="164">
        <v>5.3012048192771152E-2</v>
      </c>
      <c r="F1202">
        <v>24.16</v>
      </c>
    </row>
    <row r="1203" spans="1:6">
      <c r="A1203">
        <v>6118</v>
      </c>
      <c r="B1203" t="s">
        <v>1715</v>
      </c>
      <c r="C1203">
        <v>7</v>
      </c>
      <c r="D1203">
        <f>VLOOKUP(A1203,收盤價!A:C,3,0)</f>
        <v>7.37</v>
      </c>
      <c r="E1203" s="164">
        <v>5.2857142857142873E-2</v>
      </c>
      <c r="F1203">
        <v>24.1</v>
      </c>
    </row>
    <row r="1204" spans="1:6">
      <c r="A1204">
        <v>2357</v>
      </c>
      <c r="B1204" t="s">
        <v>831</v>
      </c>
      <c r="C1204">
        <v>255.5</v>
      </c>
      <c r="D1204">
        <f>VLOOKUP(A1204,收盤價!A:C,3,0)</f>
        <v>269</v>
      </c>
      <c r="E1204" s="164">
        <v>5.2837573385518588E-2</v>
      </c>
      <c r="F1204">
        <v>24.04</v>
      </c>
    </row>
    <row r="1205" spans="1:6">
      <c r="A1205">
        <v>2063</v>
      </c>
      <c r="B1205" t="s">
        <v>275</v>
      </c>
      <c r="C1205">
        <v>22.8</v>
      </c>
      <c r="D1205">
        <f>VLOOKUP(A1205,收盤價!A:C,3,0)</f>
        <v>24</v>
      </c>
      <c r="E1205" s="164">
        <v>5.263157894736839E-2</v>
      </c>
      <c r="F1205">
        <v>23.97</v>
      </c>
    </row>
    <row r="1206" spans="1:6">
      <c r="A1206">
        <v>1608</v>
      </c>
      <c r="B1206" t="s">
        <v>686</v>
      </c>
      <c r="C1206">
        <v>6.14</v>
      </c>
      <c r="D1206">
        <f>VLOOKUP(A1206,收盤價!A:C,3,0)</f>
        <v>6.46</v>
      </c>
      <c r="E1206" s="164">
        <v>5.2117263843648259E-2</v>
      </c>
      <c r="F1206">
        <v>23.91</v>
      </c>
    </row>
    <row r="1207" spans="1:6">
      <c r="A1207">
        <v>1316</v>
      </c>
      <c r="B1207" t="s">
        <v>584</v>
      </c>
      <c r="C1207">
        <v>9.5</v>
      </c>
      <c r="D1207">
        <f>VLOOKUP(A1207,收盤價!A:C,3,0)</f>
        <v>9.99</v>
      </c>
      <c r="E1207" s="164">
        <v>5.1578947368421078E-2</v>
      </c>
      <c r="F1207">
        <v>23.85</v>
      </c>
    </row>
    <row r="1208" spans="1:6">
      <c r="A1208">
        <v>6803</v>
      </c>
      <c r="B1208" t="s">
        <v>1775</v>
      </c>
      <c r="C1208">
        <v>156</v>
      </c>
      <c r="D1208">
        <f>VLOOKUP(A1208,收盤價!A:C,3,0)</f>
        <v>164</v>
      </c>
      <c r="E1208" s="164">
        <v>5.128205128205128E-2</v>
      </c>
      <c r="F1208">
        <v>23.79</v>
      </c>
    </row>
    <row r="1209" spans="1:6">
      <c r="A1209">
        <v>2488</v>
      </c>
      <c r="B1209" t="s">
        <v>929</v>
      </c>
      <c r="C1209">
        <v>25.6</v>
      </c>
      <c r="D1209">
        <f>VLOOKUP(A1209,收盤價!A:C,3,0)</f>
        <v>26.9</v>
      </c>
      <c r="E1209" s="164">
        <v>5.0781249999999889E-2</v>
      </c>
      <c r="F1209">
        <v>23.72</v>
      </c>
    </row>
    <row r="1210" spans="1:6">
      <c r="A1210">
        <v>2038</v>
      </c>
      <c r="B1210" t="s">
        <v>771</v>
      </c>
      <c r="C1210">
        <v>5.17</v>
      </c>
      <c r="D1210">
        <f>VLOOKUP(A1210,收盤價!A:C,3,0)</f>
        <v>5.43</v>
      </c>
      <c r="E1210" s="164">
        <v>5.0290135396518332E-2</v>
      </c>
      <c r="F1210">
        <v>23.66</v>
      </c>
    </row>
    <row r="1211" spans="1:6">
      <c r="A1211">
        <v>1593</v>
      </c>
      <c r="B1211" t="s">
        <v>267</v>
      </c>
      <c r="C1211">
        <v>37</v>
      </c>
      <c r="D1211">
        <f>VLOOKUP(A1211,收盤價!A:C,3,0)</f>
        <v>38.85</v>
      </c>
      <c r="E1211" s="164">
        <v>5.0000000000000037E-2</v>
      </c>
      <c r="F1211">
        <v>23.6</v>
      </c>
    </row>
    <row r="1212" spans="1:6">
      <c r="A1212">
        <v>5820</v>
      </c>
      <c r="B1212" t="s">
        <v>1699</v>
      </c>
      <c r="C1212">
        <v>6.8</v>
      </c>
      <c r="D1212">
        <f>VLOOKUP(A1212,收盤價!A:C,3,0)</f>
        <v>7.14</v>
      </c>
      <c r="E1212" s="164">
        <v>4.9999999999999982E-2</v>
      </c>
      <c r="F1212">
        <v>23.53</v>
      </c>
    </row>
    <row r="1213" spans="1:6">
      <c r="A1213">
        <v>8085</v>
      </c>
      <c r="B1213" t="s">
        <v>508</v>
      </c>
      <c r="C1213">
        <v>3.83</v>
      </c>
      <c r="D1213">
        <f>VLOOKUP(A1213,收盤價!A:C,3,0)</f>
        <v>4.0199999999999996</v>
      </c>
      <c r="E1213" s="164">
        <v>4.9608355091383678E-2</v>
      </c>
      <c r="F1213">
        <v>23.47</v>
      </c>
    </row>
    <row r="1214" spans="1:6">
      <c r="A1214">
        <v>8032</v>
      </c>
      <c r="B1214" t="s">
        <v>1777</v>
      </c>
      <c r="C1214">
        <v>27.25</v>
      </c>
      <c r="D1214">
        <f>VLOOKUP(A1214,收盤價!A:C,3,0)</f>
        <v>28.6</v>
      </c>
      <c r="E1214" s="164">
        <v>4.9541284403669776E-2</v>
      </c>
      <c r="F1214">
        <v>23.41</v>
      </c>
    </row>
    <row r="1215" spans="1:6">
      <c r="A1215">
        <v>1718</v>
      </c>
      <c r="B1215" t="s">
        <v>710</v>
      </c>
      <c r="C1215">
        <v>8.08</v>
      </c>
      <c r="D1215">
        <f>VLOOKUP(A1215,收盤價!A:C,3,0)</f>
        <v>8.48</v>
      </c>
      <c r="E1215" s="164">
        <v>4.9504950495049549E-2</v>
      </c>
      <c r="F1215">
        <v>23.34</v>
      </c>
    </row>
    <row r="1216" spans="1:6">
      <c r="A1216">
        <v>8034</v>
      </c>
      <c r="B1216" t="s">
        <v>1778</v>
      </c>
      <c r="C1216">
        <v>5.66</v>
      </c>
      <c r="D1216">
        <f>VLOOKUP(A1216,收盤價!A:C,3,0)</f>
        <v>5.94</v>
      </c>
      <c r="E1216" s="164">
        <v>4.9469964664310993E-2</v>
      </c>
      <c r="F1216">
        <v>23.28</v>
      </c>
    </row>
    <row r="1217" spans="1:6">
      <c r="A1217">
        <v>3046</v>
      </c>
      <c r="B1217" t="s">
        <v>1083</v>
      </c>
      <c r="C1217">
        <v>9.82</v>
      </c>
      <c r="D1217">
        <f>VLOOKUP(A1217,收盤價!A:C,3,0)</f>
        <v>10.3</v>
      </c>
      <c r="E1217" s="164">
        <v>4.8879837067209816E-2</v>
      </c>
      <c r="F1217">
        <v>23.22</v>
      </c>
    </row>
    <row r="1218" spans="1:6">
      <c r="A1218">
        <v>2032</v>
      </c>
      <c r="B1218" t="s">
        <v>768</v>
      </c>
      <c r="C1218">
        <v>7.69</v>
      </c>
      <c r="D1218">
        <f>VLOOKUP(A1218,收盤價!A:C,3,0)</f>
        <v>8.06</v>
      </c>
      <c r="E1218" s="164">
        <v>4.8114434330299098E-2</v>
      </c>
      <c r="F1218">
        <v>23.15</v>
      </c>
    </row>
    <row r="1219" spans="1:6">
      <c r="A1219">
        <v>9929</v>
      </c>
      <c r="B1219" t="s">
        <v>1417</v>
      </c>
      <c r="C1219">
        <v>12.6</v>
      </c>
      <c r="D1219">
        <f>VLOOKUP(A1219,收盤價!A:C,3,0)</f>
        <v>13.2</v>
      </c>
      <c r="E1219" s="164">
        <v>4.7619047619047596E-2</v>
      </c>
      <c r="F1219">
        <v>23.09</v>
      </c>
    </row>
    <row r="1220" spans="1:6">
      <c r="A1220">
        <v>8349</v>
      </c>
      <c r="B1220" t="s">
        <v>1821</v>
      </c>
      <c r="C1220">
        <v>80.2</v>
      </c>
      <c r="D1220">
        <f>VLOOKUP(A1220,收盤價!A:C,3,0)</f>
        <v>84</v>
      </c>
      <c r="E1220" s="164">
        <v>4.7381546134663305E-2</v>
      </c>
      <c r="F1220">
        <v>23.03</v>
      </c>
    </row>
    <row r="1221" spans="1:6">
      <c r="A1221">
        <v>2373</v>
      </c>
      <c r="B1221" t="s">
        <v>844</v>
      </c>
      <c r="C1221">
        <v>49.3</v>
      </c>
      <c r="D1221">
        <f>VLOOKUP(A1221,收盤價!A:C,3,0)</f>
        <v>51.6</v>
      </c>
      <c r="E1221" s="164">
        <v>4.665314401622727E-2</v>
      </c>
      <c r="F1221">
        <v>22.97</v>
      </c>
    </row>
    <row r="1222" spans="1:6">
      <c r="A1222">
        <v>8079</v>
      </c>
      <c r="B1222" t="s">
        <v>1795</v>
      </c>
      <c r="C1222">
        <v>11.95</v>
      </c>
      <c r="D1222">
        <f>VLOOKUP(A1222,收盤價!A:C,3,0)</f>
        <v>12.5</v>
      </c>
      <c r="E1222" s="164">
        <v>4.6025104602510525E-2</v>
      </c>
      <c r="F1222">
        <v>22.9</v>
      </c>
    </row>
    <row r="1223" spans="1:6">
      <c r="A1223">
        <v>1436</v>
      </c>
      <c r="B1223" t="s">
        <v>608</v>
      </c>
      <c r="C1223">
        <v>39.200000000000003</v>
      </c>
      <c r="D1223">
        <f>VLOOKUP(A1223,收盤價!A:C,3,0)</f>
        <v>41</v>
      </c>
      <c r="E1223" s="164">
        <v>4.5918367346938702E-2</v>
      </c>
      <c r="F1223">
        <v>22.84</v>
      </c>
    </row>
    <row r="1224" spans="1:6">
      <c r="A1224">
        <v>2820</v>
      </c>
      <c r="B1224" t="s">
        <v>1001</v>
      </c>
      <c r="C1224">
        <v>10.95</v>
      </c>
      <c r="D1224">
        <f>VLOOKUP(A1224,收盤價!A:C,3,0)</f>
        <v>11.45</v>
      </c>
      <c r="E1224" s="164">
        <v>4.5662100456621009E-2</v>
      </c>
      <c r="F1224">
        <v>22.78</v>
      </c>
    </row>
    <row r="1225" spans="1:6">
      <c r="A1225">
        <v>8044</v>
      </c>
      <c r="B1225" t="s">
        <v>1782</v>
      </c>
      <c r="C1225">
        <v>301.5</v>
      </c>
      <c r="D1225">
        <f>VLOOKUP(A1225,收盤價!A:C,3,0)</f>
        <v>315</v>
      </c>
      <c r="E1225" s="164">
        <v>4.4776119402985072E-2</v>
      </c>
      <c r="F1225">
        <v>22.71</v>
      </c>
    </row>
    <row r="1226" spans="1:6">
      <c r="A1226">
        <v>3669</v>
      </c>
      <c r="B1226" t="s">
        <v>1166</v>
      </c>
      <c r="C1226">
        <v>13.4</v>
      </c>
      <c r="D1226">
        <f>VLOOKUP(A1226,收盤價!A:C,3,0)</f>
        <v>14</v>
      </c>
      <c r="E1226" s="164">
        <v>4.4776119402985044E-2</v>
      </c>
      <c r="F1226">
        <v>22.65</v>
      </c>
    </row>
    <row r="1227" spans="1:6">
      <c r="A1227">
        <v>3052</v>
      </c>
      <c r="B1227" t="s">
        <v>1089</v>
      </c>
      <c r="C1227">
        <v>10.1</v>
      </c>
      <c r="D1227">
        <f>VLOOKUP(A1227,收盤價!A:C,3,0)</f>
        <v>10.55</v>
      </c>
      <c r="E1227" s="164">
        <v>4.4554455445544663E-2</v>
      </c>
      <c r="F1227">
        <v>22.59</v>
      </c>
    </row>
    <row r="1228" spans="1:6">
      <c r="A1228">
        <v>6146</v>
      </c>
      <c r="B1228" t="s">
        <v>456</v>
      </c>
      <c r="C1228">
        <v>180</v>
      </c>
      <c r="D1228">
        <f>VLOOKUP(A1228,收盤價!A:C,3,0)</f>
        <v>188</v>
      </c>
      <c r="E1228" s="164">
        <v>4.4444444444444446E-2</v>
      </c>
      <c r="F1228">
        <v>22.52</v>
      </c>
    </row>
    <row r="1229" spans="1:6">
      <c r="A1229">
        <v>3481</v>
      </c>
      <c r="B1229" t="s">
        <v>1131</v>
      </c>
      <c r="C1229">
        <v>9.48</v>
      </c>
      <c r="D1229">
        <f>VLOOKUP(A1229,收盤價!A:C,3,0)</f>
        <v>9.9</v>
      </c>
      <c r="E1229" s="164">
        <v>4.4303797468354424E-2</v>
      </c>
      <c r="F1229">
        <v>22.46</v>
      </c>
    </row>
    <row r="1230" spans="1:6">
      <c r="A1230">
        <v>5902</v>
      </c>
      <c r="B1230" t="s">
        <v>448</v>
      </c>
      <c r="C1230">
        <v>10.3</v>
      </c>
      <c r="D1230">
        <f>VLOOKUP(A1230,收盤價!A:C,3,0)</f>
        <v>10.75</v>
      </c>
      <c r="E1230" s="164">
        <v>4.368932038834944E-2</v>
      </c>
      <c r="F1230">
        <v>22.4</v>
      </c>
    </row>
    <row r="1231" spans="1:6">
      <c r="A1231">
        <v>6184</v>
      </c>
      <c r="B1231" t="s">
        <v>1284</v>
      </c>
      <c r="C1231">
        <v>50.7</v>
      </c>
      <c r="D1231">
        <f>VLOOKUP(A1231,收盤價!A:C,3,0)</f>
        <v>52.9</v>
      </c>
      <c r="E1231" s="164">
        <v>4.3392504930966386E-2</v>
      </c>
      <c r="F1231">
        <v>22.33</v>
      </c>
    </row>
    <row r="1232" spans="1:6">
      <c r="A1232">
        <v>3570</v>
      </c>
      <c r="B1232" t="s">
        <v>1540</v>
      </c>
      <c r="C1232">
        <v>68.5</v>
      </c>
      <c r="D1232">
        <f>VLOOKUP(A1232,收盤價!A:C,3,0)</f>
        <v>71.400000000000006</v>
      </c>
      <c r="E1232" s="164">
        <v>4.2335766423357749E-2</v>
      </c>
      <c r="F1232">
        <v>22.27</v>
      </c>
    </row>
    <row r="1233" spans="1:6">
      <c r="A1233">
        <v>8103</v>
      </c>
      <c r="B1233" t="s">
        <v>1345</v>
      </c>
      <c r="C1233">
        <v>24</v>
      </c>
      <c r="D1233">
        <f>VLOOKUP(A1233,收盤價!A:C,3,0)</f>
        <v>25</v>
      </c>
      <c r="E1233" s="164">
        <v>4.1666666666666664E-2</v>
      </c>
      <c r="F1233">
        <v>22.21</v>
      </c>
    </row>
    <row r="1234" spans="1:6">
      <c r="A1234">
        <v>5907</v>
      </c>
      <c r="B1234" t="s">
        <v>1257</v>
      </c>
      <c r="C1234">
        <v>28</v>
      </c>
      <c r="D1234">
        <f>VLOOKUP(A1234,收盤價!A:C,3,0)</f>
        <v>29.15</v>
      </c>
      <c r="E1234" s="164">
        <v>4.1071428571428523E-2</v>
      </c>
      <c r="F1234">
        <v>22.15</v>
      </c>
    </row>
    <row r="1235" spans="1:6">
      <c r="A1235">
        <v>2412</v>
      </c>
      <c r="B1235" t="s">
        <v>869</v>
      </c>
      <c r="C1235">
        <v>95.1</v>
      </c>
      <c r="D1235">
        <f>VLOOKUP(A1235,收盤價!A:C,3,0)</f>
        <v>99</v>
      </c>
      <c r="E1235" s="164">
        <v>4.1009463722397541E-2</v>
      </c>
      <c r="F1235">
        <v>22.08</v>
      </c>
    </row>
    <row r="1236" spans="1:6">
      <c r="A1236">
        <v>1531</v>
      </c>
      <c r="B1236" t="s">
        <v>665</v>
      </c>
      <c r="C1236">
        <v>16</v>
      </c>
      <c r="D1236">
        <f>VLOOKUP(A1236,收盤價!A:C,3,0)</f>
        <v>16.649999999999999</v>
      </c>
      <c r="E1236" s="164">
        <v>4.0624999999999911E-2</v>
      </c>
      <c r="F1236">
        <v>22.02</v>
      </c>
    </row>
    <row r="1237" spans="1:6">
      <c r="A1237">
        <v>2838</v>
      </c>
      <c r="B1237" t="s">
        <v>1006</v>
      </c>
      <c r="C1237">
        <v>9.02</v>
      </c>
      <c r="D1237">
        <f>VLOOKUP(A1237,收盤價!A:C,3,0)</f>
        <v>9.3800000000000008</v>
      </c>
      <c r="E1237" s="164">
        <v>3.9911308203991268E-2</v>
      </c>
      <c r="F1237">
        <v>21.96</v>
      </c>
    </row>
    <row r="1238" spans="1:6">
      <c r="A1238">
        <v>3550</v>
      </c>
      <c r="B1238" t="s">
        <v>1144</v>
      </c>
      <c r="C1238">
        <v>11.4</v>
      </c>
      <c r="D1238">
        <f>VLOOKUP(A1238,收盤價!A:C,3,0)</f>
        <v>11.85</v>
      </c>
      <c r="E1238" s="164">
        <v>3.9473684210526251E-2</v>
      </c>
      <c r="F1238">
        <v>21.89</v>
      </c>
    </row>
    <row r="1239" spans="1:6">
      <c r="A1239">
        <v>2408</v>
      </c>
      <c r="B1239" t="s">
        <v>867</v>
      </c>
      <c r="C1239">
        <v>39.9</v>
      </c>
      <c r="D1239">
        <f>VLOOKUP(A1239,收盤價!A:C,3,0)</f>
        <v>41.45</v>
      </c>
      <c r="E1239" s="164">
        <v>3.8847117794486324E-2</v>
      </c>
      <c r="F1239">
        <v>21.83</v>
      </c>
    </row>
    <row r="1240" spans="1:6">
      <c r="A1240">
        <v>4536</v>
      </c>
      <c r="B1240" t="s">
        <v>1194</v>
      </c>
      <c r="C1240">
        <v>116.5</v>
      </c>
      <c r="D1240">
        <f>VLOOKUP(A1240,收盤價!A:C,3,0)</f>
        <v>121</v>
      </c>
      <c r="E1240" s="164">
        <v>3.8626609442060089E-2</v>
      </c>
      <c r="F1240">
        <v>21.77</v>
      </c>
    </row>
    <row r="1241" spans="1:6">
      <c r="A1241">
        <v>5234</v>
      </c>
      <c r="B1241" t="s">
        <v>1229</v>
      </c>
      <c r="C1241">
        <v>29.85</v>
      </c>
      <c r="D1241">
        <f>VLOOKUP(A1241,收盤價!A:C,3,0)</f>
        <v>31</v>
      </c>
      <c r="E1241" s="164">
        <v>3.8525963149078676E-2</v>
      </c>
      <c r="F1241">
        <v>21.7</v>
      </c>
    </row>
    <row r="1242" spans="1:6">
      <c r="A1242">
        <v>9912</v>
      </c>
      <c r="B1242" t="s">
        <v>1406</v>
      </c>
      <c r="C1242">
        <v>8.61</v>
      </c>
      <c r="D1242">
        <f>VLOOKUP(A1242,收盤價!A:C,3,0)</f>
        <v>8.93</v>
      </c>
      <c r="E1242" s="164">
        <v>3.7166085946573786E-2</v>
      </c>
      <c r="F1242">
        <v>21.64</v>
      </c>
    </row>
    <row r="1243" spans="1:6">
      <c r="A1243">
        <v>6179</v>
      </c>
      <c r="B1243" t="s">
        <v>464</v>
      </c>
      <c r="C1243">
        <v>36.35</v>
      </c>
      <c r="D1243">
        <f>VLOOKUP(A1243,收盤價!A:C,3,0)</f>
        <v>37.700000000000003</v>
      </c>
      <c r="E1243" s="164">
        <v>3.7138927097661659E-2</v>
      </c>
      <c r="F1243">
        <v>21.58</v>
      </c>
    </row>
    <row r="1244" spans="1:6">
      <c r="A1244">
        <v>2468</v>
      </c>
      <c r="B1244" t="s">
        <v>915</v>
      </c>
      <c r="C1244">
        <v>9.98</v>
      </c>
      <c r="D1244">
        <f>VLOOKUP(A1244,收盤價!A:C,3,0)</f>
        <v>10.35</v>
      </c>
      <c r="E1244" s="164">
        <v>3.7074148296593105E-2</v>
      </c>
      <c r="F1244">
        <v>21.51</v>
      </c>
    </row>
    <row r="1245" spans="1:6">
      <c r="A1245">
        <v>5432</v>
      </c>
      <c r="B1245" t="s">
        <v>1672</v>
      </c>
      <c r="C1245">
        <v>15</v>
      </c>
      <c r="D1245">
        <f>VLOOKUP(A1245,收盤價!A:C,3,0)</f>
        <v>15.55</v>
      </c>
      <c r="E1245" s="164">
        <v>3.6666666666666715E-2</v>
      </c>
      <c r="F1245">
        <v>21.45</v>
      </c>
    </row>
    <row r="1246" spans="1:6">
      <c r="A1246">
        <v>5488</v>
      </c>
      <c r="B1246" t="s">
        <v>1682</v>
      </c>
      <c r="C1246">
        <v>5.46</v>
      </c>
      <c r="D1246">
        <f>VLOOKUP(A1246,收盤價!A:C,3,0)</f>
        <v>5.66</v>
      </c>
      <c r="E1246" s="164">
        <v>3.6630036630036659E-2</v>
      </c>
      <c r="F1246">
        <v>21.39</v>
      </c>
    </row>
    <row r="1247" spans="1:6">
      <c r="A1247">
        <v>5878</v>
      </c>
      <c r="B1247" t="s">
        <v>447</v>
      </c>
      <c r="C1247">
        <v>41.8</v>
      </c>
      <c r="D1247">
        <f>VLOOKUP(A1247,收盤價!A:C,3,0)</f>
        <v>43.3</v>
      </c>
      <c r="E1247" s="164">
        <v>3.5885167464114832E-2</v>
      </c>
      <c r="F1247">
        <v>21.32</v>
      </c>
    </row>
    <row r="1248" spans="1:6">
      <c r="A1248">
        <v>2816</v>
      </c>
      <c r="B1248" t="s">
        <v>1000</v>
      </c>
      <c r="C1248">
        <v>15.4</v>
      </c>
      <c r="D1248">
        <f>VLOOKUP(A1248,收盤價!A:C,3,0)</f>
        <v>15.95</v>
      </c>
      <c r="E1248" s="164">
        <v>3.5714285714285643E-2</v>
      </c>
      <c r="F1248">
        <v>21.26</v>
      </c>
    </row>
    <row r="1249" spans="1:6">
      <c r="A1249">
        <v>5704</v>
      </c>
      <c r="B1249" t="s">
        <v>1698</v>
      </c>
      <c r="C1249">
        <v>25.5</v>
      </c>
      <c r="D1249">
        <f>VLOOKUP(A1249,收盤價!A:C,3,0)</f>
        <v>26.4</v>
      </c>
      <c r="E1249" s="164">
        <v>3.5294117647058768E-2</v>
      </c>
      <c r="F1249">
        <v>21.2</v>
      </c>
    </row>
    <row r="1250" spans="1:6">
      <c r="A1250">
        <v>2912</v>
      </c>
      <c r="B1250" t="s">
        <v>1040</v>
      </c>
      <c r="C1250">
        <v>200</v>
      </c>
      <c r="D1250">
        <f>VLOOKUP(A1250,收盤價!A:C,3,0)</f>
        <v>207</v>
      </c>
      <c r="E1250" s="164">
        <v>3.5000000000000003E-2</v>
      </c>
      <c r="F1250">
        <v>21.14</v>
      </c>
    </row>
    <row r="1251" spans="1:6">
      <c r="A1251">
        <v>1219</v>
      </c>
      <c r="B1251" t="s">
        <v>559</v>
      </c>
      <c r="C1251">
        <v>14.3</v>
      </c>
      <c r="D1251">
        <f>VLOOKUP(A1251,收盤價!A:C,3,0)</f>
        <v>14.8</v>
      </c>
      <c r="E1251" s="164">
        <v>3.4965034965034961E-2</v>
      </c>
      <c r="F1251">
        <v>21.07</v>
      </c>
    </row>
    <row r="1252" spans="1:6">
      <c r="A1252">
        <v>4139</v>
      </c>
      <c r="B1252" t="s">
        <v>1574</v>
      </c>
      <c r="C1252">
        <v>66.8</v>
      </c>
      <c r="D1252">
        <f>VLOOKUP(A1252,收盤價!A:C,3,0)</f>
        <v>69.099999999999994</v>
      </c>
      <c r="E1252" s="164">
        <v>3.4431137724550857E-2</v>
      </c>
      <c r="F1252">
        <v>21.01</v>
      </c>
    </row>
    <row r="1253" spans="1:6">
      <c r="A1253">
        <v>1584</v>
      </c>
      <c r="B1253" t="s">
        <v>1441</v>
      </c>
      <c r="C1253">
        <v>13.15</v>
      </c>
      <c r="D1253">
        <f>VLOOKUP(A1253,收盤價!A:C,3,0)</f>
        <v>13.6</v>
      </c>
      <c r="E1253" s="164">
        <v>3.4220532319391581E-2</v>
      </c>
      <c r="F1253">
        <v>20.95</v>
      </c>
    </row>
    <row r="1254" spans="1:6">
      <c r="A1254">
        <v>8908</v>
      </c>
      <c r="B1254" t="s">
        <v>524</v>
      </c>
      <c r="C1254">
        <v>35.1</v>
      </c>
      <c r="D1254">
        <f>VLOOKUP(A1254,收盤價!A:C,3,0)</f>
        <v>36.299999999999997</v>
      </c>
      <c r="E1254" s="164">
        <v>3.4188034188034067E-2</v>
      </c>
      <c r="F1254">
        <v>20.88</v>
      </c>
    </row>
    <row r="1255" spans="1:6">
      <c r="A1255">
        <v>2347</v>
      </c>
      <c r="B1255" t="s">
        <v>822</v>
      </c>
      <c r="C1255">
        <v>31.1</v>
      </c>
      <c r="D1255">
        <f>VLOOKUP(A1255,收盤價!A:C,3,0)</f>
        <v>32.15</v>
      </c>
      <c r="E1255" s="164">
        <v>3.376205787781341E-2</v>
      </c>
      <c r="F1255">
        <v>20.82</v>
      </c>
    </row>
    <row r="1256" spans="1:6">
      <c r="A1256">
        <v>2885</v>
      </c>
      <c r="B1256" t="s">
        <v>1022</v>
      </c>
      <c r="C1256">
        <v>12</v>
      </c>
      <c r="D1256">
        <f>VLOOKUP(A1256,收盤價!A:C,3,0)</f>
        <v>12.4</v>
      </c>
      <c r="E1256" s="164">
        <v>3.3333333333333361E-2</v>
      </c>
      <c r="F1256">
        <v>20.76</v>
      </c>
    </row>
    <row r="1257" spans="1:6">
      <c r="A1257">
        <v>2027</v>
      </c>
      <c r="B1257" t="s">
        <v>763</v>
      </c>
      <c r="C1257">
        <v>13.6</v>
      </c>
      <c r="D1257">
        <f>VLOOKUP(A1257,收盤價!A:C,3,0)</f>
        <v>14.05</v>
      </c>
      <c r="E1257" s="164">
        <v>3.3088235294117724E-2</v>
      </c>
      <c r="F1257">
        <v>20.69</v>
      </c>
    </row>
    <row r="1258" spans="1:6">
      <c r="A1258">
        <v>2883</v>
      </c>
      <c r="B1258" t="s">
        <v>1020</v>
      </c>
      <c r="C1258">
        <v>8.16</v>
      </c>
      <c r="D1258">
        <f>VLOOKUP(A1258,收盤價!A:C,3,0)</f>
        <v>8.43</v>
      </c>
      <c r="E1258" s="164">
        <v>3.3088235294117592E-2</v>
      </c>
      <c r="F1258">
        <v>20.63</v>
      </c>
    </row>
    <row r="1259" spans="1:6">
      <c r="A1259">
        <v>9110</v>
      </c>
      <c r="B1259" t="s">
        <v>1382</v>
      </c>
      <c r="C1259">
        <v>3.66</v>
      </c>
      <c r="D1259">
        <f>VLOOKUP(A1259,收盤價!A:C,3,0)</f>
        <v>3.78</v>
      </c>
      <c r="E1259" s="164">
        <v>3.2786885245901544E-2</v>
      </c>
      <c r="F1259">
        <v>20.57</v>
      </c>
    </row>
    <row r="1260" spans="1:6">
      <c r="A1260">
        <v>3661</v>
      </c>
      <c r="B1260" t="s">
        <v>1164</v>
      </c>
      <c r="C1260">
        <v>35.950000000000003</v>
      </c>
      <c r="D1260">
        <f>VLOOKUP(A1260,收盤價!A:C,3,0)</f>
        <v>37.1</v>
      </c>
      <c r="E1260" s="164">
        <v>3.1988873435326803E-2</v>
      </c>
      <c r="F1260">
        <v>20.5</v>
      </c>
    </row>
    <row r="1261" spans="1:6">
      <c r="A1261">
        <v>2317</v>
      </c>
      <c r="B1261" t="s">
        <v>805</v>
      </c>
      <c r="C1261">
        <v>81.599999999999994</v>
      </c>
      <c r="D1261">
        <f>VLOOKUP(A1261,收盤價!A:C,3,0)</f>
        <v>84.2</v>
      </c>
      <c r="E1261" s="164">
        <v>3.1862745098039325E-2</v>
      </c>
      <c r="F1261">
        <v>20.440000000000001</v>
      </c>
    </row>
    <row r="1262" spans="1:6">
      <c r="A1262">
        <v>1435</v>
      </c>
      <c r="B1262" t="s">
        <v>607</v>
      </c>
      <c r="C1262">
        <v>4.4000000000000004</v>
      </c>
      <c r="D1262">
        <f>VLOOKUP(A1262,收盤價!A:C,3,0)</f>
        <v>4.54</v>
      </c>
      <c r="E1262" s="164">
        <v>3.1818181818181746E-2</v>
      </c>
      <c r="F1262">
        <v>20.38</v>
      </c>
    </row>
    <row r="1263" spans="1:6">
      <c r="A1263">
        <v>6122</v>
      </c>
      <c r="B1263" t="s">
        <v>1716</v>
      </c>
      <c r="C1263">
        <v>5.98</v>
      </c>
      <c r="D1263">
        <f>VLOOKUP(A1263,收盤價!A:C,3,0)</f>
        <v>6.17</v>
      </c>
      <c r="E1263" s="164">
        <v>3.1772575250836037E-2</v>
      </c>
      <c r="F1263">
        <v>20.32</v>
      </c>
    </row>
    <row r="1264" spans="1:6">
      <c r="A1264">
        <v>4207</v>
      </c>
      <c r="B1264" t="s">
        <v>1585</v>
      </c>
      <c r="C1264">
        <v>8.94</v>
      </c>
      <c r="D1264">
        <f>VLOOKUP(A1264,收盤價!A:C,3,0)</f>
        <v>9.2200000000000006</v>
      </c>
      <c r="E1264" s="164">
        <v>3.1319910514541513E-2</v>
      </c>
      <c r="F1264">
        <v>20.25</v>
      </c>
    </row>
    <row r="1265" spans="1:6">
      <c r="A1265">
        <v>5306</v>
      </c>
      <c r="B1265" t="s">
        <v>1652</v>
      </c>
      <c r="C1265">
        <v>128.5</v>
      </c>
      <c r="D1265">
        <f>VLOOKUP(A1265,收盤價!A:C,3,0)</f>
        <v>132.5</v>
      </c>
      <c r="E1265" s="164">
        <v>3.1128404669260701E-2</v>
      </c>
      <c r="F1265">
        <v>20.190000000000001</v>
      </c>
    </row>
    <row r="1266" spans="1:6">
      <c r="A1266">
        <v>2641</v>
      </c>
      <c r="B1266" t="s">
        <v>1458</v>
      </c>
      <c r="C1266">
        <v>8.49</v>
      </c>
      <c r="D1266">
        <f>VLOOKUP(A1266,收盤價!A:C,3,0)</f>
        <v>8.75</v>
      </c>
      <c r="E1266" s="164">
        <v>3.0624263839811518E-2</v>
      </c>
      <c r="F1266">
        <v>20.13</v>
      </c>
    </row>
    <row r="1267" spans="1:6">
      <c r="A1267">
        <v>2486</v>
      </c>
      <c r="B1267" t="s">
        <v>928</v>
      </c>
      <c r="C1267">
        <v>9.9</v>
      </c>
      <c r="D1267">
        <f>VLOOKUP(A1267,收盤價!A:C,3,0)</f>
        <v>10.199999999999999</v>
      </c>
      <c r="E1267" s="164">
        <v>3.0303030303030193E-2</v>
      </c>
      <c r="F1267">
        <v>20.059999999999999</v>
      </c>
    </row>
    <row r="1268" spans="1:6">
      <c r="A1268">
        <v>1236</v>
      </c>
      <c r="B1268" t="s">
        <v>569</v>
      </c>
      <c r="C1268">
        <v>20</v>
      </c>
      <c r="D1268">
        <f>VLOOKUP(A1268,收盤價!A:C,3,0)</f>
        <v>20.6</v>
      </c>
      <c r="E1268" s="164">
        <v>3.0000000000000072E-2</v>
      </c>
      <c r="F1268">
        <v>20</v>
      </c>
    </row>
    <row r="1269" spans="1:6">
      <c r="A1269">
        <v>9940</v>
      </c>
      <c r="B1269" t="s">
        <v>1426</v>
      </c>
      <c r="C1269">
        <v>26.9</v>
      </c>
      <c r="D1269">
        <f>VLOOKUP(A1269,收盤價!A:C,3,0)</f>
        <v>27.7</v>
      </c>
      <c r="E1269" s="164">
        <v>2.9739776951672889E-2</v>
      </c>
      <c r="F1269">
        <v>19.940000000000001</v>
      </c>
    </row>
    <row r="1270" spans="1:6">
      <c r="A1270">
        <v>5426</v>
      </c>
      <c r="B1270" t="s">
        <v>431</v>
      </c>
      <c r="C1270">
        <v>10.45</v>
      </c>
      <c r="D1270">
        <f>VLOOKUP(A1270,收盤價!A:C,3,0)</f>
        <v>10.75</v>
      </c>
      <c r="E1270" s="164">
        <v>2.8708133971291936E-2</v>
      </c>
      <c r="F1270">
        <v>19.87</v>
      </c>
    </row>
    <row r="1271" spans="1:6">
      <c r="A1271">
        <v>6120</v>
      </c>
      <c r="B1271" t="s">
        <v>1264</v>
      </c>
      <c r="C1271">
        <v>10.45</v>
      </c>
      <c r="D1271">
        <f>VLOOKUP(A1271,收盤價!A:C,3,0)</f>
        <v>10.75</v>
      </c>
      <c r="E1271" s="164">
        <v>2.8708133971291936E-2</v>
      </c>
      <c r="F1271">
        <v>19.809999999999999</v>
      </c>
    </row>
    <row r="1272" spans="1:6">
      <c r="A1272">
        <v>2302</v>
      </c>
      <c r="B1272" t="s">
        <v>796</v>
      </c>
      <c r="C1272">
        <v>5.98</v>
      </c>
      <c r="D1272">
        <f>VLOOKUP(A1272,收盤價!A:C,3,0)</f>
        <v>6.15</v>
      </c>
      <c r="E1272" s="164">
        <v>2.8428093645484934E-2</v>
      </c>
      <c r="F1272">
        <v>19.75</v>
      </c>
    </row>
    <row r="1273" spans="1:6">
      <c r="A1273">
        <v>3266</v>
      </c>
      <c r="B1273" t="s">
        <v>1109</v>
      </c>
      <c r="C1273">
        <v>12.55</v>
      </c>
      <c r="D1273">
        <f>VLOOKUP(A1273,收盤價!A:C,3,0)</f>
        <v>12.9</v>
      </c>
      <c r="E1273" s="164">
        <v>2.7888446215139414E-2</v>
      </c>
      <c r="F1273">
        <v>19.68</v>
      </c>
    </row>
    <row r="1274" spans="1:6">
      <c r="A1274">
        <v>2732</v>
      </c>
      <c r="B1274" t="s">
        <v>1462</v>
      </c>
      <c r="C1274">
        <v>83.9</v>
      </c>
      <c r="D1274">
        <f>VLOOKUP(A1274,收盤價!A:C,3,0)</f>
        <v>86.2</v>
      </c>
      <c r="E1274" s="164">
        <v>2.7413587604290787E-2</v>
      </c>
      <c r="F1274">
        <v>19.62</v>
      </c>
    </row>
    <row r="1275" spans="1:6">
      <c r="A1275">
        <v>5310</v>
      </c>
      <c r="B1275" t="s">
        <v>1654</v>
      </c>
      <c r="C1275">
        <v>29.2</v>
      </c>
      <c r="D1275">
        <f>VLOOKUP(A1275,收盤價!A:C,3,0)</f>
        <v>30</v>
      </c>
      <c r="E1275" s="164">
        <v>2.7397260273972629E-2</v>
      </c>
      <c r="F1275">
        <v>19.559999999999999</v>
      </c>
    </row>
    <row r="1276" spans="1:6">
      <c r="A1276">
        <v>3356</v>
      </c>
      <c r="B1276" t="s">
        <v>1117</v>
      </c>
      <c r="C1276">
        <v>71.099999999999994</v>
      </c>
      <c r="D1276">
        <f>VLOOKUP(A1276,收盤價!A:C,3,0)</f>
        <v>73</v>
      </c>
      <c r="E1276" s="164">
        <v>2.6722925457102753E-2</v>
      </c>
      <c r="F1276">
        <v>19.5</v>
      </c>
    </row>
    <row r="1277" spans="1:6">
      <c r="A1277">
        <v>5534</v>
      </c>
      <c r="B1277" t="s">
        <v>1249</v>
      </c>
      <c r="C1277">
        <v>43.75</v>
      </c>
      <c r="D1277">
        <f>VLOOKUP(A1277,收盤價!A:C,3,0)</f>
        <v>44.9</v>
      </c>
      <c r="E1277" s="164">
        <v>2.6285714285714253E-2</v>
      </c>
      <c r="F1277">
        <v>19.43</v>
      </c>
    </row>
    <row r="1278" spans="1:6">
      <c r="A1278">
        <v>9937</v>
      </c>
      <c r="B1278" t="s">
        <v>1423</v>
      </c>
      <c r="C1278">
        <v>35.5</v>
      </c>
      <c r="D1278">
        <f>VLOOKUP(A1278,收盤價!A:C,3,0)</f>
        <v>36.4</v>
      </c>
      <c r="E1278" s="164">
        <v>2.5352112676056297E-2</v>
      </c>
      <c r="F1278">
        <v>19.37</v>
      </c>
    </row>
    <row r="1279" spans="1:6">
      <c r="A1279">
        <v>5355</v>
      </c>
      <c r="B1279" t="s">
        <v>425</v>
      </c>
      <c r="C1279">
        <v>6.4</v>
      </c>
      <c r="D1279">
        <f>VLOOKUP(A1279,收盤價!A:C,3,0)</f>
        <v>6.56</v>
      </c>
      <c r="E1279" s="164">
        <v>2.4999999999999883E-2</v>
      </c>
      <c r="F1279">
        <v>19.309999999999999</v>
      </c>
    </row>
    <row r="1280" spans="1:6">
      <c r="A1280">
        <v>2017</v>
      </c>
      <c r="B1280" t="s">
        <v>757</v>
      </c>
      <c r="C1280">
        <v>4.88</v>
      </c>
      <c r="D1280">
        <f>VLOOKUP(A1280,收盤價!A:C,3,0)</f>
        <v>5</v>
      </c>
      <c r="E1280" s="164">
        <v>2.4590163934426253E-2</v>
      </c>
      <c r="F1280">
        <v>19.239999999999998</v>
      </c>
    </row>
    <row r="1281" spans="1:6">
      <c r="A1281">
        <v>2724</v>
      </c>
      <c r="B1281" t="s">
        <v>1459</v>
      </c>
      <c r="C1281">
        <v>14.25</v>
      </c>
      <c r="D1281">
        <f>VLOOKUP(A1281,收盤價!A:C,3,0)</f>
        <v>14.6</v>
      </c>
      <c r="E1281" s="164">
        <v>2.4561403508771906E-2</v>
      </c>
      <c r="F1281">
        <v>19.18</v>
      </c>
    </row>
    <row r="1282" spans="1:6">
      <c r="A1282">
        <v>2030</v>
      </c>
      <c r="B1282" t="s">
        <v>766</v>
      </c>
      <c r="C1282">
        <v>8.9700000000000006</v>
      </c>
      <c r="D1282">
        <f>VLOOKUP(A1282,收盤價!A:C,3,0)</f>
        <v>9.19</v>
      </c>
      <c r="E1282" s="164">
        <v>2.4526198439241788E-2</v>
      </c>
      <c r="F1282">
        <v>19.12</v>
      </c>
    </row>
    <row r="1283" spans="1:6">
      <c r="A1283">
        <v>1710</v>
      </c>
      <c r="B1283" t="s">
        <v>703</v>
      </c>
      <c r="C1283">
        <v>20.5</v>
      </c>
      <c r="D1283">
        <f>VLOOKUP(A1283,收盤價!A:C,3,0)</f>
        <v>21</v>
      </c>
      <c r="E1283" s="164">
        <v>2.4390243902439025E-2</v>
      </c>
      <c r="F1283">
        <v>19.05</v>
      </c>
    </row>
    <row r="1284" spans="1:6">
      <c r="A1284">
        <v>6107</v>
      </c>
      <c r="B1284" t="s">
        <v>1710</v>
      </c>
      <c r="C1284">
        <v>70.400000000000006</v>
      </c>
      <c r="D1284">
        <f>VLOOKUP(A1284,收盤價!A:C,3,0)</f>
        <v>72.099999999999994</v>
      </c>
      <c r="E1284" s="164">
        <v>2.4147727272727109E-2</v>
      </c>
      <c r="F1284">
        <v>18.989999999999998</v>
      </c>
    </row>
    <row r="1285" spans="1:6">
      <c r="A1285">
        <v>5601</v>
      </c>
      <c r="B1285" t="s">
        <v>1694</v>
      </c>
      <c r="C1285">
        <v>25.5</v>
      </c>
      <c r="D1285">
        <f>VLOOKUP(A1285,收盤價!A:C,3,0)</f>
        <v>26.1</v>
      </c>
      <c r="E1285" s="164">
        <v>2.3529411764705938E-2</v>
      </c>
      <c r="F1285">
        <v>18.93</v>
      </c>
    </row>
    <row r="1286" spans="1:6">
      <c r="A1286">
        <v>5285</v>
      </c>
      <c r="B1286" t="s">
        <v>1234</v>
      </c>
      <c r="C1286">
        <v>29.8</v>
      </c>
      <c r="D1286">
        <f>VLOOKUP(A1286,收盤價!A:C,3,0)</f>
        <v>30.5</v>
      </c>
      <c r="E1286" s="164">
        <v>2.3489932885906017E-2</v>
      </c>
      <c r="F1286">
        <v>18.86</v>
      </c>
    </row>
    <row r="1287" spans="1:6">
      <c r="A1287">
        <v>5519</v>
      </c>
      <c r="B1287" t="s">
        <v>1243</v>
      </c>
      <c r="C1287">
        <v>13.3</v>
      </c>
      <c r="D1287">
        <f>VLOOKUP(A1287,收盤價!A:C,3,0)</f>
        <v>13.6</v>
      </c>
      <c r="E1287" s="164">
        <v>2.2556390977443528E-2</v>
      </c>
      <c r="F1287">
        <v>18.8</v>
      </c>
    </row>
    <row r="1288" spans="1:6">
      <c r="A1288">
        <v>3658</v>
      </c>
      <c r="B1288" t="s">
        <v>358</v>
      </c>
      <c r="C1288">
        <v>1115</v>
      </c>
      <c r="D1288">
        <f>VLOOKUP(A1288,收盤價!A:C,3,0)</f>
        <v>1140</v>
      </c>
      <c r="E1288" s="164">
        <v>2.2421524663677129E-2</v>
      </c>
      <c r="F1288">
        <v>18.739999999999998</v>
      </c>
    </row>
    <row r="1289" spans="1:6">
      <c r="A1289">
        <v>2509</v>
      </c>
      <c r="B1289" t="s">
        <v>943</v>
      </c>
      <c r="C1289">
        <v>22.7</v>
      </c>
      <c r="D1289">
        <f>VLOOKUP(A1289,收盤價!A:C,3,0)</f>
        <v>23.2</v>
      </c>
      <c r="E1289" s="164">
        <v>2.2026431718061675E-2</v>
      </c>
      <c r="F1289">
        <v>18.68</v>
      </c>
    </row>
    <row r="1290" spans="1:6">
      <c r="A1290">
        <v>2461</v>
      </c>
      <c r="B1290" t="s">
        <v>909</v>
      </c>
      <c r="C1290">
        <v>13.7</v>
      </c>
      <c r="D1290">
        <f>VLOOKUP(A1290,收盤價!A:C,3,0)</f>
        <v>14</v>
      </c>
      <c r="E1290" s="164">
        <v>2.1897810218978155E-2</v>
      </c>
      <c r="F1290">
        <v>18.61</v>
      </c>
    </row>
    <row r="1291" spans="1:6">
      <c r="A1291">
        <v>8401</v>
      </c>
      <c r="B1291" t="s">
        <v>1825</v>
      </c>
      <c r="C1291">
        <v>11.65</v>
      </c>
      <c r="D1291">
        <f>VLOOKUP(A1291,收盤價!A:C,3,0)</f>
        <v>11.9</v>
      </c>
      <c r="E1291" s="164">
        <v>2.1459227467811159E-2</v>
      </c>
      <c r="F1291">
        <v>18.55</v>
      </c>
    </row>
    <row r="1292" spans="1:6">
      <c r="A1292">
        <v>9926</v>
      </c>
      <c r="B1292" t="s">
        <v>1414</v>
      </c>
      <c r="C1292">
        <v>39.75</v>
      </c>
      <c r="D1292">
        <f>VLOOKUP(A1292,收盤價!A:C,3,0)</f>
        <v>40.6</v>
      </c>
      <c r="E1292" s="164">
        <v>2.1383647798742175E-2</v>
      </c>
      <c r="F1292">
        <v>18.489999999999998</v>
      </c>
    </row>
    <row r="1293" spans="1:6">
      <c r="A1293">
        <v>2023</v>
      </c>
      <c r="B1293" t="s">
        <v>760</v>
      </c>
      <c r="C1293">
        <v>7.12</v>
      </c>
      <c r="D1293">
        <f>VLOOKUP(A1293,收盤價!A:C,3,0)</f>
        <v>7.27</v>
      </c>
      <c r="E1293" s="164">
        <v>2.1067415730337005E-2</v>
      </c>
      <c r="F1293">
        <v>18.420000000000002</v>
      </c>
    </row>
    <row r="1294" spans="1:6">
      <c r="A1294">
        <v>1617</v>
      </c>
      <c r="B1294" t="s">
        <v>694</v>
      </c>
      <c r="C1294">
        <v>6.69</v>
      </c>
      <c r="D1294">
        <f>VLOOKUP(A1294,收盤價!A:C,3,0)</f>
        <v>6.83</v>
      </c>
      <c r="E1294" s="164">
        <v>2.0926756352765273E-2</v>
      </c>
      <c r="F1294">
        <v>18.36</v>
      </c>
    </row>
    <row r="1295" spans="1:6">
      <c r="A1295">
        <v>6103</v>
      </c>
      <c r="B1295" t="s">
        <v>1707</v>
      </c>
      <c r="C1295">
        <v>6.27</v>
      </c>
      <c r="D1295">
        <f>VLOOKUP(A1295,收盤價!A:C,3,0)</f>
        <v>6.4</v>
      </c>
      <c r="E1295" s="164">
        <v>2.0733652312599805E-2</v>
      </c>
      <c r="F1295">
        <v>18.3</v>
      </c>
    </row>
    <row r="1296" spans="1:6">
      <c r="A1296">
        <v>2010</v>
      </c>
      <c r="B1296" t="s">
        <v>752</v>
      </c>
      <c r="C1296">
        <v>8.6</v>
      </c>
      <c r="D1296">
        <f>VLOOKUP(A1296,收盤價!A:C,3,0)</f>
        <v>8.77</v>
      </c>
      <c r="E1296" s="164">
        <v>1.9767441860465109E-2</v>
      </c>
      <c r="F1296">
        <v>18.23</v>
      </c>
    </row>
    <row r="1297" spans="1:6">
      <c r="A1297">
        <v>2890</v>
      </c>
      <c r="B1297" t="s">
        <v>1027</v>
      </c>
      <c r="C1297">
        <v>9.67</v>
      </c>
      <c r="D1297">
        <f>VLOOKUP(A1297,收盤價!A:C,3,0)</f>
        <v>9.86</v>
      </c>
      <c r="E1297" s="164">
        <v>1.9648397104446692E-2</v>
      </c>
      <c r="F1297">
        <v>18.170000000000002</v>
      </c>
    </row>
    <row r="1298" spans="1:6">
      <c r="A1298">
        <v>5905</v>
      </c>
      <c r="B1298" t="s">
        <v>1701</v>
      </c>
      <c r="C1298">
        <v>8.73</v>
      </c>
      <c r="D1298">
        <f>VLOOKUP(A1298,收盤價!A:C,3,0)</f>
        <v>8.9</v>
      </c>
      <c r="E1298" s="164">
        <v>1.9473081328751422E-2</v>
      </c>
      <c r="F1298">
        <v>18.11</v>
      </c>
    </row>
    <row r="1299" spans="1:6">
      <c r="A1299">
        <v>6212</v>
      </c>
      <c r="B1299" t="s">
        <v>471</v>
      </c>
      <c r="C1299">
        <v>24.3</v>
      </c>
      <c r="D1299">
        <f>VLOOKUP(A1299,收盤價!A:C,3,0)</f>
        <v>24.75</v>
      </c>
      <c r="E1299" s="164">
        <v>1.851851851851849E-2</v>
      </c>
      <c r="F1299">
        <v>18.04</v>
      </c>
    </row>
    <row r="1300" spans="1:6">
      <c r="A1300">
        <v>8923</v>
      </c>
      <c r="B1300" t="s">
        <v>1838</v>
      </c>
      <c r="C1300">
        <v>16.7</v>
      </c>
      <c r="D1300">
        <f>VLOOKUP(A1300,收盤價!A:C,3,0)</f>
        <v>17</v>
      </c>
      <c r="E1300" s="164">
        <v>1.796407185628747E-2</v>
      </c>
      <c r="F1300">
        <v>17.98</v>
      </c>
    </row>
    <row r="1301" spans="1:6">
      <c r="A1301">
        <v>5515</v>
      </c>
      <c r="B1301" t="s">
        <v>1242</v>
      </c>
      <c r="C1301">
        <v>8.4</v>
      </c>
      <c r="D1301">
        <f>VLOOKUP(A1301,收盤價!A:C,3,0)</f>
        <v>8.5500000000000007</v>
      </c>
      <c r="E1301" s="164">
        <v>1.7857142857142898E-2</v>
      </c>
      <c r="F1301">
        <v>17.920000000000002</v>
      </c>
    </row>
    <row r="1302" spans="1:6">
      <c r="A1302">
        <v>2312</v>
      </c>
      <c r="B1302" t="s">
        <v>801</v>
      </c>
      <c r="C1302">
        <v>9</v>
      </c>
      <c r="D1302">
        <f>VLOOKUP(A1302,收盤價!A:C,3,0)</f>
        <v>9.16</v>
      </c>
      <c r="E1302" s="164">
        <v>1.7777777777777795E-2</v>
      </c>
      <c r="F1302">
        <v>17.850000000000001</v>
      </c>
    </row>
    <row r="1303" spans="1:6">
      <c r="A1303">
        <v>2409</v>
      </c>
      <c r="B1303" t="s">
        <v>868</v>
      </c>
      <c r="C1303">
        <v>8.6</v>
      </c>
      <c r="D1303">
        <f>VLOOKUP(A1303,收盤價!A:C,3,0)</f>
        <v>8.75</v>
      </c>
      <c r="E1303" s="164">
        <v>1.744186046511632E-2</v>
      </c>
      <c r="F1303">
        <v>17.79</v>
      </c>
    </row>
    <row r="1304" spans="1:6">
      <c r="A1304">
        <v>5904</v>
      </c>
      <c r="B1304" t="s">
        <v>449</v>
      </c>
      <c r="C1304">
        <v>318</v>
      </c>
      <c r="D1304">
        <f>VLOOKUP(A1304,收盤價!A:C,3,0)</f>
        <v>323.5</v>
      </c>
      <c r="E1304" s="164">
        <v>1.7295597484276729E-2</v>
      </c>
      <c r="F1304">
        <v>17.73</v>
      </c>
    </row>
    <row r="1305" spans="1:6">
      <c r="A1305">
        <v>5607</v>
      </c>
      <c r="B1305" t="s">
        <v>1251</v>
      </c>
      <c r="C1305">
        <v>14.75</v>
      </c>
      <c r="D1305">
        <f>VLOOKUP(A1305,收盤價!A:C,3,0)</f>
        <v>15</v>
      </c>
      <c r="E1305" s="164">
        <v>1.6949152542372881E-2</v>
      </c>
      <c r="F1305">
        <v>17.670000000000002</v>
      </c>
    </row>
    <row r="1306" spans="1:6">
      <c r="A1306">
        <v>8358</v>
      </c>
      <c r="B1306" t="s">
        <v>1823</v>
      </c>
      <c r="C1306">
        <v>8.5500000000000007</v>
      </c>
      <c r="D1306">
        <f>VLOOKUP(A1306,收盤價!A:C,3,0)</f>
        <v>8.69</v>
      </c>
      <c r="E1306" s="164">
        <v>1.6374269005847812E-2</v>
      </c>
      <c r="F1306">
        <v>17.600000000000001</v>
      </c>
    </row>
    <row r="1307" spans="1:6">
      <c r="A1307">
        <v>1402</v>
      </c>
      <c r="B1307" t="s">
        <v>595</v>
      </c>
      <c r="C1307">
        <v>25.65</v>
      </c>
      <c r="D1307">
        <f>VLOOKUP(A1307,收盤價!A:C,3,0)</f>
        <v>26.05</v>
      </c>
      <c r="E1307" s="164">
        <v>1.5594541910331468E-2</v>
      </c>
      <c r="F1307">
        <v>17.54</v>
      </c>
    </row>
    <row r="1308" spans="1:6">
      <c r="A1308">
        <v>1109</v>
      </c>
      <c r="B1308" t="s">
        <v>1852</v>
      </c>
      <c r="C1308">
        <v>9.9</v>
      </c>
      <c r="D1308">
        <f>VLOOKUP(A1308,收盤價!A:C,3,0)</f>
        <v>10.050000000000001</v>
      </c>
      <c r="E1308" s="164">
        <v>1.5151515151515187E-2</v>
      </c>
      <c r="F1308">
        <v>17.48</v>
      </c>
    </row>
    <row r="1309" spans="1:6">
      <c r="A1309">
        <v>9943</v>
      </c>
      <c r="B1309" t="s">
        <v>1429</v>
      </c>
      <c r="C1309">
        <v>53.7</v>
      </c>
      <c r="D1309">
        <f>VLOOKUP(A1309,收盤價!A:C,3,0)</f>
        <v>54.5</v>
      </c>
      <c r="E1309" s="164">
        <v>1.4897579143389145E-2</v>
      </c>
      <c r="F1309">
        <v>17.41</v>
      </c>
    </row>
    <row r="1310" spans="1:6">
      <c r="A1310">
        <v>3045</v>
      </c>
      <c r="B1310" t="s">
        <v>1082</v>
      </c>
      <c r="C1310">
        <v>97.4</v>
      </c>
      <c r="D1310">
        <f>VLOOKUP(A1310,收盤價!A:C,3,0)</f>
        <v>98.8</v>
      </c>
      <c r="E1310" s="164">
        <v>1.4373716632443443E-2</v>
      </c>
      <c r="F1310">
        <v>17.350000000000001</v>
      </c>
    </row>
    <row r="1311" spans="1:6">
      <c r="A1311">
        <v>2022</v>
      </c>
      <c r="B1311" t="s">
        <v>759</v>
      </c>
      <c r="C1311">
        <v>3.59</v>
      </c>
      <c r="D1311">
        <f>VLOOKUP(A1311,收盤價!A:C,3,0)</f>
        <v>3.64</v>
      </c>
      <c r="E1311" s="164">
        <v>1.3927576601671383E-2</v>
      </c>
      <c r="F1311">
        <v>17.29</v>
      </c>
    </row>
    <row r="1312" spans="1:6">
      <c r="A1312">
        <v>9921</v>
      </c>
      <c r="B1312" t="s">
        <v>1411</v>
      </c>
      <c r="C1312">
        <v>218.5</v>
      </c>
      <c r="D1312">
        <f>VLOOKUP(A1312,收盤價!A:C,3,0)</f>
        <v>221.5</v>
      </c>
      <c r="E1312" s="164">
        <v>1.3729977116704805E-2</v>
      </c>
      <c r="F1312">
        <v>17.22</v>
      </c>
    </row>
    <row r="1313" spans="1:6">
      <c r="A1313">
        <v>2892</v>
      </c>
      <c r="B1313" t="s">
        <v>1031</v>
      </c>
      <c r="C1313">
        <v>15</v>
      </c>
      <c r="D1313">
        <f>VLOOKUP(A1313,收盤價!A:C,3,0)</f>
        <v>15.2</v>
      </c>
      <c r="E1313" s="164">
        <v>1.3333333333333286E-2</v>
      </c>
      <c r="F1313">
        <v>17.16</v>
      </c>
    </row>
    <row r="1314" spans="1:6">
      <c r="A1314">
        <v>8435</v>
      </c>
      <c r="B1314" t="s">
        <v>522</v>
      </c>
      <c r="C1314">
        <v>46.9</v>
      </c>
      <c r="D1314">
        <f>VLOOKUP(A1314,收盤價!A:C,3,0)</f>
        <v>47.5</v>
      </c>
      <c r="E1314" s="164">
        <v>1.2793176972281481E-2</v>
      </c>
      <c r="F1314">
        <v>17.100000000000001</v>
      </c>
    </row>
    <row r="1315" spans="1:6">
      <c r="A1315">
        <v>2617</v>
      </c>
      <c r="B1315" t="s">
        <v>981</v>
      </c>
      <c r="C1315">
        <v>11.8</v>
      </c>
      <c r="D1315">
        <f>VLOOKUP(A1315,收盤價!A:C,3,0)</f>
        <v>11.95</v>
      </c>
      <c r="E1315" s="164">
        <v>1.271186440677954E-2</v>
      </c>
      <c r="F1315">
        <v>17.03</v>
      </c>
    </row>
    <row r="1316" spans="1:6">
      <c r="A1316">
        <v>3701</v>
      </c>
      <c r="B1316" t="s">
        <v>1173</v>
      </c>
      <c r="C1316">
        <v>8.89</v>
      </c>
      <c r="D1316">
        <f>VLOOKUP(A1316,收盤價!A:C,3,0)</f>
        <v>9</v>
      </c>
      <c r="E1316" s="164">
        <v>1.2373453318335143E-2</v>
      </c>
      <c r="F1316">
        <v>16.97</v>
      </c>
    </row>
    <row r="1317" spans="1:6">
      <c r="A1317">
        <v>6175</v>
      </c>
      <c r="B1317" t="s">
        <v>463</v>
      </c>
      <c r="C1317">
        <v>12.55</v>
      </c>
      <c r="D1317">
        <f>VLOOKUP(A1317,收盤價!A:C,3,0)</f>
        <v>12.7</v>
      </c>
      <c r="E1317" s="164">
        <v>1.1952191235059646E-2</v>
      </c>
      <c r="F1317">
        <v>16.91</v>
      </c>
    </row>
    <row r="1318" spans="1:6">
      <c r="A1318">
        <v>2881</v>
      </c>
      <c r="B1318" t="s">
        <v>1018</v>
      </c>
      <c r="C1318">
        <v>50.3</v>
      </c>
      <c r="D1318">
        <f>VLOOKUP(A1318,收盤價!A:C,3,0)</f>
        <v>50.9</v>
      </c>
      <c r="E1318" s="164">
        <v>1.1928429423459274E-2</v>
      </c>
      <c r="F1318">
        <v>16.850000000000001</v>
      </c>
    </row>
    <row r="1319" spans="1:6">
      <c r="A1319">
        <v>2888</v>
      </c>
      <c r="B1319" t="s">
        <v>1025</v>
      </c>
      <c r="C1319">
        <v>7</v>
      </c>
      <c r="D1319">
        <f>VLOOKUP(A1319,收盤價!A:C,3,0)</f>
        <v>7.08</v>
      </c>
      <c r="E1319" s="164">
        <v>1.1428571428571439E-2</v>
      </c>
      <c r="F1319">
        <v>16.78</v>
      </c>
    </row>
    <row r="1320" spans="1:6">
      <c r="A1320">
        <v>6176</v>
      </c>
      <c r="B1320" t="s">
        <v>1281</v>
      </c>
      <c r="C1320">
        <v>83.2</v>
      </c>
      <c r="D1320">
        <f>VLOOKUP(A1320,收盤價!A:C,3,0)</f>
        <v>84.1</v>
      </c>
      <c r="E1320" s="164">
        <v>1.081730769230759E-2</v>
      </c>
      <c r="F1320">
        <v>16.72</v>
      </c>
    </row>
    <row r="1321" spans="1:6">
      <c r="A1321">
        <v>9908</v>
      </c>
      <c r="B1321" t="s">
        <v>1403</v>
      </c>
      <c r="C1321">
        <v>21.9</v>
      </c>
      <c r="D1321">
        <f>VLOOKUP(A1321,收盤價!A:C,3,0)</f>
        <v>22.1</v>
      </c>
      <c r="E1321" s="164">
        <v>9.1324200913243305E-3</v>
      </c>
      <c r="F1321">
        <v>16.66</v>
      </c>
    </row>
    <row r="1322" spans="1:6">
      <c r="A1322">
        <v>2024</v>
      </c>
      <c r="B1322" t="s">
        <v>761</v>
      </c>
      <c r="C1322">
        <v>6.68</v>
      </c>
      <c r="D1322">
        <f>VLOOKUP(A1322,收盤價!A:C,3,0)</f>
        <v>6.74</v>
      </c>
      <c r="E1322" s="164">
        <v>8.9820359281437868E-3</v>
      </c>
      <c r="F1322">
        <v>16.59</v>
      </c>
    </row>
    <row r="1323" spans="1:6">
      <c r="A1323">
        <v>1570</v>
      </c>
      <c r="B1323" t="s">
        <v>1439</v>
      </c>
      <c r="C1323">
        <v>17.55</v>
      </c>
      <c r="D1323">
        <f>VLOOKUP(A1323,收盤價!A:C,3,0)</f>
        <v>17.7</v>
      </c>
      <c r="E1323" s="164">
        <v>8.5470085470084663E-3</v>
      </c>
      <c r="F1323">
        <v>16.53</v>
      </c>
    </row>
    <row r="1324" spans="1:6">
      <c r="A1324">
        <v>1604</v>
      </c>
      <c r="B1324" t="s">
        <v>684</v>
      </c>
      <c r="C1324">
        <v>11.9</v>
      </c>
      <c r="D1324">
        <f>VLOOKUP(A1324,收盤價!A:C,3,0)</f>
        <v>12</v>
      </c>
      <c r="E1324" s="164">
        <v>8.4033613445377853E-3</v>
      </c>
      <c r="F1324">
        <v>16.47</v>
      </c>
    </row>
    <row r="1325" spans="1:6">
      <c r="A1325">
        <v>2383</v>
      </c>
      <c r="B1325" t="s">
        <v>852</v>
      </c>
      <c r="C1325">
        <v>63</v>
      </c>
      <c r="D1325">
        <f>VLOOKUP(A1325,收盤價!A:C,3,0)</f>
        <v>63.4</v>
      </c>
      <c r="E1325" s="164">
        <v>6.3492063492063266E-3</v>
      </c>
      <c r="F1325">
        <v>16.399999999999999</v>
      </c>
    </row>
    <row r="1326" spans="1:6">
      <c r="A1326">
        <v>8927</v>
      </c>
      <c r="B1326" t="s">
        <v>528</v>
      </c>
      <c r="C1326">
        <v>9.89</v>
      </c>
      <c r="D1326">
        <f>VLOOKUP(A1326,收盤價!A:C,3,0)</f>
        <v>9.9499999999999993</v>
      </c>
      <c r="E1326" s="164">
        <v>6.0667340748229237E-3</v>
      </c>
      <c r="F1326">
        <v>16.34</v>
      </c>
    </row>
    <row r="1327" spans="1:6">
      <c r="A1327">
        <v>3591</v>
      </c>
      <c r="B1327" t="s">
        <v>1154</v>
      </c>
      <c r="C1327">
        <v>17.3</v>
      </c>
      <c r="D1327">
        <f>VLOOKUP(A1327,收盤價!A:C,3,0)</f>
        <v>17.399999999999999</v>
      </c>
      <c r="E1327" s="164">
        <v>5.7803468208091251E-3</v>
      </c>
      <c r="F1327">
        <v>16.28</v>
      </c>
    </row>
    <row r="1328" spans="1:6">
      <c r="A1328">
        <v>2605</v>
      </c>
      <c r="B1328" t="s">
        <v>969</v>
      </c>
      <c r="C1328">
        <v>17.75</v>
      </c>
      <c r="D1328">
        <f>VLOOKUP(A1328,收盤價!A:C,3,0)</f>
        <v>17.850000000000001</v>
      </c>
      <c r="E1328" s="164">
        <v>5.6338028169014885E-3</v>
      </c>
      <c r="F1328">
        <v>16.21</v>
      </c>
    </row>
    <row r="1329" spans="1:6">
      <c r="A1329">
        <v>8906</v>
      </c>
      <c r="B1329" t="s">
        <v>1836</v>
      </c>
      <c r="C1329">
        <v>7.28</v>
      </c>
      <c r="D1329">
        <f>VLOOKUP(A1329,收盤價!A:C,3,0)</f>
        <v>7.32</v>
      </c>
      <c r="E1329" s="164">
        <v>5.4945054945054993E-3</v>
      </c>
      <c r="F1329">
        <v>16.149999999999999</v>
      </c>
    </row>
    <row r="1330" spans="1:6">
      <c r="A1330">
        <v>2845</v>
      </c>
      <c r="B1330" t="s">
        <v>1008</v>
      </c>
      <c r="C1330">
        <v>9.81</v>
      </c>
      <c r="D1330">
        <f>VLOOKUP(A1330,收盤價!A:C,3,0)</f>
        <v>9.86</v>
      </c>
      <c r="E1330" s="164">
        <v>5.0968399592251712E-3</v>
      </c>
      <c r="F1330">
        <v>16.09</v>
      </c>
    </row>
    <row r="1331" spans="1:6">
      <c r="A1331">
        <v>2834</v>
      </c>
      <c r="B1331" t="s">
        <v>1004</v>
      </c>
      <c r="C1331">
        <v>8.08</v>
      </c>
      <c r="D1331">
        <f>VLOOKUP(A1331,收盤價!A:C,3,0)</f>
        <v>8.1199999999999992</v>
      </c>
      <c r="E1331" s="164">
        <v>4.9504950495048447E-3</v>
      </c>
      <c r="F1331">
        <v>16.03</v>
      </c>
    </row>
    <row r="1332" spans="1:6">
      <c r="A1332">
        <v>6163</v>
      </c>
      <c r="B1332" t="s">
        <v>460</v>
      </c>
      <c r="C1332">
        <v>10.5</v>
      </c>
      <c r="D1332">
        <f>VLOOKUP(A1332,收盤價!A:C,3,0)</f>
        <v>10.55</v>
      </c>
      <c r="E1332" s="164">
        <v>4.76190476190483E-3</v>
      </c>
      <c r="F1332">
        <v>15.96</v>
      </c>
    </row>
    <row r="1333" spans="1:6">
      <c r="A1333">
        <v>8059</v>
      </c>
      <c r="B1333" t="s">
        <v>1788</v>
      </c>
      <c r="C1333">
        <v>11.75</v>
      </c>
      <c r="D1333">
        <f>VLOOKUP(A1333,收盤價!A:C,3,0)</f>
        <v>11.8</v>
      </c>
      <c r="E1333" s="164">
        <v>4.255319148936231E-3</v>
      </c>
      <c r="F1333">
        <v>15.9</v>
      </c>
    </row>
    <row r="1334" spans="1:6">
      <c r="A1334">
        <v>2731</v>
      </c>
      <c r="B1334" t="s">
        <v>996</v>
      </c>
      <c r="C1334">
        <v>119.5</v>
      </c>
      <c r="D1334">
        <f>VLOOKUP(A1334,收盤價!A:C,3,0)</f>
        <v>120</v>
      </c>
      <c r="E1334" s="164">
        <v>4.1841004184100415E-3</v>
      </c>
      <c r="F1334">
        <v>15.84</v>
      </c>
    </row>
    <row r="1335" spans="1:6">
      <c r="A1335">
        <v>9946</v>
      </c>
      <c r="B1335" t="s">
        <v>1432</v>
      </c>
      <c r="C1335">
        <v>14</v>
      </c>
      <c r="D1335">
        <f>VLOOKUP(A1335,收盤價!A:C,3,0)</f>
        <v>14.05</v>
      </c>
      <c r="E1335" s="164">
        <v>3.5714285714286221E-3</v>
      </c>
      <c r="F1335">
        <v>15.77</v>
      </c>
    </row>
    <row r="1336" spans="1:6">
      <c r="A1336">
        <v>1615</v>
      </c>
      <c r="B1336" t="s">
        <v>692</v>
      </c>
      <c r="C1336">
        <v>9.65</v>
      </c>
      <c r="D1336">
        <f>VLOOKUP(A1336,收盤價!A:C,3,0)</f>
        <v>9.68</v>
      </c>
      <c r="E1336" s="164">
        <v>3.1088082901553739E-3</v>
      </c>
      <c r="F1336">
        <v>15.71</v>
      </c>
    </row>
    <row r="1337" spans="1:6">
      <c r="A1337">
        <v>2637</v>
      </c>
      <c r="B1337" t="s">
        <v>984</v>
      </c>
      <c r="C1337">
        <v>35.700000000000003</v>
      </c>
      <c r="D1337">
        <f>VLOOKUP(A1337,收盤價!A:C,3,0)</f>
        <v>35.799999999999997</v>
      </c>
      <c r="E1337" s="164">
        <v>2.8011204481791121E-3</v>
      </c>
      <c r="F1337">
        <v>15.65</v>
      </c>
    </row>
    <row r="1338" spans="1:6">
      <c r="A1338">
        <v>8935</v>
      </c>
      <c r="B1338" t="s">
        <v>532</v>
      </c>
      <c r="C1338">
        <v>6.35</v>
      </c>
      <c r="D1338">
        <f>VLOOKUP(A1338,收盤價!A:C,3,0)</f>
        <v>6.35</v>
      </c>
      <c r="E1338" s="164">
        <v>0</v>
      </c>
      <c r="F1338">
        <v>15.58</v>
      </c>
    </row>
    <row r="1339" spans="1:6">
      <c r="A1339">
        <v>2049</v>
      </c>
      <c r="B1339" t="s">
        <v>772</v>
      </c>
      <c r="C1339">
        <v>150</v>
      </c>
      <c r="D1339">
        <f>VLOOKUP(A1339,收盤價!A:C,3,0)</f>
        <v>150</v>
      </c>
      <c r="E1339" s="164">
        <v>0</v>
      </c>
      <c r="F1339">
        <v>15.52</v>
      </c>
    </row>
    <row r="1340" spans="1:6">
      <c r="A1340">
        <v>2852</v>
      </c>
      <c r="B1340" t="s">
        <v>1013</v>
      </c>
      <c r="C1340">
        <v>12.1</v>
      </c>
      <c r="D1340">
        <f>VLOOKUP(A1340,收盤價!A:C,3,0)</f>
        <v>12.1</v>
      </c>
      <c r="E1340" s="164">
        <v>0</v>
      </c>
      <c r="F1340">
        <v>15.46</v>
      </c>
    </row>
    <row r="1341" spans="1:6">
      <c r="A1341">
        <v>2006</v>
      </c>
      <c r="B1341" t="s">
        <v>748</v>
      </c>
      <c r="C1341">
        <v>16.8</v>
      </c>
      <c r="D1341">
        <f>VLOOKUP(A1341,收盤價!A:C,3,0)</f>
        <v>16.8</v>
      </c>
      <c r="E1341" s="164">
        <v>0</v>
      </c>
      <c r="F1341">
        <v>15.39</v>
      </c>
    </row>
    <row r="1342" spans="1:6">
      <c r="A1342">
        <v>5525</v>
      </c>
      <c r="B1342" t="s">
        <v>1246</v>
      </c>
      <c r="C1342">
        <v>16.399999999999999</v>
      </c>
      <c r="D1342">
        <f>VLOOKUP(A1342,收盤價!A:C,3,0)</f>
        <v>16.399999999999999</v>
      </c>
      <c r="E1342" s="164">
        <v>0</v>
      </c>
      <c r="F1342">
        <v>15.33</v>
      </c>
    </row>
    <row r="1343" spans="1:6">
      <c r="A1343">
        <v>6603</v>
      </c>
      <c r="B1343" t="s">
        <v>497</v>
      </c>
      <c r="C1343">
        <v>10.5</v>
      </c>
      <c r="D1343">
        <f>VLOOKUP(A1343,收盤價!A:C,3,0)</f>
        <v>10.5</v>
      </c>
      <c r="E1343" s="164">
        <v>0</v>
      </c>
      <c r="F1343">
        <v>15.27</v>
      </c>
    </row>
    <row r="1344" spans="1:6">
      <c r="A1344">
        <v>2515</v>
      </c>
      <c r="B1344" t="s">
        <v>946</v>
      </c>
      <c r="C1344">
        <v>7.02</v>
      </c>
      <c r="D1344">
        <f>VLOOKUP(A1344,收盤價!A:C,3,0)</f>
        <v>7.01</v>
      </c>
      <c r="E1344" s="164">
        <v>-1.4245014245013942E-3</v>
      </c>
      <c r="F1344">
        <v>15.21</v>
      </c>
    </row>
    <row r="1345" spans="1:6">
      <c r="A1345">
        <v>2516</v>
      </c>
      <c r="B1345" t="s">
        <v>947</v>
      </c>
      <c r="C1345">
        <v>6.21</v>
      </c>
      <c r="D1345">
        <f>VLOOKUP(A1345,收盤價!A:C,3,0)</f>
        <v>6.2</v>
      </c>
      <c r="E1345" s="164">
        <v>-1.6103059581320108E-3</v>
      </c>
      <c r="F1345">
        <v>15.14</v>
      </c>
    </row>
    <row r="1346" spans="1:6">
      <c r="A1346">
        <v>2886</v>
      </c>
      <c r="B1346" t="s">
        <v>1023</v>
      </c>
      <c r="C1346">
        <v>22.3</v>
      </c>
      <c r="D1346">
        <f>VLOOKUP(A1346,收盤價!A:C,3,0)</f>
        <v>22.25</v>
      </c>
      <c r="E1346" s="164">
        <v>-2.2421524663677446E-3</v>
      </c>
      <c r="F1346">
        <v>15.08</v>
      </c>
    </row>
    <row r="1347" spans="1:6">
      <c r="A1347">
        <v>3207</v>
      </c>
      <c r="B1347" t="s">
        <v>299</v>
      </c>
      <c r="C1347">
        <v>7.98</v>
      </c>
      <c r="D1347">
        <f>VLOOKUP(A1347,收盤價!A:C,3,0)</f>
        <v>7.96</v>
      </c>
      <c r="E1347" s="164">
        <v>-2.5062656641604585E-3</v>
      </c>
      <c r="F1347">
        <v>15.02</v>
      </c>
    </row>
    <row r="1348" spans="1:6">
      <c r="A1348">
        <v>5508</v>
      </c>
      <c r="B1348" t="s">
        <v>1687</v>
      </c>
      <c r="C1348">
        <v>28.55</v>
      </c>
      <c r="D1348">
        <f>VLOOKUP(A1348,收盤價!A:C,3,0)</f>
        <v>28.45</v>
      </c>
      <c r="E1348" s="164">
        <v>-3.5026269702277207E-3</v>
      </c>
      <c r="F1348">
        <v>14.95</v>
      </c>
    </row>
    <row r="1349" spans="1:6">
      <c r="A1349">
        <v>2812</v>
      </c>
      <c r="B1349" t="s">
        <v>999</v>
      </c>
      <c r="C1349">
        <v>9.69</v>
      </c>
      <c r="D1349">
        <f>VLOOKUP(A1349,收盤價!A:C,3,0)</f>
        <v>9.65</v>
      </c>
      <c r="E1349" s="164">
        <v>-4.127966976264102E-3</v>
      </c>
      <c r="F1349">
        <v>14.89</v>
      </c>
    </row>
    <row r="1350" spans="1:6">
      <c r="A1350">
        <v>6219</v>
      </c>
      <c r="B1350" t="s">
        <v>1749</v>
      </c>
      <c r="C1350">
        <v>11.95</v>
      </c>
      <c r="D1350">
        <f>VLOOKUP(A1350,收盤價!A:C,3,0)</f>
        <v>11.9</v>
      </c>
      <c r="E1350" s="164">
        <v>-4.184100418409953E-3</v>
      </c>
      <c r="F1350">
        <v>14.83</v>
      </c>
    </row>
    <row r="1351" spans="1:6">
      <c r="A1351">
        <v>2906</v>
      </c>
      <c r="B1351" t="s">
        <v>1036</v>
      </c>
      <c r="C1351">
        <v>11.75</v>
      </c>
      <c r="D1351">
        <f>VLOOKUP(A1351,收盤價!A:C,3,0)</f>
        <v>11.7</v>
      </c>
      <c r="E1351" s="164">
        <v>-4.255319148936231E-3</v>
      </c>
      <c r="F1351">
        <v>14.76</v>
      </c>
    </row>
    <row r="1352" spans="1:6">
      <c r="A1352">
        <v>1702</v>
      </c>
      <c r="B1352" t="s">
        <v>698</v>
      </c>
      <c r="C1352">
        <v>67.5</v>
      </c>
      <c r="D1352">
        <f>VLOOKUP(A1352,收盤價!A:C,3,0)</f>
        <v>67.2</v>
      </c>
      <c r="E1352" s="164">
        <v>-4.4444444444444019E-3</v>
      </c>
      <c r="F1352">
        <v>14.7</v>
      </c>
    </row>
    <row r="1353" spans="1:6">
      <c r="A1353">
        <v>8928</v>
      </c>
      <c r="B1353" t="s">
        <v>529</v>
      </c>
      <c r="C1353">
        <v>42.3</v>
      </c>
      <c r="D1353">
        <f>VLOOKUP(A1353,收盤價!A:C,3,0)</f>
        <v>42.1</v>
      </c>
      <c r="E1353" s="164">
        <v>-4.7281323877067551E-3</v>
      </c>
      <c r="F1353">
        <v>14.64</v>
      </c>
    </row>
    <row r="1354" spans="1:6">
      <c r="A1354">
        <v>1233</v>
      </c>
      <c r="B1354" t="s">
        <v>566</v>
      </c>
      <c r="C1354">
        <v>37</v>
      </c>
      <c r="D1354">
        <f>VLOOKUP(A1354,收盤價!A:C,3,0)</f>
        <v>36.799999999999997</v>
      </c>
      <c r="E1354" s="164">
        <v>-5.405405405405482E-3</v>
      </c>
      <c r="F1354">
        <v>14.57</v>
      </c>
    </row>
    <row r="1355" spans="1:6">
      <c r="A1355">
        <v>5481</v>
      </c>
      <c r="B1355" t="s">
        <v>1680</v>
      </c>
      <c r="C1355">
        <v>15.7</v>
      </c>
      <c r="D1355">
        <f>VLOOKUP(A1355,收盤價!A:C,3,0)</f>
        <v>15.6</v>
      </c>
      <c r="E1355" s="164">
        <v>-6.3694267515923345E-3</v>
      </c>
      <c r="F1355">
        <v>14.51</v>
      </c>
    </row>
    <row r="1356" spans="1:6">
      <c r="A1356">
        <v>8930</v>
      </c>
      <c r="B1356" t="s">
        <v>531</v>
      </c>
      <c r="C1356">
        <v>9.1</v>
      </c>
      <c r="D1356">
        <f>VLOOKUP(A1356,收盤價!A:C,3,0)</f>
        <v>9.0399999999999991</v>
      </c>
      <c r="E1356" s="164">
        <v>-6.593406593406648E-3</v>
      </c>
      <c r="F1356">
        <v>14.45</v>
      </c>
    </row>
    <row r="1357" spans="1:6">
      <c r="A1357">
        <v>6204</v>
      </c>
      <c r="B1357" t="s">
        <v>1743</v>
      </c>
      <c r="C1357">
        <v>21.95</v>
      </c>
      <c r="D1357">
        <f>VLOOKUP(A1357,收盤價!A:C,3,0)</f>
        <v>21.8</v>
      </c>
      <c r="E1357" s="164">
        <v>-6.8337129840546048E-3</v>
      </c>
      <c r="F1357">
        <v>14.38</v>
      </c>
    </row>
    <row r="1358" spans="1:6">
      <c r="A1358">
        <v>9950</v>
      </c>
      <c r="B1358" t="s">
        <v>1849</v>
      </c>
      <c r="C1358">
        <v>19.8</v>
      </c>
      <c r="D1358">
        <f>VLOOKUP(A1358,收盤價!A:C,3,0)</f>
        <v>19.649999999999999</v>
      </c>
      <c r="E1358" s="164">
        <v>-7.5757575757576835E-3</v>
      </c>
      <c r="F1358">
        <v>14.32</v>
      </c>
    </row>
    <row r="1359" spans="1:6">
      <c r="A1359">
        <v>2596</v>
      </c>
      <c r="B1359" t="s">
        <v>1455</v>
      </c>
      <c r="C1359">
        <v>12.9</v>
      </c>
      <c r="D1359">
        <f>VLOOKUP(A1359,收盤價!A:C,3,0)</f>
        <v>12.8</v>
      </c>
      <c r="E1359" s="164">
        <v>-7.7519379844960962E-3</v>
      </c>
      <c r="F1359">
        <v>14.26</v>
      </c>
    </row>
    <row r="1360" spans="1:6">
      <c r="A1360">
        <v>2466</v>
      </c>
      <c r="B1360" t="s">
        <v>913</v>
      </c>
      <c r="C1360">
        <v>29.65</v>
      </c>
      <c r="D1360">
        <f>VLOOKUP(A1360,收盤價!A:C,3,0)</f>
        <v>29.4</v>
      </c>
      <c r="E1360" s="164">
        <v>-8.4317032040472171E-3</v>
      </c>
      <c r="F1360">
        <v>14.2</v>
      </c>
    </row>
    <row r="1361" spans="1:6">
      <c r="A1361">
        <v>2530</v>
      </c>
      <c r="B1361" t="s">
        <v>952</v>
      </c>
      <c r="C1361">
        <v>15.75</v>
      </c>
      <c r="D1361">
        <f>VLOOKUP(A1361,收盤價!A:C,3,0)</f>
        <v>15.6</v>
      </c>
      <c r="E1361" s="164">
        <v>-9.5238095238095472E-3</v>
      </c>
      <c r="F1361">
        <v>14.13</v>
      </c>
    </row>
    <row r="1362" spans="1:6">
      <c r="A1362">
        <v>2440</v>
      </c>
      <c r="B1362" t="s">
        <v>892</v>
      </c>
      <c r="C1362">
        <v>7.97</v>
      </c>
      <c r="D1362">
        <f>VLOOKUP(A1362,收盤價!A:C,3,0)</f>
        <v>7.89</v>
      </c>
      <c r="E1362" s="164">
        <v>-1.0037641154328742E-2</v>
      </c>
      <c r="F1362">
        <v>14.07</v>
      </c>
    </row>
    <row r="1363" spans="1:6">
      <c r="A1363">
        <v>2908</v>
      </c>
      <c r="B1363" t="s">
        <v>1037</v>
      </c>
      <c r="C1363">
        <v>19.7</v>
      </c>
      <c r="D1363">
        <f>VLOOKUP(A1363,收盤價!A:C,3,0)</f>
        <v>19.5</v>
      </c>
      <c r="E1363" s="164">
        <v>-1.0152284263959355E-2</v>
      </c>
      <c r="F1363">
        <v>14.01</v>
      </c>
    </row>
    <row r="1364" spans="1:6">
      <c r="A1364">
        <v>6261</v>
      </c>
      <c r="B1364" t="s">
        <v>487</v>
      </c>
      <c r="C1364">
        <v>44.8</v>
      </c>
      <c r="D1364">
        <f>VLOOKUP(A1364,收盤價!A:C,3,0)</f>
        <v>44.3</v>
      </c>
      <c r="E1364" s="164">
        <v>-1.1160714285714286E-2</v>
      </c>
      <c r="F1364">
        <v>13.94</v>
      </c>
    </row>
    <row r="1365" spans="1:6">
      <c r="A1365">
        <v>4535</v>
      </c>
      <c r="B1365" t="s">
        <v>1608</v>
      </c>
      <c r="C1365">
        <v>44.7</v>
      </c>
      <c r="D1365">
        <f>VLOOKUP(A1365,收盤價!A:C,3,0)</f>
        <v>44.2</v>
      </c>
      <c r="E1365" s="164">
        <v>-1.1185682326621923E-2</v>
      </c>
      <c r="F1365">
        <v>13.88</v>
      </c>
    </row>
    <row r="1366" spans="1:6">
      <c r="A1366">
        <v>1468</v>
      </c>
      <c r="B1366" t="s">
        <v>635</v>
      </c>
      <c r="C1366">
        <v>9.5399999999999991</v>
      </c>
      <c r="D1366">
        <f>VLOOKUP(A1366,收盤價!A:C,3,0)</f>
        <v>9.43</v>
      </c>
      <c r="E1366" s="164">
        <v>-1.1530398322851094E-2</v>
      </c>
      <c r="F1366">
        <v>13.82</v>
      </c>
    </row>
    <row r="1367" spans="1:6">
      <c r="A1367">
        <v>4417</v>
      </c>
      <c r="B1367" t="s">
        <v>1592</v>
      </c>
      <c r="C1367">
        <v>38.25</v>
      </c>
      <c r="D1367">
        <f>VLOOKUP(A1367,收盤價!A:C,3,0)</f>
        <v>37.799999999999997</v>
      </c>
      <c r="E1367" s="164">
        <v>-1.1764705882353016E-2</v>
      </c>
      <c r="F1367">
        <v>13.75</v>
      </c>
    </row>
    <row r="1368" spans="1:6">
      <c r="A1368">
        <v>5460</v>
      </c>
      <c r="B1368" t="s">
        <v>1675</v>
      </c>
      <c r="C1368">
        <v>12</v>
      </c>
      <c r="D1368">
        <f>VLOOKUP(A1368,收盤價!A:C,3,0)</f>
        <v>11.85</v>
      </c>
      <c r="E1368" s="164">
        <v>-1.250000000000003E-2</v>
      </c>
      <c r="F1368">
        <v>13.69</v>
      </c>
    </row>
    <row r="1369" spans="1:6">
      <c r="A1369">
        <v>3040</v>
      </c>
      <c r="B1369" t="s">
        <v>1077</v>
      </c>
      <c r="C1369">
        <v>34.450000000000003</v>
      </c>
      <c r="D1369">
        <f>VLOOKUP(A1369,收盤價!A:C,3,0)</f>
        <v>34</v>
      </c>
      <c r="E1369" s="164">
        <v>-1.3062409288824465E-2</v>
      </c>
      <c r="F1369">
        <v>13.63</v>
      </c>
    </row>
    <row r="1370" spans="1:6">
      <c r="A1370">
        <v>5251</v>
      </c>
      <c r="B1370" t="s">
        <v>411</v>
      </c>
      <c r="C1370">
        <v>33.5</v>
      </c>
      <c r="D1370">
        <f>VLOOKUP(A1370,收盤價!A:C,3,0)</f>
        <v>33.049999999999997</v>
      </c>
      <c r="E1370" s="164">
        <v>-1.3432835820895607E-2</v>
      </c>
      <c r="F1370">
        <v>13.56</v>
      </c>
    </row>
    <row r="1371" spans="1:6">
      <c r="A1371">
        <v>6140</v>
      </c>
      <c r="B1371" t="s">
        <v>1724</v>
      </c>
      <c r="C1371">
        <v>10.8</v>
      </c>
      <c r="D1371">
        <f>VLOOKUP(A1371,收盤價!A:C,3,0)</f>
        <v>10.65</v>
      </c>
      <c r="E1371" s="164">
        <v>-1.3888888888888921E-2</v>
      </c>
      <c r="F1371">
        <v>13.5</v>
      </c>
    </row>
    <row r="1372" spans="1:6">
      <c r="A1372">
        <v>1516</v>
      </c>
      <c r="B1372" t="s">
        <v>653</v>
      </c>
      <c r="C1372">
        <v>21.6</v>
      </c>
      <c r="D1372">
        <f>VLOOKUP(A1372,收盤價!A:C,3,0)</f>
        <v>21.3</v>
      </c>
      <c r="E1372" s="164">
        <v>-1.3888888888888921E-2</v>
      </c>
      <c r="F1372">
        <v>13.44</v>
      </c>
    </row>
    <row r="1373" spans="1:6">
      <c r="A1373">
        <v>2891</v>
      </c>
      <c r="B1373" t="s">
        <v>1028</v>
      </c>
      <c r="C1373">
        <v>17.600000000000001</v>
      </c>
      <c r="D1373">
        <f>VLOOKUP(A1373,收盤價!A:C,3,0)</f>
        <v>17.350000000000001</v>
      </c>
      <c r="E1373" s="164">
        <v>-1.4204545454545454E-2</v>
      </c>
      <c r="F1373">
        <v>13.38</v>
      </c>
    </row>
    <row r="1374" spans="1:6">
      <c r="A1374">
        <v>3232</v>
      </c>
      <c r="B1374" t="s">
        <v>304</v>
      </c>
      <c r="C1374">
        <v>27.85</v>
      </c>
      <c r="D1374">
        <f>VLOOKUP(A1374,收盤價!A:C,3,0)</f>
        <v>27.45</v>
      </c>
      <c r="E1374" s="164">
        <v>-1.4362657091562014E-2</v>
      </c>
      <c r="F1374">
        <v>13.31</v>
      </c>
    </row>
    <row r="1375" spans="1:6">
      <c r="A1375">
        <v>2706</v>
      </c>
      <c r="B1375" t="s">
        <v>990</v>
      </c>
      <c r="C1375">
        <v>19.45</v>
      </c>
      <c r="D1375">
        <f>VLOOKUP(A1375,收盤價!A:C,3,0)</f>
        <v>19.149999999999999</v>
      </c>
      <c r="E1375" s="164">
        <v>-1.5424164524421632E-2</v>
      </c>
      <c r="F1375">
        <v>13.25</v>
      </c>
    </row>
    <row r="1376" spans="1:6">
      <c r="A1376">
        <v>5514</v>
      </c>
      <c r="B1376" t="s">
        <v>1689</v>
      </c>
      <c r="C1376">
        <v>11.25</v>
      </c>
      <c r="D1376">
        <f>VLOOKUP(A1376,收盤價!A:C,3,0)</f>
        <v>11.05</v>
      </c>
      <c r="E1376" s="164">
        <v>-1.7777777777777715E-2</v>
      </c>
      <c r="F1376">
        <v>13.19</v>
      </c>
    </row>
    <row r="1377" spans="1:6">
      <c r="A1377">
        <v>8077</v>
      </c>
      <c r="B1377" t="s">
        <v>1865</v>
      </c>
      <c r="C1377">
        <v>54</v>
      </c>
      <c r="D1377">
        <f>VLOOKUP(A1377,收盤價!A:C,3,0)</f>
        <v>53</v>
      </c>
      <c r="E1377" s="164">
        <v>-1.8518518518518517E-2</v>
      </c>
      <c r="F1377">
        <v>13.12</v>
      </c>
    </row>
    <row r="1378" spans="1:6">
      <c r="A1378">
        <v>3128</v>
      </c>
      <c r="B1378" t="s">
        <v>1478</v>
      </c>
      <c r="C1378">
        <v>13.45</v>
      </c>
      <c r="D1378">
        <f>VLOOKUP(A1378,收盤價!A:C,3,0)</f>
        <v>13.2</v>
      </c>
      <c r="E1378" s="164">
        <v>-1.858736059479554E-2</v>
      </c>
      <c r="F1378">
        <v>13.06</v>
      </c>
    </row>
    <row r="1379" spans="1:6">
      <c r="A1379">
        <v>2002</v>
      </c>
      <c r="B1379" t="s">
        <v>746</v>
      </c>
      <c r="C1379">
        <v>18</v>
      </c>
      <c r="D1379">
        <f>VLOOKUP(A1379,收盤價!A:C,3,0)</f>
        <v>17.649999999999999</v>
      </c>
      <c r="E1379" s="164">
        <v>-1.9444444444444525E-2</v>
      </c>
      <c r="F1379">
        <v>13</v>
      </c>
    </row>
    <row r="1380" spans="1:6">
      <c r="A1380">
        <v>3290</v>
      </c>
      <c r="B1380" t="s">
        <v>1501</v>
      </c>
      <c r="C1380">
        <v>15.05</v>
      </c>
      <c r="D1380">
        <f>VLOOKUP(A1380,收盤價!A:C,3,0)</f>
        <v>14.75</v>
      </c>
      <c r="E1380" s="164">
        <v>-1.9933554817275795E-2</v>
      </c>
      <c r="F1380">
        <v>12.93</v>
      </c>
    </row>
    <row r="1381" spans="1:6">
      <c r="A1381">
        <v>5259</v>
      </c>
      <c r="B1381" t="s">
        <v>1231</v>
      </c>
      <c r="C1381">
        <v>7.43</v>
      </c>
      <c r="D1381">
        <f>VLOOKUP(A1381,收盤價!A:C,3,0)</f>
        <v>7.28</v>
      </c>
      <c r="E1381" s="164">
        <v>-2.0188425302826309E-2</v>
      </c>
      <c r="F1381">
        <v>12.87</v>
      </c>
    </row>
    <row r="1382" spans="1:6">
      <c r="A1382">
        <v>6165</v>
      </c>
      <c r="B1382" t="s">
        <v>1277</v>
      </c>
      <c r="C1382">
        <v>12.05</v>
      </c>
      <c r="D1382">
        <f>VLOOKUP(A1382,收盤價!A:C,3,0)</f>
        <v>11.8</v>
      </c>
      <c r="E1382" s="164">
        <v>-2.0746887966804978E-2</v>
      </c>
      <c r="F1382">
        <v>12.81</v>
      </c>
    </row>
    <row r="1383" spans="1:6">
      <c r="A1383">
        <v>5356</v>
      </c>
      <c r="B1383" t="s">
        <v>1665</v>
      </c>
      <c r="C1383">
        <v>40.700000000000003</v>
      </c>
      <c r="D1383">
        <f>VLOOKUP(A1383,收盤價!A:C,3,0)</f>
        <v>39.85</v>
      </c>
      <c r="E1383" s="164">
        <v>-2.0884520884520918E-2</v>
      </c>
      <c r="F1383">
        <v>12.74</v>
      </c>
    </row>
    <row r="1384" spans="1:6">
      <c r="A1384">
        <v>2543</v>
      </c>
      <c r="B1384" t="s">
        <v>961</v>
      </c>
      <c r="C1384">
        <v>8.4499999999999993</v>
      </c>
      <c r="D1384">
        <f>VLOOKUP(A1384,收盤價!A:C,3,0)</f>
        <v>8.27</v>
      </c>
      <c r="E1384" s="164">
        <v>-2.1301775147928963E-2</v>
      </c>
      <c r="F1384">
        <v>12.68</v>
      </c>
    </row>
    <row r="1385" spans="1:6">
      <c r="A1385">
        <v>6287</v>
      </c>
      <c r="B1385" t="s">
        <v>1764</v>
      </c>
      <c r="C1385">
        <v>2.81</v>
      </c>
      <c r="D1385">
        <f>VLOOKUP(A1385,收盤價!A:C,3,0)</f>
        <v>2.75</v>
      </c>
      <c r="E1385" s="164">
        <v>-2.1352313167259804E-2</v>
      </c>
      <c r="F1385">
        <v>12.62</v>
      </c>
    </row>
    <row r="1386" spans="1:6">
      <c r="A1386">
        <v>5603</v>
      </c>
      <c r="B1386" t="s">
        <v>445</v>
      </c>
      <c r="C1386">
        <v>15.2</v>
      </c>
      <c r="D1386">
        <f>VLOOKUP(A1386,收盤價!A:C,3,0)</f>
        <v>14.85</v>
      </c>
      <c r="E1386" s="164">
        <v>-2.3026315789473662E-2</v>
      </c>
      <c r="F1386">
        <v>12.56</v>
      </c>
    </row>
    <row r="1387" spans="1:6">
      <c r="A1387">
        <v>8913</v>
      </c>
      <c r="B1387" t="s">
        <v>525</v>
      </c>
      <c r="C1387">
        <v>15.55</v>
      </c>
      <c r="D1387">
        <f>VLOOKUP(A1387,收盤價!A:C,3,0)</f>
        <v>15.15</v>
      </c>
      <c r="E1387" s="164">
        <v>-2.572347266881031E-2</v>
      </c>
      <c r="F1387">
        <v>12.49</v>
      </c>
    </row>
    <row r="1388" spans="1:6">
      <c r="A1388">
        <v>1713</v>
      </c>
      <c r="B1388" t="s">
        <v>706</v>
      </c>
      <c r="C1388">
        <v>15.5</v>
      </c>
      <c r="D1388">
        <f>VLOOKUP(A1388,收盤價!A:C,3,0)</f>
        <v>15.1</v>
      </c>
      <c r="E1388" s="164">
        <v>-2.580645161290325E-2</v>
      </c>
      <c r="F1388">
        <v>12.43</v>
      </c>
    </row>
    <row r="1389" spans="1:6">
      <c r="A1389">
        <v>2603</v>
      </c>
      <c r="B1389" t="s">
        <v>968</v>
      </c>
      <c r="C1389">
        <v>13.3</v>
      </c>
      <c r="D1389">
        <f>VLOOKUP(A1389,收盤價!A:C,3,0)</f>
        <v>12.95</v>
      </c>
      <c r="E1389" s="164">
        <v>-2.6315789473684317E-2</v>
      </c>
      <c r="F1389">
        <v>12.37</v>
      </c>
    </row>
    <row r="1390" spans="1:6">
      <c r="A1390">
        <v>3191</v>
      </c>
      <c r="B1390" t="s">
        <v>1484</v>
      </c>
      <c r="C1390">
        <v>15</v>
      </c>
      <c r="D1390">
        <f>VLOOKUP(A1390,收盤價!A:C,3,0)</f>
        <v>14.6</v>
      </c>
      <c r="E1390" s="164">
        <v>-2.6666666666666689E-2</v>
      </c>
      <c r="F1390">
        <v>12.3</v>
      </c>
    </row>
    <row r="1391" spans="1:6">
      <c r="A1391">
        <v>1452</v>
      </c>
      <c r="B1391" t="s">
        <v>622</v>
      </c>
      <c r="C1391">
        <v>25.85</v>
      </c>
      <c r="D1391">
        <f>VLOOKUP(A1391,收盤價!A:C,3,0)</f>
        <v>25.15</v>
      </c>
      <c r="E1391" s="164">
        <v>-2.7079303675048464E-2</v>
      </c>
      <c r="F1391">
        <v>12.24</v>
      </c>
    </row>
    <row r="1392" spans="1:6">
      <c r="A1392">
        <v>6266</v>
      </c>
      <c r="B1392" t="s">
        <v>1759</v>
      </c>
      <c r="C1392">
        <v>12.85</v>
      </c>
      <c r="D1392">
        <f>VLOOKUP(A1392,收盤價!A:C,3,0)</f>
        <v>12.5</v>
      </c>
      <c r="E1392" s="164">
        <v>-2.7237354085603085E-2</v>
      </c>
      <c r="F1392">
        <v>12.18</v>
      </c>
    </row>
    <row r="1393" spans="1:6">
      <c r="A1393">
        <v>2901</v>
      </c>
      <c r="B1393" t="s">
        <v>1032</v>
      </c>
      <c r="C1393">
        <v>27.25</v>
      </c>
      <c r="D1393">
        <f>VLOOKUP(A1393,收盤價!A:C,3,0)</f>
        <v>26.5</v>
      </c>
      <c r="E1393" s="164">
        <v>-2.7522935779816515E-2</v>
      </c>
      <c r="F1393">
        <v>12.11</v>
      </c>
    </row>
    <row r="1394" spans="1:6">
      <c r="A1394">
        <v>1216</v>
      </c>
      <c r="B1394" t="s">
        <v>556</v>
      </c>
      <c r="C1394">
        <v>55.2</v>
      </c>
      <c r="D1394">
        <f>VLOOKUP(A1394,收盤價!A:C,3,0)</f>
        <v>53.6</v>
      </c>
      <c r="E1394" s="164">
        <v>-2.8985507246376836E-2</v>
      </c>
      <c r="F1394">
        <v>12.05</v>
      </c>
    </row>
    <row r="1395" spans="1:6">
      <c r="A1395">
        <v>1229</v>
      </c>
      <c r="B1395" t="s">
        <v>563</v>
      </c>
      <c r="C1395">
        <v>19.600000000000001</v>
      </c>
      <c r="D1395">
        <f>VLOOKUP(A1395,收盤價!A:C,3,0)</f>
        <v>19</v>
      </c>
      <c r="E1395" s="164">
        <v>-3.0612244897959252E-2</v>
      </c>
      <c r="F1395">
        <v>11.99</v>
      </c>
    </row>
    <row r="1396" spans="1:6">
      <c r="A1396">
        <v>5386</v>
      </c>
      <c r="B1396" t="s">
        <v>1668</v>
      </c>
      <c r="C1396">
        <v>26</v>
      </c>
      <c r="D1396">
        <f>VLOOKUP(A1396,收盤價!A:C,3,0)</f>
        <v>25.2</v>
      </c>
      <c r="E1396" s="164">
        <v>-3.0769230769230795E-2</v>
      </c>
      <c r="F1396">
        <v>11.92</v>
      </c>
    </row>
    <row r="1397" spans="1:6">
      <c r="A1397">
        <v>3354</v>
      </c>
      <c r="B1397" t="s">
        <v>1510</v>
      </c>
      <c r="C1397">
        <v>8.0500000000000007</v>
      </c>
      <c r="D1397">
        <f>VLOOKUP(A1397,收盤價!A:C,3,0)</f>
        <v>7.8</v>
      </c>
      <c r="E1397" s="164">
        <v>-3.105590062111812E-2</v>
      </c>
      <c r="F1397">
        <v>11.86</v>
      </c>
    </row>
    <row r="1398" spans="1:6">
      <c r="A1398">
        <v>1312</v>
      </c>
      <c r="B1398" t="s">
        <v>579</v>
      </c>
      <c r="C1398">
        <v>14.35</v>
      </c>
      <c r="D1398">
        <f>VLOOKUP(A1398,收盤價!A:C,3,0)</f>
        <v>13.9</v>
      </c>
      <c r="E1398" s="164">
        <v>-3.1358885017421553E-2</v>
      </c>
      <c r="F1398">
        <v>11.8</v>
      </c>
    </row>
    <row r="1399" spans="1:6">
      <c r="A1399">
        <v>2029</v>
      </c>
      <c r="B1399" t="s">
        <v>765</v>
      </c>
      <c r="C1399">
        <v>16.850000000000001</v>
      </c>
      <c r="D1399">
        <f>VLOOKUP(A1399,收盤價!A:C,3,0)</f>
        <v>16.3</v>
      </c>
      <c r="E1399" s="164">
        <v>-3.264094955489618E-2</v>
      </c>
      <c r="F1399">
        <v>11.74</v>
      </c>
    </row>
    <row r="1400" spans="1:6">
      <c r="A1400">
        <v>9910</v>
      </c>
      <c r="B1400" t="s">
        <v>1404</v>
      </c>
      <c r="C1400">
        <v>183</v>
      </c>
      <c r="D1400">
        <f>VLOOKUP(A1400,收盤價!A:C,3,0)</f>
        <v>177</v>
      </c>
      <c r="E1400" s="164">
        <v>-3.2786885245901641E-2</v>
      </c>
      <c r="F1400">
        <v>11.67</v>
      </c>
    </row>
    <row r="1401" spans="1:6">
      <c r="A1401">
        <v>6126</v>
      </c>
      <c r="B1401" t="s">
        <v>1719</v>
      </c>
      <c r="C1401">
        <v>7.5</v>
      </c>
      <c r="D1401">
        <f>VLOOKUP(A1401,收盤價!A:C,3,0)</f>
        <v>7.25</v>
      </c>
      <c r="E1401" s="164">
        <v>-3.3333333333333333E-2</v>
      </c>
      <c r="F1401">
        <v>11.61</v>
      </c>
    </row>
    <row r="1402" spans="1:6">
      <c r="A1402">
        <v>1441</v>
      </c>
      <c r="B1402" t="s">
        <v>613</v>
      </c>
      <c r="C1402">
        <v>7.3</v>
      </c>
      <c r="D1402">
        <f>VLOOKUP(A1402,收盤價!A:C,3,0)</f>
        <v>7.05</v>
      </c>
      <c r="E1402" s="164">
        <v>-3.4246575342465752E-2</v>
      </c>
      <c r="F1402">
        <v>11.55</v>
      </c>
    </row>
    <row r="1403" spans="1:6">
      <c r="A1403">
        <v>1906</v>
      </c>
      <c r="B1403" t="s">
        <v>743</v>
      </c>
      <c r="C1403">
        <v>7.85</v>
      </c>
      <c r="D1403">
        <f>VLOOKUP(A1403,收盤價!A:C,3,0)</f>
        <v>7.58</v>
      </c>
      <c r="E1403" s="164">
        <v>-3.439490445859867E-2</v>
      </c>
      <c r="F1403">
        <v>11.48</v>
      </c>
    </row>
    <row r="1404" spans="1:6">
      <c r="A1404">
        <v>4549</v>
      </c>
      <c r="B1404" t="s">
        <v>384</v>
      </c>
      <c r="C1404">
        <v>82.8</v>
      </c>
      <c r="D1404">
        <f>VLOOKUP(A1404,收盤價!A:C,3,0)</f>
        <v>79.900000000000006</v>
      </c>
      <c r="E1404" s="164">
        <v>-3.5024154589371879E-2</v>
      </c>
      <c r="F1404">
        <v>11.42</v>
      </c>
    </row>
    <row r="1405" spans="1:6">
      <c r="A1405">
        <v>3013</v>
      </c>
      <c r="B1405" t="s">
        <v>1053</v>
      </c>
      <c r="C1405">
        <v>18.149999999999999</v>
      </c>
      <c r="D1405">
        <f>VLOOKUP(A1405,收盤價!A:C,3,0)</f>
        <v>17.5</v>
      </c>
      <c r="E1405" s="164">
        <v>-3.5812672176308465E-2</v>
      </c>
      <c r="F1405">
        <v>11.36</v>
      </c>
    </row>
    <row r="1406" spans="1:6">
      <c r="A1406">
        <v>9904</v>
      </c>
      <c r="B1406" t="s">
        <v>1399</v>
      </c>
      <c r="C1406">
        <v>44.15</v>
      </c>
      <c r="D1406">
        <f>VLOOKUP(A1406,收盤價!A:C,3,0)</f>
        <v>42.55</v>
      </c>
      <c r="E1406" s="164">
        <v>-3.6240090600226531E-2</v>
      </c>
      <c r="F1406">
        <v>11.29</v>
      </c>
    </row>
    <row r="1407" spans="1:6">
      <c r="A1407">
        <v>4904</v>
      </c>
      <c r="B1407" t="s">
        <v>1204</v>
      </c>
      <c r="C1407">
        <v>71</v>
      </c>
      <c r="D1407">
        <f>VLOOKUP(A1407,收盤價!A:C,3,0)</f>
        <v>68.400000000000006</v>
      </c>
      <c r="E1407" s="164">
        <v>-3.6619718309859071E-2</v>
      </c>
      <c r="F1407">
        <v>11.23</v>
      </c>
    </row>
    <row r="1408" spans="1:6">
      <c r="A1408">
        <v>1476</v>
      </c>
      <c r="B1408" t="s">
        <v>643</v>
      </c>
      <c r="C1408">
        <v>457</v>
      </c>
      <c r="D1408">
        <f>VLOOKUP(A1408,收盤價!A:C,3,0)</f>
        <v>440</v>
      </c>
      <c r="E1408" s="164">
        <v>-3.7199124726477024E-2</v>
      </c>
      <c r="F1408">
        <v>11.17</v>
      </c>
    </row>
    <row r="1409" spans="1:6">
      <c r="A1409">
        <v>2538</v>
      </c>
      <c r="B1409" t="s">
        <v>957</v>
      </c>
      <c r="C1409">
        <v>16.05</v>
      </c>
      <c r="D1409">
        <f>VLOOKUP(A1409,收盤價!A:C,3,0)</f>
        <v>15.45</v>
      </c>
      <c r="E1409" s="164">
        <v>-3.7383177570093545E-2</v>
      </c>
      <c r="F1409">
        <v>11.1</v>
      </c>
    </row>
    <row r="1410" spans="1:6">
      <c r="A1410">
        <v>9944</v>
      </c>
      <c r="B1410" t="s">
        <v>1430</v>
      </c>
      <c r="C1410">
        <v>30.6</v>
      </c>
      <c r="D1410">
        <f>VLOOKUP(A1410,收盤價!A:C,3,0)</f>
        <v>29.45</v>
      </c>
      <c r="E1410" s="164">
        <v>-3.7581699346405296E-2</v>
      </c>
      <c r="F1410">
        <v>11.04</v>
      </c>
    </row>
    <row r="1411" spans="1:6">
      <c r="A1411">
        <v>3362</v>
      </c>
      <c r="B1411" t="s">
        <v>1511</v>
      </c>
      <c r="C1411">
        <v>14.6</v>
      </c>
      <c r="D1411">
        <f>VLOOKUP(A1411,收盤價!A:C,3,0)</f>
        <v>14.05</v>
      </c>
      <c r="E1411" s="164">
        <v>-3.7671232876712257E-2</v>
      </c>
      <c r="F1411">
        <v>10.98</v>
      </c>
    </row>
    <row r="1412" spans="1:6">
      <c r="A1412">
        <v>5381</v>
      </c>
      <c r="B1412" t="s">
        <v>1666</v>
      </c>
      <c r="C1412">
        <v>1.58</v>
      </c>
      <c r="D1412">
        <f>VLOOKUP(A1412,收盤價!A:C,3,0)</f>
        <v>1.52</v>
      </c>
      <c r="E1412" s="164">
        <v>-3.7974683544303826E-2</v>
      </c>
      <c r="F1412">
        <v>10.91</v>
      </c>
    </row>
    <row r="1413" spans="1:6">
      <c r="A1413">
        <v>1201</v>
      </c>
      <c r="B1413" t="s">
        <v>551</v>
      </c>
      <c r="C1413">
        <v>18.2</v>
      </c>
      <c r="D1413">
        <f>VLOOKUP(A1413,收盤價!A:C,3,0)</f>
        <v>17.5</v>
      </c>
      <c r="E1413" s="164">
        <v>-3.8461538461538422E-2</v>
      </c>
      <c r="F1413">
        <v>10.85</v>
      </c>
    </row>
    <row r="1414" spans="1:6">
      <c r="A1414">
        <v>3454</v>
      </c>
      <c r="B1414" t="s">
        <v>1129</v>
      </c>
      <c r="C1414">
        <v>78</v>
      </c>
      <c r="D1414">
        <f>VLOOKUP(A1414,收盤價!A:C,3,0)</f>
        <v>74.900000000000006</v>
      </c>
      <c r="E1414" s="164">
        <v>-3.9743589743589672E-2</v>
      </c>
      <c r="F1414">
        <v>10.79</v>
      </c>
    </row>
    <row r="1415" spans="1:6">
      <c r="A1415">
        <v>2514</v>
      </c>
      <c r="B1415" t="s">
        <v>945</v>
      </c>
      <c r="C1415">
        <v>21.3</v>
      </c>
      <c r="D1415">
        <f>VLOOKUP(A1415,收盤價!A:C,3,0)</f>
        <v>20.45</v>
      </c>
      <c r="E1415" s="164">
        <v>-3.9906103286385039E-2</v>
      </c>
      <c r="F1415">
        <v>10.73</v>
      </c>
    </row>
    <row r="1416" spans="1:6">
      <c r="A1416">
        <v>2475</v>
      </c>
      <c r="B1416" t="s">
        <v>918</v>
      </c>
      <c r="C1416">
        <v>0.74</v>
      </c>
      <c r="D1416">
        <f>VLOOKUP(A1416,收盤價!A:C,3,0)</f>
        <v>0.71</v>
      </c>
      <c r="E1416" s="164">
        <v>-4.0540540540540577E-2</v>
      </c>
      <c r="F1416">
        <v>10.66</v>
      </c>
    </row>
    <row r="1417" spans="1:6">
      <c r="A1417">
        <v>5608</v>
      </c>
      <c r="B1417" t="s">
        <v>1252</v>
      </c>
      <c r="C1417">
        <v>12.25</v>
      </c>
      <c r="D1417">
        <f>VLOOKUP(A1417,收盤價!A:C,3,0)</f>
        <v>11.75</v>
      </c>
      <c r="E1417" s="164">
        <v>-4.0816326530612242E-2</v>
      </c>
      <c r="F1417">
        <v>10.6</v>
      </c>
    </row>
    <row r="1418" spans="1:6">
      <c r="A1418">
        <v>6113</v>
      </c>
      <c r="B1418" t="s">
        <v>1713</v>
      </c>
      <c r="C1418">
        <v>8.7799999999999994</v>
      </c>
      <c r="D1418">
        <f>VLOOKUP(A1418,收盤價!A:C,3,0)</f>
        <v>8.42</v>
      </c>
      <c r="E1418" s="164">
        <v>-4.1002277904327956E-2</v>
      </c>
      <c r="F1418">
        <v>10.54</v>
      </c>
    </row>
    <row r="1419" spans="1:6">
      <c r="A1419">
        <v>2727</v>
      </c>
      <c r="B1419" t="s">
        <v>995</v>
      </c>
      <c r="C1419">
        <v>158.5</v>
      </c>
      <c r="D1419">
        <f>VLOOKUP(A1419,收盤價!A:C,3,0)</f>
        <v>152</v>
      </c>
      <c r="E1419" s="164">
        <v>-4.1009463722397478E-2</v>
      </c>
      <c r="F1419">
        <v>10.47</v>
      </c>
    </row>
    <row r="1420" spans="1:6">
      <c r="A1420">
        <v>3609</v>
      </c>
      <c r="B1420" t="s">
        <v>350</v>
      </c>
      <c r="C1420">
        <v>13.4</v>
      </c>
      <c r="D1420">
        <f>VLOOKUP(A1420,收盤價!A:C,3,0)</f>
        <v>12.85</v>
      </c>
      <c r="E1420" s="164">
        <v>-4.1044776119403034E-2</v>
      </c>
      <c r="F1420">
        <v>10.41</v>
      </c>
    </row>
    <row r="1421" spans="1:6">
      <c r="A1421">
        <v>3444</v>
      </c>
      <c r="B1421" t="s">
        <v>1518</v>
      </c>
      <c r="C1421">
        <v>16.95</v>
      </c>
      <c r="D1421">
        <f>VLOOKUP(A1421,收盤價!A:C,3,0)</f>
        <v>16.25</v>
      </c>
      <c r="E1421" s="164">
        <v>-4.1297935103244796E-2</v>
      </c>
      <c r="F1421">
        <v>10.35</v>
      </c>
    </row>
    <row r="1422" spans="1:6">
      <c r="A1422">
        <v>2020</v>
      </c>
      <c r="B1422" t="s">
        <v>758</v>
      </c>
      <c r="C1422">
        <v>13.25</v>
      </c>
      <c r="D1422">
        <f>VLOOKUP(A1422,收盤價!A:C,3,0)</f>
        <v>12.7</v>
      </c>
      <c r="E1422" s="164">
        <v>-4.1509433962264204E-2</v>
      </c>
      <c r="F1422">
        <v>10.28</v>
      </c>
    </row>
    <row r="1423" spans="1:6">
      <c r="A1423">
        <v>2491</v>
      </c>
      <c r="B1423" t="s">
        <v>931</v>
      </c>
      <c r="C1423">
        <v>8.8000000000000007</v>
      </c>
      <c r="D1423">
        <f>VLOOKUP(A1423,收盤價!A:C,3,0)</f>
        <v>8.43</v>
      </c>
      <c r="E1423" s="164">
        <v>-4.2045454545454657E-2</v>
      </c>
      <c r="F1423">
        <v>10.220000000000001</v>
      </c>
    </row>
    <row r="1424" spans="1:6">
      <c r="A1424">
        <v>4534</v>
      </c>
      <c r="B1424" t="s">
        <v>1607</v>
      </c>
      <c r="C1424">
        <v>10.6</v>
      </c>
      <c r="D1424">
        <f>VLOOKUP(A1424,收盤價!A:C,3,0)</f>
        <v>10.15</v>
      </c>
      <c r="E1424" s="164">
        <v>-4.245283018867918E-2</v>
      </c>
      <c r="F1424">
        <v>10.16</v>
      </c>
    </row>
    <row r="1425" spans="1:6">
      <c r="A1425">
        <v>2612</v>
      </c>
      <c r="B1425" t="s">
        <v>976</v>
      </c>
      <c r="C1425">
        <v>20.9</v>
      </c>
      <c r="D1425">
        <f>VLOOKUP(A1425,收盤價!A:C,3,0)</f>
        <v>20</v>
      </c>
      <c r="E1425" s="164">
        <v>-4.3062200956937732E-2</v>
      </c>
      <c r="F1425">
        <v>10.09</v>
      </c>
    </row>
    <row r="1426" spans="1:6">
      <c r="A1426">
        <v>6154</v>
      </c>
      <c r="B1426" t="s">
        <v>457</v>
      </c>
      <c r="C1426">
        <v>17.399999999999999</v>
      </c>
      <c r="D1426">
        <f>VLOOKUP(A1426,收盤價!A:C,3,0)</f>
        <v>16.649999999999999</v>
      </c>
      <c r="E1426" s="164">
        <v>-4.3103448275862072E-2</v>
      </c>
      <c r="F1426">
        <v>10.029999999999999</v>
      </c>
    </row>
    <row r="1427" spans="1:6">
      <c r="A1427">
        <v>2528</v>
      </c>
      <c r="B1427" t="s">
        <v>951</v>
      </c>
      <c r="C1427">
        <v>9.48</v>
      </c>
      <c r="D1427">
        <f>VLOOKUP(A1427,收盤價!A:C,3,0)</f>
        <v>9.07</v>
      </c>
      <c r="E1427" s="164">
        <v>-4.3248945147679338E-2</v>
      </c>
      <c r="F1427">
        <v>9.9700000000000006</v>
      </c>
    </row>
    <row r="1428" spans="1:6">
      <c r="A1428">
        <v>2601</v>
      </c>
      <c r="B1428" t="s">
        <v>967</v>
      </c>
      <c r="C1428">
        <v>9.5399999999999991</v>
      </c>
      <c r="D1428">
        <f>VLOOKUP(A1428,收盤價!A:C,3,0)</f>
        <v>9.1199999999999992</v>
      </c>
      <c r="E1428" s="164">
        <v>-4.40251572327044E-2</v>
      </c>
      <c r="F1428">
        <v>9.91</v>
      </c>
    </row>
    <row r="1429" spans="1:6">
      <c r="A1429">
        <v>2610</v>
      </c>
      <c r="B1429" t="s">
        <v>974</v>
      </c>
      <c r="C1429">
        <v>11.35</v>
      </c>
      <c r="D1429">
        <f>VLOOKUP(A1429,收盤價!A:C,3,0)</f>
        <v>10.85</v>
      </c>
      <c r="E1429" s="164">
        <v>-4.405286343612335E-2</v>
      </c>
      <c r="F1429">
        <v>9.84</v>
      </c>
    </row>
    <row r="1430" spans="1:6">
      <c r="A1430">
        <v>9960</v>
      </c>
      <c r="B1430" t="s">
        <v>536</v>
      </c>
      <c r="C1430">
        <v>20</v>
      </c>
      <c r="D1430">
        <f>VLOOKUP(A1430,收盤價!A:C,3,0)</f>
        <v>19.100000000000001</v>
      </c>
      <c r="E1430" s="164">
        <v>-4.4999999999999929E-2</v>
      </c>
      <c r="F1430">
        <v>9.7799999999999994</v>
      </c>
    </row>
    <row r="1431" spans="1:6">
      <c r="A1431">
        <v>1626</v>
      </c>
      <c r="B1431" t="s">
        <v>696</v>
      </c>
      <c r="C1431">
        <v>23.2</v>
      </c>
      <c r="D1431">
        <f>VLOOKUP(A1431,收盤價!A:C,3,0)</f>
        <v>22.15</v>
      </c>
      <c r="E1431" s="164">
        <v>-4.5258620689655207E-2</v>
      </c>
      <c r="F1431">
        <v>9.7200000000000006</v>
      </c>
    </row>
    <row r="1432" spans="1:6">
      <c r="A1432">
        <v>3162</v>
      </c>
      <c r="B1432" t="s">
        <v>1481</v>
      </c>
      <c r="C1432">
        <v>6.14</v>
      </c>
      <c r="D1432">
        <f>VLOOKUP(A1432,收盤價!A:C,3,0)</f>
        <v>5.85</v>
      </c>
      <c r="E1432" s="164">
        <v>-4.7231270358306196E-2</v>
      </c>
      <c r="F1432">
        <v>9.65</v>
      </c>
    </row>
    <row r="1433" spans="1:6">
      <c r="A1433">
        <v>2527</v>
      </c>
      <c r="B1433" t="s">
        <v>950</v>
      </c>
      <c r="C1433">
        <v>17</v>
      </c>
      <c r="D1433">
        <f>VLOOKUP(A1433,收盤價!A:C,3,0)</f>
        <v>16.149999999999999</v>
      </c>
      <c r="E1433" s="164">
        <v>-5.0000000000000086E-2</v>
      </c>
      <c r="F1433">
        <v>9.59</v>
      </c>
    </row>
    <row r="1434" spans="1:6">
      <c r="A1434">
        <v>8101</v>
      </c>
      <c r="B1434" t="s">
        <v>1344</v>
      </c>
      <c r="C1434">
        <v>8.5500000000000007</v>
      </c>
      <c r="D1434">
        <f>VLOOKUP(A1434,收盤價!A:C,3,0)</f>
        <v>8.1199999999999992</v>
      </c>
      <c r="E1434" s="164">
        <v>-5.0292397660818881E-2</v>
      </c>
      <c r="F1434">
        <v>9.5299999999999994</v>
      </c>
    </row>
    <row r="1435" spans="1:6">
      <c r="A1435">
        <v>2450</v>
      </c>
      <c r="B1435" t="s">
        <v>899</v>
      </c>
      <c r="C1435">
        <v>41.7</v>
      </c>
      <c r="D1435">
        <f>VLOOKUP(A1435,收盤價!A:C,3,0)</f>
        <v>39.6</v>
      </c>
      <c r="E1435" s="164">
        <v>-5.0359712230215861E-2</v>
      </c>
      <c r="F1435">
        <v>9.4600000000000009</v>
      </c>
    </row>
    <row r="1436" spans="1:6">
      <c r="A1436">
        <v>2385</v>
      </c>
      <c r="B1436" t="s">
        <v>853</v>
      </c>
      <c r="C1436">
        <v>77.900000000000006</v>
      </c>
      <c r="D1436">
        <f>VLOOKUP(A1436,收盤價!A:C,3,0)</f>
        <v>73.900000000000006</v>
      </c>
      <c r="E1436" s="164">
        <v>-5.1347881899871627E-2</v>
      </c>
      <c r="F1436">
        <v>9.4</v>
      </c>
    </row>
    <row r="1437" spans="1:6">
      <c r="A1437">
        <v>2033</v>
      </c>
      <c r="B1437" t="s">
        <v>769</v>
      </c>
      <c r="C1437">
        <v>8.33</v>
      </c>
      <c r="D1437">
        <f>VLOOKUP(A1437,收盤價!A:C,3,0)</f>
        <v>7.88</v>
      </c>
      <c r="E1437" s="164">
        <v>-5.4021608643457404E-2</v>
      </c>
      <c r="F1437">
        <v>9.34</v>
      </c>
    </row>
    <row r="1438" spans="1:6">
      <c r="A1438">
        <v>2606</v>
      </c>
      <c r="B1438" t="s">
        <v>970</v>
      </c>
      <c r="C1438">
        <v>28.45</v>
      </c>
      <c r="D1438">
        <f>VLOOKUP(A1438,收盤價!A:C,3,0)</f>
        <v>26.9</v>
      </c>
      <c r="E1438" s="164">
        <v>-5.4481546572934997E-2</v>
      </c>
      <c r="F1438">
        <v>9.27</v>
      </c>
    </row>
    <row r="1439" spans="1:6">
      <c r="A1439">
        <v>5903</v>
      </c>
      <c r="B1439" t="s">
        <v>1700</v>
      </c>
      <c r="C1439">
        <v>217</v>
      </c>
      <c r="D1439">
        <f>VLOOKUP(A1439,收盤價!A:C,3,0)</f>
        <v>205</v>
      </c>
      <c r="E1439" s="164">
        <v>-5.5299539170506916E-2</v>
      </c>
      <c r="F1439">
        <v>9.2100000000000009</v>
      </c>
    </row>
    <row r="1440" spans="1:6">
      <c r="A1440">
        <v>8047</v>
      </c>
      <c r="B1440" t="s">
        <v>1783</v>
      </c>
      <c r="C1440">
        <v>11.75</v>
      </c>
      <c r="D1440">
        <f>VLOOKUP(A1440,收盤價!A:C,3,0)</f>
        <v>11.1</v>
      </c>
      <c r="E1440" s="164">
        <v>-5.5319148936170244E-2</v>
      </c>
      <c r="F1440">
        <v>9.15</v>
      </c>
    </row>
    <row r="1441" spans="1:6">
      <c r="A1441">
        <v>3008</v>
      </c>
      <c r="B1441" t="s">
        <v>1050</v>
      </c>
      <c r="C1441">
        <v>2680</v>
      </c>
      <c r="D1441">
        <f>VLOOKUP(A1441,收盤價!A:C,3,0)</f>
        <v>2530</v>
      </c>
      <c r="E1441" s="164">
        <v>-5.5970149253731345E-2</v>
      </c>
      <c r="F1441">
        <v>9.09</v>
      </c>
    </row>
    <row r="1442" spans="1:6">
      <c r="A1442">
        <v>1101</v>
      </c>
      <c r="B1442" t="s">
        <v>545</v>
      </c>
      <c r="C1442">
        <v>32</v>
      </c>
      <c r="D1442">
        <f>VLOOKUP(A1442,收盤價!A:C,3,0)</f>
        <v>30.2</v>
      </c>
      <c r="E1442" s="164">
        <v>-5.6250000000000022E-2</v>
      </c>
      <c r="F1442">
        <v>9.02</v>
      </c>
    </row>
    <row r="1443" spans="1:6">
      <c r="A1443">
        <v>3219</v>
      </c>
      <c r="B1443" t="s">
        <v>1490</v>
      </c>
      <c r="C1443">
        <v>10.6</v>
      </c>
      <c r="D1443">
        <f>VLOOKUP(A1443,收盤價!A:C,3,0)</f>
        <v>10</v>
      </c>
      <c r="E1443" s="164">
        <v>-5.6603773584905627E-2</v>
      </c>
      <c r="F1443">
        <v>8.9600000000000009</v>
      </c>
    </row>
    <row r="1444" spans="1:6">
      <c r="A1444">
        <v>2107</v>
      </c>
      <c r="B1444" t="s">
        <v>781</v>
      </c>
      <c r="C1444">
        <v>18.2</v>
      </c>
      <c r="D1444">
        <f>VLOOKUP(A1444,收盤價!A:C,3,0)</f>
        <v>17.149999999999999</v>
      </c>
      <c r="E1444" s="164">
        <v>-5.769230769230773E-2</v>
      </c>
      <c r="F1444">
        <v>8.9</v>
      </c>
    </row>
    <row r="1445" spans="1:6">
      <c r="A1445">
        <v>6172</v>
      </c>
      <c r="B1445" t="s">
        <v>1280</v>
      </c>
      <c r="C1445">
        <v>5.34</v>
      </c>
      <c r="D1445">
        <f>VLOOKUP(A1445,收盤價!A:C,3,0)</f>
        <v>5.03</v>
      </c>
      <c r="E1445" s="164">
        <v>-5.8052434456928766E-2</v>
      </c>
      <c r="F1445">
        <v>8.83</v>
      </c>
    </row>
    <row r="1446" spans="1:6">
      <c r="A1446">
        <v>1539</v>
      </c>
      <c r="B1446" t="s">
        <v>672</v>
      </c>
      <c r="C1446">
        <v>36.299999999999997</v>
      </c>
      <c r="D1446">
        <f>VLOOKUP(A1446,收盤價!A:C,3,0)</f>
        <v>34.15</v>
      </c>
      <c r="E1446" s="164">
        <v>-5.9228650137741014E-2</v>
      </c>
      <c r="F1446">
        <v>8.77</v>
      </c>
    </row>
    <row r="1447" spans="1:6">
      <c r="A1447">
        <v>5395</v>
      </c>
      <c r="B1447" t="s">
        <v>1670</v>
      </c>
      <c r="C1447">
        <v>31.9</v>
      </c>
      <c r="D1447">
        <f>VLOOKUP(A1447,收盤價!A:C,3,0)</f>
        <v>30</v>
      </c>
      <c r="E1447" s="164">
        <v>-5.9561128526645725E-2</v>
      </c>
      <c r="F1447">
        <v>8.7100000000000009</v>
      </c>
    </row>
    <row r="1448" spans="1:6">
      <c r="A1448">
        <v>9927</v>
      </c>
      <c r="B1448" t="s">
        <v>1415</v>
      </c>
      <c r="C1448">
        <v>29.25</v>
      </c>
      <c r="D1448">
        <f>VLOOKUP(A1448,收盤價!A:C,3,0)</f>
        <v>27.5</v>
      </c>
      <c r="E1448" s="164">
        <v>-5.9829059829059832E-2</v>
      </c>
      <c r="F1448">
        <v>8.64</v>
      </c>
    </row>
    <row r="1449" spans="1:6">
      <c r="A1449">
        <v>8941</v>
      </c>
      <c r="B1449" t="s">
        <v>534</v>
      </c>
      <c r="C1449">
        <v>96.8</v>
      </c>
      <c r="D1449">
        <f>VLOOKUP(A1449,收盤價!A:C,3,0)</f>
        <v>91</v>
      </c>
      <c r="E1449" s="164">
        <v>-5.99173553719008E-2</v>
      </c>
      <c r="F1449">
        <v>8.58</v>
      </c>
    </row>
    <row r="1450" spans="1:6">
      <c r="A1450">
        <v>6101</v>
      </c>
      <c r="B1450" t="s">
        <v>1706</v>
      </c>
      <c r="C1450">
        <v>13.9</v>
      </c>
      <c r="D1450">
        <f>VLOOKUP(A1450,收盤價!A:C,3,0)</f>
        <v>13</v>
      </c>
      <c r="E1450" s="164">
        <v>-6.4748201438848949E-2</v>
      </c>
      <c r="F1450">
        <v>8.52</v>
      </c>
    </row>
    <row r="1451" spans="1:6">
      <c r="A1451">
        <v>3294</v>
      </c>
      <c r="B1451" t="s">
        <v>314</v>
      </c>
      <c r="C1451">
        <v>19.2</v>
      </c>
      <c r="D1451">
        <f>VLOOKUP(A1451,收盤價!A:C,3,0)</f>
        <v>17.95</v>
      </c>
      <c r="E1451" s="164">
        <v>-6.5104166666666671E-2</v>
      </c>
      <c r="F1451">
        <v>8.4499999999999993</v>
      </c>
    </row>
    <row r="1452" spans="1:6">
      <c r="A1452">
        <v>3363</v>
      </c>
      <c r="B1452" t="s">
        <v>322</v>
      </c>
      <c r="C1452">
        <v>25.9</v>
      </c>
      <c r="D1452">
        <f>VLOOKUP(A1452,收盤價!A:C,3,0)</f>
        <v>24.2</v>
      </c>
      <c r="E1452" s="164">
        <v>-6.5637065637065617E-2</v>
      </c>
      <c r="F1452">
        <v>8.39</v>
      </c>
    </row>
    <row r="1453" spans="1:6">
      <c r="A1453">
        <v>1457</v>
      </c>
      <c r="B1453" t="s">
        <v>627</v>
      </c>
      <c r="C1453">
        <v>12.1</v>
      </c>
      <c r="D1453">
        <f>VLOOKUP(A1453,收盤價!A:C,3,0)</f>
        <v>11.3</v>
      </c>
      <c r="E1453" s="164">
        <v>-6.6115702479338762E-2</v>
      </c>
      <c r="F1453">
        <v>8.33</v>
      </c>
    </row>
    <row r="1454" spans="1:6">
      <c r="A1454">
        <v>1309</v>
      </c>
      <c r="B1454" t="s">
        <v>577</v>
      </c>
      <c r="C1454">
        <v>8.1199999999999992</v>
      </c>
      <c r="D1454">
        <f>VLOOKUP(A1454,收盤價!A:C,3,0)</f>
        <v>7.58</v>
      </c>
      <c r="E1454" s="164">
        <v>-6.6502463054187097E-2</v>
      </c>
      <c r="F1454">
        <v>8.26</v>
      </c>
    </row>
    <row r="1455" spans="1:6">
      <c r="A1455">
        <v>2109</v>
      </c>
      <c r="B1455" t="s">
        <v>783</v>
      </c>
      <c r="C1455">
        <v>12</v>
      </c>
      <c r="D1455">
        <f>VLOOKUP(A1455,收盤價!A:C,3,0)</f>
        <v>11.2</v>
      </c>
      <c r="E1455" s="164">
        <v>-6.6666666666666721E-2</v>
      </c>
      <c r="F1455">
        <v>8.1999999999999993</v>
      </c>
    </row>
    <row r="1456" spans="1:6">
      <c r="A1456">
        <v>2035</v>
      </c>
      <c r="B1456" t="s">
        <v>1452</v>
      </c>
      <c r="C1456">
        <v>48.3</v>
      </c>
      <c r="D1456">
        <f>VLOOKUP(A1456,收盤價!A:C,3,0)</f>
        <v>45</v>
      </c>
      <c r="E1456" s="164">
        <v>-6.8322981366459576E-2</v>
      </c>
      <c r="F1456">
        <v>8.14</v>
      </c>
    </row>
    <row r="1457" spans="1:6">
      <c r="A1457">
        <v>6174</v>
      </c>
      <c r="B1457" t="s">
        <v>1735</v>
      </c>
      <c r="C1457">
        <v>15</v>
      </c>
      <c r="D1457">
        <f>VLOOKUP(A1457,收盤價!A:C,3,0)</f>
        <v>13.9</v>
      </c>
      <c r="E1457" s="164">
        <v>-7.3333333333333306E-2</v>
      </c>
      <c r="F1457">
        <v>8.08</v>
      </c>
    </row>
    <row r="1458" spans="1:6">
      <c r="A1458">
        <v>3685</v>
      </c>
      <c r="B1458" t="s">
        <v>1557</v>
      </c>
      <c r="C1458">
        <v>47.25</v>
      </c>
      <c r="D1458">
        <f>VLOOKUP(A1458,收盤價!A:C,3,0)</f>
        <v>43.7</v>
      </c>
      <c r="E1458" s="164">
        <v>-7.5132275132275078E-2</v>
      </c>
      <c r="F1458">
        <v>8.01</v>
      </c>
    </row>
    <row r="1459" spans="1:6">
      <c r="A1459">
        <v>2361</v>
      </c>
      <c r="B1459" t="s">
        <v>835</v>
      </c>
      <c r="C1459">
        <v>0.76</v>
      </c>
      <c r="D1459">
        <f>VLOOKUP(A1459,收盤價!A:C,3,0)</f>
        <v>0.7</v>
      </c>
      <c r="E1459" s="164">
        <v>-7.8947368421052697E-2</v>
      </c>
      <c r="F1459">
        <v>7.95</v>
      </c>
    </row>
    <row r="1460" spans="1:6">
      <c r="A1460">
        <v>3536</v>
      </c>
      <c r="B1460" t="s">
        <v>1142</v>
      </c>
      <c r="C1460">
        <v>6.93</v>
      </c>
      <c r="D1460">
        <f>VLOOKUP(A1460,收盤價!A:C,3,0)</f>
        <v>6.38</v>
      </c>
      <c r="E1460" s="164">
        <v>-7.9365079365079347E-2</v>
      </c>
      <c r="F1460">
        <v>7.89</v>
      </c>
    </row>
    <row r="1461" spans="1:6">
      <c r="A1461">
        <v>911611</v>
      </c>
      <c r="B1461" t="s">
        <v>1384</v>
      </c>
      <c r="C1461">
        <v>0.88</v>
      </c>
      <c r="D1461">
        <f>VLOOKUP(A1461,收盤價!A:C,3,0)</f>
        <v>0.81</v>
      </c>
      <c r="E1461" s="164">
        <v>-7.9545454545454489E-2</v>
      </c>
      <c r="F1461">
        <v>7.82</v>
      </c>
    </row>
    <row r="1462" spans="1:6">
      <c r="A1462">
        <v>2104</v>
      </c>
      <c r="B1462" t="s">
        <v>778</v>
      </c>
      <c r="C1462">
        <v>25.6</v>
      </c>
      <c r="D1462">
        <f>VLOOKUP(A1462,收盤價!A:C,3,0)</f>
        <v>23.55</v>
      </c>
      <c r="E1462" s="164">
        <v>-8.0078125000000028E-2</v>
      </c>
      <c r="F1462">
        <v>7.76</v>
      </c>
    </row>
    <row r="1463" spans="1:6">
      <c r="A1463">
        <v>5468</v>
      </c>
      <c r="B1463" t="s">
        <v>438</v>
      </c>
      <c r="C1463">
        <v>7.54</v>
      </c>
      <c r="D1463">
        <f>VLOOKUP(A1463,收盤價!A:C,3,0)</f>
        <v>6.9</v>
      </c>
      <c r="E1463" s="164">
        <v>-8.488063660477449E-2</v>
      </c>
      <c r="F1463">
        <v>7.7</v>
      </c>
    </row>
    <row r="1464" spans="1:6">
      <c r="A1464">
        <v>1234</v>
      </c>
      <c r="B1464" t="s">
        <v>567</v>
      </c>
      <c r="C1464">
        <v>34.5</v>
      </c>
      <c r="D1464">
        <f>VLOOKUP(A1464,收盤價!A:C,3,0)</f>
        <v>31.55</v>
      </c>
      <c r="E1464" s="164">
        <v>-8.5507246376811577E-2</v>
      </c>
      <c r="F1464">
        <v>7.63</v>
      </c>
    </row>
    <row r="1465" spans="1:6">
      <c r="A1465">
        <v>3310</v>
      </c>
      <c r="B1465" t="s">
        <v>1504</v>
      </c>
      <c r="C1465">
        <v>14.6</v>
      </c>
      <c r="D1465">
        <f>VLOOKUP(A1465,收盤價!A:C,3,0)</f>
        <v>13.35</v>
      </c>
      <c r="E1465" s="164">
        <v>-8.5616438356164379E-2</v>
      </c>
      <c r="F1465">
        <v>7.57</v>
      </c>
    </row>
    <row r="1466" spans="1:6">
      <c r="A1466">
        <v>4180</v>
      </c>
      <c r="B1466" t="s">
        <v>1581</v>
      </c>
      <c r="C1466">
        <v>196</v>
      </c>
      <c r="D1466">
        <f>VLOOKUP(A1466,收盤價!A:C,3,0)</f>
        <v>179</v>
      </c>
      <c r="E1466" s="164">
        <v>-8.673469387755102E-2</v>
      </c>
      <c r="F1466">
        <v>7.51</v>
      </c>
    </row>
    <row r="1467" spans="1:6">
      <c r="A1467">
        <v>3089</v>
      </c>
      <c r="B1467" t="s">
        <v>288</v>
      </c>
      <c r="C1467">
        <v>22.95</v>
      </c>
      <c r="D1467">
        <f>VLOOKUP(A1467,收盤價!A:C,3,0)</f>
        <v>20.95</v>
      </c>
      <c r="E1467" s="164">
        <v>-8.714596949891068E-2</v>
      </c>
      <c r="F1467">
        <v>7.44</v>
      </c>
    </row>
    <row r="1468" spans="1:6">
      <c r="A1468">
        <v>9933</v>
      </c>
      <c r="B1468" t="s">
        <v>1420</v>
      </c>
      <c r="C1468">
        <v>39.700000000000003</v>
      </c>
      <c r="D1468">
        <f>VLOOKUP(A1468,收盤價!A:C,3,0)</f>
        <v>36.15</v>
      </c>
      <c r="E1468" s="164">
        <v>-8.9420654911838898E-2</v>
      </c>
      <c r="F1468">
        <v>7.38</v>
      </c>
    </row>
    <row r="1469" spans="1:6">
      <c r="A1469">
        <v>1805</v>
      </c>
      <c r="B1469" t="s">
        <v>734</v>
      </c>
      <c r="C1469">
        <v>7.8</v>
      </c>
      <c r="D1469">
        <f>VLOOKUP(A1469,收盤價!A:C,3,0)</f>
        <v>7.1</v>
      </c>
      <c r="E1469" s="164">
        <v>-8.9743589743589772E-2</v>
      </c>
      <c r="F1469">
        <v>7.32</v>
      </c>
    </row>
    <row r="1470" spans="1:6">
      <c r="A1470">
        <v>4924</v>
      </c>
      <c r="B1470" t="s">
        <v>1624</v>
      </c>
      <c r="C1470">
        <v>7.17</v>
      </c>
      <c r="D1470">
        <f>VLOOKUP(A1470,收盤價!A:C,3,0)</f>
        <v>6.52</v>
      </c>
      <c r="E1470" s="164">
        <v>-9.0655509065550963E-2</v>
      </c>
      <c r="F1470">
        <v>7.26</v>
      </c>
    </row>
    <row r="1471" spans="1:6">
      <c r="A1471">
        <v>8266</v>
      </c>
      <c r="B1471" t="s">
        <v>1815</v>
      </c>
      <c r="C1471">
        <v>27.85</v>
      </c>
      <c r="D1471">
        <f>VLOOKUP(A1471,收盤價!A:C,3,0)</f>
        <v>25.2</v>
      </c>
      <c r="E1471" s="164">
        <v>-9.5152603231597924E-2</v>
      </c>
      <c r="F1471">
        <v>7.19</v>
      </c>
    </row>
    <row r="1472" spans="1:6">
      <c r="A1472">
        <v>3523</v>
      </c>
      <c r="B1472" t="s">
        <v>1529</v>
      </c>
      <c r="C1472">
        <v>25.3</v>
      </c>
      <c r="D1472">
        <f>VLOOKUP(A1472,收盤價!A:C,3,0)</f>
        <v>22.8</v>
      </c>
      <c r="E1472" s="164">
        <v>-9.8814229249011856E-2</v>
      </c>
      <c r="F1472">
        <v>7.13</v>
      </c>
    </row>
    <row r="1473" spans="1:6">
      <c r="A1473">
        <v>2734</v>
      </c>
      <c r="B1473" t="s">
        <v>283</v>
      </c>
      <c r="C1473">
        <v>27.2</v>
      </c>
      <c r="D1473">
        <f>VLOOKUP(A1473,收盤價!A:C,3,0)</f>
        <v>24.4</v>
      </c>
      <c r="E1473" s="164">
        <v>-0.10294117647058826</v>
      </c>
      <c r="F1473">
        <v>7.07</v>
      </c>
    </row>
    <row r="1474" spans="1:6">
      <c r="A1474">
        <v>9949</v>
      </c>
      <c r="B1474" t="s">
        <v>535</v>
      </c>
      <c r="C1474">
        <v>14.5</v>
      </c>
      <c r="D1474">
        <f>VLOOKUP(A1474,收盤價!A:C,3,0)</f>
        <v>13</v>
      </c>
      <c r="E1474" s="164">
        <v>-0.10344827586206896</v>
      </c>
      <c r="F1474">
        <v>7</v>
      </c>
    </row>
    <row r="1475" spans="1:6">
      <c r="A1475">
        <v>1455</v>
      </c>
      <c r="B1475" t="s">
        <v>625</v>
      </c>
      <c r="C1475">
        <v>9</v>
      </c>
      <c r="D1475">
        <f>VLOOKUP(A1475,收盤價!A:C,3,0)</f>
        <v>8.06</v>
      </c>
      <c r="E1475" s="164">
        <v>-0.1044444444444444</v>
      </c>
      <c r="F1475">
        <v>6.94</v>
      </c>
    </row>
    <row r="1476" spans="1:6">
      <c r="A1476">
        <v>2540</v>
      </c>
      <c r="B1476" t="s">
        <v>959</v>
      </c>
      <c r="C1476">
        <v>32.5</v>
      </c>
      <c r="D1476">
        <f>VLOOKUP(A1476,收盤價!A:C,3,0)</f>
        <v>29.05</v>
      </c>
      <c r="E1476" s="164">
        <v>-0.10615384615384613</v>
      </c>
      <c r="F1476">
        <v>6.88</v>
      </c>
    </row>
    <row r="1477" spans="1:6">
      <c r="A1477">
        <v>3002</v>
      </c>
      <c r="B1477" t="s">
        <v>1045</v>
      </c>
      <c r="C1477">
        <v>11.5</v>
      </c>
      <c r="D1477">
        <f>VLOOKUP(A1477,收盤價!A:C,3,0)</f>
        <v>10.25</v>
      </c>
      <c r="E1477" s="164">
        <v>-0.10869565217391304</v>
      </c>
      <c r="F1477">
        <v>6.81</v>
      </c>
    </row>
    <row r="1478" spans="1:6">
      <c r="A1478">
        <v>4950</v>
      </c>
      <c r="B1478" t="s">
        <v>398</v>
      </c>
      <c r="C1478">
        <v>21.25</v>
      </c>
      <c r="D1478">
        <f>VLOOKUP(A1478,收盤價!A:C,3,0)</f>
        <v>18.899999999999999</v>
      </c>
      <c r="E1478" s="164">
        <v>-0.11058823529411771</v>
      </c>
      <c r="F1478">
        <v>6.75</v>
      </c>
    </row>
    <row r="1479" spans="1:6">
      <c r="A1479">
        <v>3229</v>
      </c>
      <c r="B1479" t="s">
        <v>1106</v>
      </c>
      <c r="C1479">
        <v>18.5</v>
      </c>
      <c r="D1479">
        <f>VLOOKUP(A1479,收盤價!A:C,3,0)</f>
        <v>16.399999999999999</v>
      </c>
      <c r="E1479" s="164">
        <v>-0.11351351351351359</v>
      </c>
      <c r="F1479">
        <v>6.69</v>
      </c>
    </row>
    <row r="1480" spans="1:6">
      <c r="A1480">
        <v>8067</v>
      </c>
      <c r="B1480" t="s">
        <v>1790</v>
      </c>
      <c r="C1480">
        <v>5.43</v>
      </c>
      <c r="D1480">
        <f>VLOOKUP(A1480,收盤價!A:C,3,0)</f>
        <v>4.8</v>
      </c>
      <c r="E1480" s="164">
        <v>-0.11602209944751379</v>
      </c>
      <c r="F1480">
        <v>6.62</v>
      </c>
    </row>
    <row r="1481" spans="1:6">
      <c r="A1481">
        <v>1102</v>
      </c>
      <c r="B1481" t="s">
        <v>546</v>
      </c>
      <c r="C1481">
        <v>32.299999999999997</v>
      </c>
      <c r="D1481">
        <f>VLOOKUP(A1481,收盤價!A:C,3,0)</f>
        <v>28.55</v>
      </c>
      <c r="E1481" s="164">
        <v>-0.11609907120743024</v>
      </c>
      <c r="F1481">
        <v>6.56</v>
      </c>
    </row>
    <row r="1482" spans="1:6">
      <c r="A1482">
        <v>3428</v>
      </c>
      <c r="B1482" t="s">
        <v>327</v>
      </c>
      <c r="C1482">
        <v>50.6</v>
      </c>
      <c r="D1482">
        <f>VLOOKUP(A1482,收盤價!A:C,3,0)</f>
        <v>44.7</v>
      </c>
      <c r="E1482" s="164">
        <v>-0.11660079051383396</v>
      </c>
      <c r="F1482">
        <v>6.5</v>
      </c>
    </row>
    <row r="1483" spans="1:6">
      <c r="A1483">
        <v>1417</v>
      </c>
      <c r="B1483" t="s">
        <v>601</v>
      </c>
      <c r="C1483">
        <v>5.67</v>
      </c>
      <c r="D1483">
        <f>VLOOKUP(A1483,收盤價!A:C,3,0)</f>
        <v>4.9800000000000004</v>
      </c>
      <c r="E1483" s="164">
        <v>-0.1216931216931216</v>
      </c>
      <c r="F1483">
        <v>6.44</v>
      </c>
    </row>
    <row r="1484" spans="1:6">
      <c r="A1484">
        <v>6225</v>
      </c>
      <c r="B1484" t="s">
        <v>1300</v>
      </c>
      <c r="C1484">
        <v>3.86</v>
      </c>
      <c r="D1484">
        <f>VLOOKUP(A1484,收盤價!A:C,3,0)</f>
        <v>3.39</v>
      </c>
      <c r="E1484" s="164">
        <v>-0.12176165803108802</v>
      </c>
      <c r="F1484">
        <v>6.37</v>
      </c>
    </row>
    <row r="1485" spans="1:6">
      <c r="A1485">
        <v>3312</v>
      </c>
      <c r="B1485" t="s">
        <v>1114</v>
      </c>
      <c r="C1485">
        <v>7.38</v>
      </c>
      <c r="D1485">
        <f>VLOOKUP(A1485,收盤價!A:C,3,0)</f>
        <v>6.45</v>
      </c>
      <c r="E1485" s="164">
        <v>-0.12601626016260159</v>
      </c>
      <c r="F1485">
        <v>6.31</v>
      </c>
    </row>
    <row r="1486" spans="1:6">
      <c r="A1486">
        <v>3252</v>
      </c>
      <c r="B1486" t="s">
        <v>307</v>
      </c>
      <c r="C1486">
        <v>21.7</v>
      </c>
      <c r="D1486">
        <f>VLOOKUP(A1486,收盤價!A:C,3,0)</f>
        <v>18.95</v>
      </c>
      <c r="E1486" s="164">
        <v>-0.12672811059907835</v>
      </c>
      <c r="F1486">
        <v>6.25</v>
      </c>
    </row>
    <row r="1487" spans="1:6">
      <c r="A1487">
        <v>4401</v>
      </c>
      <c r="B1487" t="s">
        <v>1588</v>
      </c>
      <c r="C1487">
        <v>108.5</v>
      </c>
      <c r="D1487">
        <f>VLOOKUP(A1487,收盤價!A:C,3,0)</f>
        <v>94.7</v>
      </c>
      <c r="E1487" s="164">
        <v>-0.12718894009216586</v>
      </c>
      <c r="F1487">
        <v>6.18</v>
      </c>
    </row>
    <row r="1488" spans="1:6">
      <c r="A1488">
        <v>2609</v>
      </c>
      <c r="B1488" t="s">
        <v>973</v>
      </c>
      <c r="C1488">
        <v>9.1999999999999993</v>
      </c>
      <c r="D1488">
        <f>VLOOKUP(A1488,收盤價!A:C,3,0)</f>
        <v>8.01</v>
      </c>
      <c r="E1488" s="164">
        <v>-0.12934782608695647</v>
      </c>
      <c r="F1488">
        <v>6.12</v>
      </c>
    </row>
    <row r="1489" spans="1:6">
      <c r="A1489">
        <v>4406</v>
      </c>
      <c r="B1489" t="s">
        <v>1589</v>
      </c>
      <c r="C1489">
        <v>13.15</v>
      </c>
      <c r="D1489">
        <f>VLOOKUP(A1489,收盤價!A:C,3,0)</f>
        <v>11.4</v>
      </c>
      <c r="E1489" s="164">
        <v>-0.13307984790874525</v>
      </c>
      <c r="F1489">
        <v>6.06</v>
      </c>
    </row>
    <row r="1490" spans="1:6">
      <c r="A1490">
        <v>1419</v>
      </c>
      <c r="B1490" t="s">
        <v>603</v>
      </c>
      <c r="C1490">
        <v>37.4</v>
      </c>
      <c r="D1490">
        <f>VLOOKUP(A1490,收盤價!A:C,3,0)</f>
        <v>32.4</v>
      </c>
      <c r="E1490" s="164">
        <v>-0.13368983957219252</v>
      </c>
      <c r="F1490">
        <v>5.99</v>
      </c>
    </row>
    <row r="1491" spans="1:6">
      <c r="A1491">
        <v>1477</v>
      </c>
      <c r="B1491" t="s">
        <v>644</v>
      </c>
      <c r="C1491">
        <v>250</v>
      </c>
      <c r="D1491">
        <f>VLOOKUP(A1491,收盤價!A:C,3,0)</f>
        <v>215.5</v>
      </c>
      <c r="E1491" s="164">
        <v>-0.13800000000000001</v>
      </c>
      <c r="F1491">
        <v>5.93</v>
      </c>
    </row>
    <row r="1492" spans="1:6">
      <c r="A1492">
        <v>3067</v>
      </c>
      <c r="B1492" t="s">
        <v>284</v>
      </c>
      <c r="C1492">
        <v>15.5</v>
      </c>
      <c r="D1492">
        <f>VLOOKUP(A1492,收盤價!A:C,3,0)</f>
        <v>13.35</v>
      </c>
      <c r="E1492" s="164">
        <v>-0.13870967741935486</v>
      </c>
      <c r="F1492">
        <v>5.87</v>
      </c>
    </row>
    <row r="1493" spans="1:6">
      <c r="A1493">
        <v>4433</v>
      </c>
      <c r="B1493" t="s">
        <v>1597</v>
      </c>
      <c r="C1493">
        <v>41.35</v>
      </c>
      <c r="D1493">
        <f>VLOOKUP(A1493,收盤價!A:C,3,0)</f>
        <v>35.6</v>
      </c>
      <c r="E1493" s="164">
        <v>-0.13905683192261184</v>
      </c>
      <c r="F1493">
        <v>5.8</v>
      </c>
    </row>
    <row r="1494" spans="1:6">
      <c r="A1494">
        <v>2354</v>
      </c>
      <c r="B1494" t="s">
        <v>828</v>
      </c>
      <c r="C1494">
        <v>84.7</v>
      </c>
      <c r="D1494">
        <f>VLOOKUP(A1494,收盤價!A:C,3,0)</f>
        <v>72.900000000000006</v>
      </c>
      <c r="E1494" s="164">
        <v>-0.1393152302243211</v>
      </c>
      <c r="F1494">
        <v>5.74</v>
      </c>
    </row>
    <row r="1495" spans="1:6">
      <c r="A1495">
        <v>6177</v>
      </c>
      <c r="B1495" t="s">
        <v>1282</v>
      </c>
      <c r="C1495">
        <v>23.4</v>
      </c>
      <c r="D1495">
        <f>VLOOKUP(A1495,收盤價!A:C,3,0)</f>
        <v>20</v>
      </c>
      <c r="E1495" s="164">
        <v>-0.14529914529914525</v>
      </c>
      <c r="F1495">
        <v>5.68</v>
      </c>
    </row>
    <row r="1496" spans="1:6">
      <c r="A1496">
        <v>2342</v>
      </c>
      <c r="B1496" t="s">
        <v>819</v>
      </c>
      <c r="C1496">
        <v>2.79</v>
      </c>
      <c r="D1496">
        <f>VLOOKUP(A1496,收盤價!A:C,3,0)</f>
        <v>2.38</v>
      </c>
      <c r="E1496" s="164">
        <v>-0.1469534050179212</v>
      </c>
      <c r="F1496">
        <v>5.62</v>
      </c>
    </row>
    <row r="1497" spans="1:6">
      <c r="A1497">
        <v>2542</v>
      </c>
      <c r="B1497" t="s">
        <v>960</v>
      </c>
      <c r="C1497">
        <v>45.8</v>
      </c>
      <c r="D1497">
        <f>VLOOKUP(A1497,收盤價!A:C,3,0)</f>
        <v>38.4</v>
      </c>
      <c r="E1497" s="164">
        <v>-0.16157205240174671</v>
      </c>
      <c r="F1497">
        <v>5.55</v>
      </c>
    </row>
    <row r="1498" spans="1:6">
      <c r="A1498">
        <v>8291</v>
      </c>
      <c r="B1498" t="s">
        <v>1819</v>
      </c>
      <c r="C1498">
        <v>5.78</v>
      </c>
      <c r="D1498">
        <f>VLOOKUP(A1498,收盤價!A:C,3,0)</f>
        <v>4.8099999999999996</v>
      </c>
      <c r="E1498" s="164">
        <v>-0.16782006920415235</v>
      </c>
      <c r="F1498">
        <v>5.49</v>
      </c>
    </row>
    <row r="1499" spans="1:6">
      <c r="A1499">
        <v>6248</v>
      </c>
      <c r="B1499" t="s">
        <v>484</v>
      </c>
      <c r="C1499">
        <v>25</v>
      </c>
      <c r="D1499">
        <f>VLOOKUP(A1499,收盤價!A:C,3,0)</f>
        <v>20.7</v>
      </c>
      <c r="E1499" s="164">
        <v>-0.17200000000000004</v>
      </c>
      <c r="F1499">
        <v>5.43</v>
      </c>
    </row>
    <row r="1500" spans="1:6">
      <c r="A1500">
        <v>5523</v>
      </c>
      <c r="B1500" t="s">
        <v>443</v>
      </c>
      <c r="C1500">
        <v>9.89</v>
      </c>
      <c r="D1500">
        <f>VLOOKUP(A1500,收盤價!A:C,3,0)</f>
        <v>8.18</v>
      </c>
      <c r="E1500" s="164">
        <v>-0.17290192113245711</v>
      </c>
      <c r="F1500">
        <v>5.36</v>
      </c>
    </row>
    <row r="1501" spans="1:6">
      <c r="A1501">
        <v>2924</v>
      </c>
      <c r="B1501" t="s">
        <v>1464</v>
      </c>
      <c r="C1501">
        <v>72</v>
      </c>
      <c r="D1501">
        <f>VLOOKUP(A1501,收盤價!A:C,3,0)</f>
        <v>59.5</v>
      </c>
      <c r="E1501" s="164">
        <v>-0.1736111111111111</v>
      </c>
      <c r="F1501">
        <v>5.3</v>
      </c>
    </row>
    <row r="1502" spans="1:6">
      <c r="A1502">
        <v>2618</v>
      </c>
      <c r="B1502" t="s">
        <v>982</v>
      </c>
      <c r="C1502">
        <v>20.2</v>
      </c>
      <c r="D1502">
        <f>VLOOKUP(A1502,收盤價!A:C,3,0)</f>
        <v>16.649999999999999</v>
      </c>
      <c r="E1502" s="164">
        <v>-0.17574257425742579</v>
      </c>
      <c r="F1502">
        <v>5.24</v>
      </c>
    </row>
    <row r="1503" spans="1:6">
      <c r="A1503">
        <v>3631</v>
      </c>
      <c r="B1503" t="s">
        <v>356</v>
      </c>
      <c r="C1503">
        <v>31.6</v>
      </c>
      <c r="D1503">
        <f>VLOOKUP(A1503,收盤價!A:C,3,0)</f>
        <v>26</v>
      </c>
      <c r="E1503" s="164">
        <v>-0.17721518987341775</v>
      </c>
      <c r="F1503">
        <v>5.17</v>
      </c>
    </row>
    <row r="1504" spans="1:6">
      <c r="A1504">
        <v>3645</v>
      </c>
      <c r="B1504" t="s">
        <v>1162</v>
      </c>
      <c r="C1504">
        <v>33.450000000000003</v>
      </c>
      <c r="D1504">
        <f>VLOOKUP(A1504,收盤價!A:C,3,0)</f>
        <v>27.5</v>
      </c>
      <c r="E1504" s="164">
        <v>-0.17787742899850531</v>
      </c>
      <c r="F1504">
        <v>5.1100000000000003</v>
      </c>
    </row>
    <row r="1505" spans="1:6">
      <c r="A1505">
        <v>3466</v>
      </c>
      <c r="B1505" t="s">
        <v>330</v>
      </c>
      <c r="C1505">
        <v>27.9</v>
      </c>
      <c r="D1505">
        <f>VLOOKUP(A1505,收盤價!A:C,3,0)</f>
        <v>22.8</v>
      </c>
      <c r="E1505" s="164">
        <v>-0.1827956989247311</v>
      </c>
      <c r="F1505">
        <v>5.05</v>
      </c>
    </row>
    <row r="1506" spans="1:6">
      <c r="A1506">
        <v>1459</v>
      </c>
      <c r="B1506" t="s">
        <v>628</v>
      </c>
      <c r="C1506">
        <v>12.3</v>
      </c>
      <c r="D1506">
        <f>VLOOKUP(A1506,收盤價!A:C,3,0)</f>
        <v>10</v>
      </c>
      <c r="E1506" s="164">
        <v>-0.18699186991869923</v>
      </c>
      <c r="F1506">
        <v>4.9800000000000004</v>
      </c>
    </row>
    <row r="1507" spans="1:6">
      <c r="A1507">
        <v>3056</v>
      </c>
      <c r="B1507" t="s">
        <v>1092</v>
      </c>
      <c r="C1507">
        <v>15</v>
      </c>
      <c r="D1507">
        <f>VLOOKUP(A1507,收盤價!A:C,3,0)</f>
        <v>12.15</v>
      </c>
      <c r="E1507" s="164">
        <v>-0.18999999999999997</v>
      </c>
      <c r="F1507">
        <v>4.92</v>
      </c>
    </row>
    <row r="1508" spans="1:6">
      <c r="A1508">
        <v>910322</v>
      </c>
      <c r="B1508" t="s">
        <v>1375</v>
      </c>
      <c r="C1508">
        <v>28.5</v>
      </c>
      <c r="D1508">
        <f>VLOOKUP(A1508,收盤價!A:C,3,0)</f>
        <v>23</v>
      </c>
      <c r="E1508" s="164">
        <v>-0.19298245614035087</v>
      </c>
      <c r="F1508">
        <v>4.8600000000000003</v>
      </c>
    </row>
    <row r="1509" spans="1:6">
      <c r="A1509">
        <v>2615</v>
      </c>
      <c r="B1509" t="s">
        <v>979</v>
      </c>
      <c r="C1509">
        <v>20</v>
      </c>
      <c r="D1509">
        <f>VLOOKUP(A1509,收盤價!A:C,3,0)</f>
        <v>16.100000000000001</v>
      </c>
      <c r="E1509" s="164">
        <v>-0.19499999999999992</v>
      </c>
      <c r="F1509">
        <v>4.79</v>
      </c>
    </row>
    <row r="1510" spans="1:6">
      <c r="A1510">
        <v>5304</v>
      </c>
      <c r="B1510" t="s">
        <v>419</v>
      </c>
      <c r="C1510">
        <v>3.46</v>
      </c>
      <c r="D1510">
        <f>VLOOKUP(A1510,收盤價!A:C,3,0)</f>
        <v>2.78</v>
      </c>
      <c r="E1510" s="164">
        <v>-0.19653179190751449</v>
      </c>
      <c r="F1510">
        <v>4.7300000000000004</v>
      </c>
    </row>
    <row r="1511" spans="1:6">
      <c r="A1511">
        <v>5255</v>
      </c>
      <c r="B1511" t="s">
        <v>412</v>
      </c>
      <c r="C1511">
        <v>19.75</v>
      </c>
      <c r="D1511">
        <f>VLOOKUP(A1511,收盤價!A:C,3,0)</f>
        <v>15.7</v>
      </c>
      <c r="E1511" s="164">
        <v>-0.20506329113924054</v>
      </c>
      <c r="F1511">
        <v>4.67</v>
      </c>
    </row>
    <row r="1512" spans="1:6">
      <c r="A1512">
        <v>3511</v>
      </c>
      <c r="B1512" t="s">
        <v>1525</v>
      </c>
      <c r="C1512">
        <v>39.799999999999997</v>
      </c>
      <c r="D1512">
        <f>VLOOKUP(A1512,收盤價!A:C,3,0)</f>
        <v>31.55</v>
      </c>
      <c r="E1512" s="164">
        <v>-0.20728643216080395</v>
      </c>
      <c r="F1512">
        <v>4.6100000000000003</v>
      </c>
    </row>
    <row r="1513" spans="1:6">
      <c r="A1513">
        <v>2524</v>
      </c>
      <c r="B1513" t="s">
        <v>949</v>
      </c>
      <c r="C1513">
        <v>20.25</v>
      </c>
      <c r="D1513">
        <f>VLOOKUP(A1513,收盤價!A:C,3,0)</f>
        <v>15.95</v>
      </c>
      <c r="E1513" s="164">
        <v>-0.21234567901234572</v>
      </c>
      <c r="F1513">
        <v>4.54</v>
      </c>
    </row>
    <row r="1514" spans="1:6">
      <c r="A1514">
        <v>5906</v>
      </c>
      <c r="B1514" t="s">
        <v>1256</v>
      </c>
      <c r="C1514">
        <v>2.4300000000000002</v>
      </c>
      <c r="D1514">
        <f>VLOOKUP(A1514,收盤價!A:C,3,0)</f>
        <v>1.9</v>
      </c>
      <c r="E1514" s="164">
        <v>-0.21810699588477375</v>
      </c>
      <c r="F1514">
        <v>4.4800000000000004</v>
      </c>
    </row>
    <row r="1515" spans="1:6">
      <c r="A1515">
        <v>5301</v>
      </c>
      <c r="B1515" t="s">
        <v>417</v>
      </c>
      <c r="C1515">
        <v>49.9</v>
      </c>
      <c r="D1515">
        <f>VLOOKUP(A1515,收盤價!A:C,3,0)</f>
        <v>37.200000000000003</v>
      </c>
      <c r="E1515" s="164">
        <v>-0.25450901803607207</v>
      </c>
      <c r="F1515">
        <v>4.42</v>
      </c>
    </row>
    <row r="1516" spans="1:6">
      <c r="A1516">
        <v>3095</v>
      </c>
      <c r="B1516" t="s">
        <v>291</v>
      </c>
      <c r="C1516">
        <v>7.94</v>
      </c>
      <c r="D1516">
        <f>VLOOKUP(A1516,收盤價!A:C,3,0)</f>
        <v>5.9</v>
      </c>
      <c r="E1516" s="164">
        <v>-0.25692695214105793</v>
      </c>
      <c r="F1516">
        <v>4.3499999999999996</v>
      </c>
    </row>
    <row r="1517" spans="1:6">
      <c r="A1517">
        <v>4113</v>
      </c>
      <c r="B1517" t="s">
        <v>364</v>
      </c>
      <c r="C1517">
        <v>13.6</v>
      </c>
      <c r="D1517">
        <f>VLOOKUP(A1517,收盤價!A:C,3,0)</f>
        <v>10.1</v>
      </c>
      <c r="E1517" s="164">
        <v>-0.25735294117647062</v>
      </c>
      <c r="F1517">
        <v>4.29</v>
      </c>
    </row>
    <row r="1518" spans="1:6">
      <c r="A1518">
        <v>8418</v>
      </c>
      <c r="B1518" t="s">
        <v>1829</v>
      </c>
      <c r="C1518">
        <v>18.850000000000001</v>
      </c>
      <c r="D1518">
        <f>VLOOKUP(A1518,收盤價!A:C,3,0)</f>
        <v>13.8</v>
      </c>
      <c r="E1518" s="164">
        <v>-0.26790450928381965</v>
      </c>
      <c r="F1518">
        <v>4.2300000000000004</v>
      </c>
    </row>
    <row r="1519" spans="1:6">
      <c r="A1519">
        <v>6294</v>
      </c>
      <c r="B1519" t="s">
        <v>1767</v>
      </c>
      <c r="C1519">
        <v>114.5</v>
      </c>
      <c r="D1519">
        <f>VLOOKUP(A1519,收盤價!A:C,3,0)</f>
        <v>83.6</v>
      </c>
      <c r="E1519" s="164">
        <v>-0.26986899563318784</v>
      </c>
      <c r="F1519">
        <v>4.16</v>
      </c>
    </row>
    <row r="1520" spans="1:6">
      <c r="A1520">
        <v>8092</v>
      </c>
      <c r="B1520" t="s">
        <v>1799</v>
      </c>
      <c r="C1520">
        <v>9.9</v>
      </c>
      <c r="D1520">
        <f>VLOOKUP(A1520,收盤價!A:C,3,0)</f>
        <v>7.19</v>
      </c>
      <c r="E1520" s="164">
        <v>-0.27373737373737372</v>
      </c>
      <c r="F1520">
        <v>4.0999999999999996</v>
      </c>
    </row>
    <row r="1521" spans="1:6">
      <c r="A1521">
        <v>2025</v>
      </c>
      <c r="B1521" t="s">
        <v>762</v>
      </c>
      <c r="C1521">
        <v>2.54</v>
      </c>
      <c r="D1521">
        <f>VLOOKUP(A1521,收盤價!A:C,3,0)</f>
        <v>1.82</v>
      </c>
      <c r="E1521" s="164">
        <v>-0.28346456692913385</v>
      </c>
      <c r="F1521">
        <v>4.04</v>
      </c>
    </row>
    <row r="1522" spans="1:6">
      <c r="A1522">
        <v>1456</v>
      </c>
      <c r="B1522" t="s">
        <v>626</v>
      </c>
      <c r="C1522">
        <v>5.71</v>
      </c>
      <c r="D1522">
        <f>VLOOKUP(A1522,收盤價!A:C,3,0)</f>
        <v>3.99</v>
      </c>
      <c r="E1522" s="164">
        <v>-0.30122591943957966</v>
      </c>
      <c r="F1522">
        <v>3.97</v>
      </c>
    </row>
    <row r="1523" spans="1:6">
      <c r="A1523">
        <v>1339</v>
      </c>
      <c r="B1523" t="s">
        <v>593</v>
      </c>
      <c r="C1523">
        <v>85</v>
      </c>
      <c r="D1523">
        <f>VLOOKUP(A1523,收盤價!A:C,3,0)</f>
        <v>56.9</v>
      </c>
      <c r="E1523" s="164">
        <v>-0.33058823529411768</v>
      </c>
      <c r="F1523">
        <v>3.91</v>
      </c>
    </row>
    <row r="1524" spans="1:6">
      <c r="A1524">
        <v>6246</v>
      </c>
      <c r="B1524" t="s">
        <v>483</v>
      </c>
      <c r="C1524">
        <v>2.75</v>
      </c>
      <c r="D1524">
        <f>VLOOKUP(A1524,收盤價!A:C,3,0)</f>
        <v>1.82</v>
      </c>
      <c r="E1524" s="164">
        <v>-0.33818181818181814</v>
      </c>
      <c r="F1524">
        <v>3.85</v>
      </c>
    </row>
    <row r="1525" spans="1:6">
      <c r="A1525">
        <v>911612</v>
      </c>
      <c r="B1525" t="s">
        <v>1385</v>
      </c>
      <c r="C1525">
        <v>0.65</v>
      </c>
      <c r="D1525">
        <f>VLOOKUP(A1525,收盤價!A:C,3,0)</f>
        <v>0.42</v>
      </c>
      <c r="E1525" s="164">
        <v>-0.35384615384615387</v>
      </c>
      <c r="F1525">
        <v>3.79</v>
      </c>
    </row>
    <row r="1526" spans="1:6">
      <c r="A1526">
        <v>4994</v>
      </c>
      <c r="B1526" t="s">
        <v>1223</v>
      </c>
      <c r="C1526">
        <v>121.5</v>
      </c>
      <c r="D1526">
        <f>VLOOKUP(A1526,收盤價!A:C,3,0)</f>
        <v>77.8</v>
      </c>
      <c r="E1526" s="164">
        <v>-0.35967078189300417</v>
      </c>
      <c r="F1526">
        <v>3.72</v>
      </c>
    </row>
    <row r="1527" spans="1:6">
      <c r="A1527">
        <v>5321</v>
      </c>
      <c r="B1527" t="s">
        <v>1657</v>
      </c>
      <c r="C1527">
        <v>37.950000000000003</v>
      </c>
      <c r="D1527">
        <f>VLOOKUP(A1527,收盤價!A:C,3,0)</f>
        <v>23.2</v>
      </c>
      <c r="E1527" s="164">
        <v>-0.38866930171278002</v>
      </c>
      <c r="F1527">
        <v>3.66</v>
      </c>
    </row>
    <row r="1528" spans="1:6">
      <c r="A1528">
        <v>9906</v>
      </c>
      <c r="B1528" t="s">
        <v>1401</v>
      </c>
      <c r="C1528">
        <v>22.9</v>
      </c>
      <c r="D1528">
        <f>VLOOKUP(A1528,收盤價!A:C,3,0)</f>
        <v>13.7</v>
      </c>
      <c r="E1528" s="164">
        <v>-0.40174672489082969</v>
      </c>
      <c r="F1528">
        <v>3.6</v>
      </c>
    </row>
    <row r="1529" spans="1:6">
      <c r="A1529">
        <v>3489</v>
      </c>
      <c r="B1529" t="s">
        <v>333</v>
      </c>
      <c r="C1529">
        <v>17.45</v>
      </c>
      <c r="D1529">
        <f>VLOOKUP(A1529,收盤價!A:C,3,0)</f>
        <v>9.69</v>
      </c>
      <c r="E1529" s="164">
        <v>-0.44469914040114616</v>
      </c>
      <c r="F1529">
        <v>3.53</v>
      </c>
    </row>
    <row r="1530" spans="1:6">
      <c r="A1530">
        <v>6131</v>
      </c>
      <c r="B1530" t="s">
        <v>1266</v>
      </c>
      <c r="C1530">
        <v>23.45</v>
      </c>
      <c r="D1530">
        <f>VLOOKUP(A1530,收盤價!A:C,3,0)</f>
        <v>11.7</v>
      </c>
      <c r="E1530" s="164">
        <v>-0.50106609808102343</v>
      </c>
      <c r="F1530">
        <v>3.47</v>
      </c>
    </row>
    <row r="1531" spans="1:6">
      <c r="A1531">
        <v>913889</v>
      </c>
      <c r="B1531" t="s">
        <v>1394</v>
      </c>
      <c r="C1531">
        <v>3.36</v>
      </c>
      <c r="D1531">
        <f>VLOOKUP(A1531,收盤價!A:C,3,0)</f>
        <v>1.62</v>
      </c>
      <c r="E1531" s="164">
        <v>-0.51785714285714279</v>
      </c>
      <c r="F1531">
        <v>3.41</v>
      </c>
    </row>
    <row r="1532" spans="1:6">
      <c r="A1532">
        <v>4419</v>
      </c>
      <c r="B1532" t="s">
        <v>1593</v>
      </c>
      <c r="C1532">
        <v>4.92</v>
      </c>
      <c r="D1532">
        <f>VLOOKUP(A1532,收盤價!A:C,3,0)</f>
        <v>0</v>
      </c>
      <c r="E1532" s="164">
        <v>-1</v>
      </c>
      <c r="F1532">
        <v>3.34</v>
      </c>
    </row>
    <row r="1533" spans="1:6">
      <c r="A1533">
        <v>5011</v>
      </c>
      <c r="B1533" t="s">
        <v>403</v>
      </c>
      <c r="C1533">
        <v>21.7</v>
      </c>
      <c r="D1533">
        <f>VLOOKUP(A1533,收盤價!A:C,3,0)</f>
        <v>0</v>
      </c>
      <c r="E1533" s="164">
        <v>-1</v>
      </c>
      <c r="F1533">
        <v>3.28</v>
      </c>
    </row>
    <row r="1534" spans="1:6">
      <c r="A1534">
        <v>4706</v>
      </c>
      <c r="B1534" t="s">
        <v>1611</v>
      </c>
      <c r="C1534">
        <v>13.1</v>
      </c>
      <c r="D1534">
        <f>VLOOKUP(A1534,收盤價!A:C,3,0)</f>
        <v>0</v>
      </c>
      <c r="E1534" s="164">
        <v>-1</v>
      </c>
      <c r="F1534">
        <v>3.22</v>
      </c>
    </row>
    <row r="1535" spans="1:6">
      <c r="A1535">
        <v>5344</v>
      </c>
      <c r="B1535" t="s">
        <v>1660</v>
      </c>
      <c r="C1535">
        <v>5.26</v>
      </c>
      <c r="D1535">
        <f>VLOOKUP(A1535,收盤價!A:C,3,0)</f>
        <v>0</v>
      </c>
      <c r="E1535" s="164">
        <v>-1</v>
      </c>
      <c r="F1535">
        <v>3.15</v>
      </c>
    </row>
    <row r="1536" spans="1:6">
      <c r="A1536">
        <v>4716</v>
      </c>
      <c r="B1536" t="s">
        <v>1613</v>
      </c>
      <c r="C1536">
        <v>8.8000000000000007</v>
      </c>
      <c r="D1536">
        <f>VLOOKUP(A1536,收盤價!A:C,3,0)</f>
        <v>0</v>
      </c>
      <c r="E1536" s="164">
        <v>-1</v>
      </c>
      <c r="F1536">
        <v>3.09</v>
      </c>
    </row>
    <row r="1537" spans="1:6">
      <c r="A1537">
        <v>2064</v>
      </c>
      <c r="B1537" t="s">
        <v>276</v>
      </c>
      <c r="C1537">
        <v>15.15</v>
      </c>
      <c r="D1537">
        <f>VLOOKUP(A1537,收盤價!A:C,3,0)</f>
        <v>0</v>
      </c>
      <c r="E1537" s="164">
        <v>-1</v>
      </c>
      <c r="F1537">
        <v>3.03</v>
      </c>
    </row>
    <row r="1538" spans="1:6">
      <c r="A1538">
        <v>4303</v>
      </c>
      <c r="B1538" t="s">
        <v>1586</v>
      </c>
      <c r="C1538">
        <v>12</v>
      </c>
      <c r="D1538">
        <f>VLOOKUP(A1538,收盤價!A:C,3,0)</f>
        <v>0</v>
      </c>
      <c r="E1538" s="164">
        <v>-1</v>
      </c>
      <c r="F1538">
        <v>2.97</v>
      </c>
    </row>
    <row r="1539" spans="1:6">
      <c r="A1539">
        <v>911613</v>
      </c>
      <c r="B1539" t="s">
        <v>1848</v>
      </c>
      <c r="C1539">
        <v>7.06</v>
      </c>
      <c r="D1539">
        <f>VLOOKUP(A1539,收盤價!A:C,3,0)</f>
        <v>0</v>
      </c>
      <c r="E1539" s="164">
        <v>-1</v>
      </c>
      <c r="F1539">
        <v>2.9</v>
      </c>
    </row>
    <row r="1540" spans="1:6">
      <c r="A1540">
        <v>8053</v>
      </c>
      <c r="B1540" t="s">
        <v>1787</v>
      </c>
      <c r="C1540">
        <v>1.63</v>
      </c>
      <c r="D1540">
        <f>VLOOKUP(A1540,收盤價!A:C,3,0)</f>
        <v>0</v>
      </c>
      <c r="E1540" s="164">
        <v>-1</v>
      </c>
      <c r="F1540">
        <v>2.84</v>
      </c>
    </row>
    <row r="1541" spans="1:6">
      <c r="A1541">
        <v>5516</v>
      </c>
      <c r="B1541" t="s">
        <v>1690</v>
      </c>
      <c r="C1541">
        <v>10.050000000000001</v>
      </c>
      <c r="D1541">
        <f>VLOOKUP(A1541,收盤價!A:C,3,0)</f>
        <v>0</v>
      </c>
      <c r="E1541" s="164">
        <v>-1</v>
      </c>
      <c r="F1541">
        <v>2.78</v>
      </c>
    </row>
    <row r="1542" spans="1:6">
      <c r="A1542">
        <v>2067</v>
      </c>
      <c r="B1542" t="s">
        <v>1453</v>
      </c>
      <c r="C1542">
        <v>16</v>
      </c>
      <c r="D1542">
        <f>VLOOKUP(A1542,收盤價!A:C,3,0)</f>
        <v>0</v>
      </c>
      <c r="E1542" s="164">
        <v>-1</v>
      </c>
      <c r="F1542">
        <v>2.71</v>
      </c>
    </row>
    <row r="1543" spans="1:6">
      <c r="A1543">
        <v>5465</v>
      </c>
      <c r="B1543" t="s">
        <v>437</v>
      </c>
      <c r="C1543">
        <v>11.35</v>
      </c>
      <c r="D1543">
        <f>VLOOKUP(A1543,收盤價!A:C,3,0)</f>
        <v>0</v>
      </c>
      <c r="E1543" s="164">
        <v>-1</v>
      </c>
      <c r="F1543">
        <v>2.65</v>
      </c>
    </row>
    <row r="1544" spans="1:6">
      <c r="A1544">
        <v>5604</v>
      </c>
      <c r="B1544" t="s">
        <v>1695</v>
      </c>
      <c r="C1544">
        <v>34.9</v>
      </c>
      <c r="D1544">
        <f>VLOOKUP(A1544,收盤價!A:C,3,0)</f>
        <v>0</v>
      </c>
      <c r="E1544" s="164">
        <v>-1</v>
      </c>
      <c r="F1544">
        <v>2.59</v>
      </c>
    </row>
    <row r="1545" spans="1:6">
      <c r="A1545">
        <v>4907</v>
      </c>
      <c r="B1545" t="s">
        <v>1622</v>
      </c>
      <c r="C1545">
        <v>12.7</v>
      </c>
      <c r="D1545">
        <f>VLOOKUP(A1545,收盤價!A:C,3,0)</f>
        <v>0</v>
      </c>
      <c r="E1545" s="164">
        <v>-1</v>
      </c>
      <c r="F1545">
        <v>2.52</v>
      </c>
    </row>
    <row r="1546" spans="1:6">
      <c r="A1546">
        <v>8097</v>
      </c>
      <c r="B1546" t="s">
        <v>1802</v>
      </c>
      <c r="C1546">
        <v>14</v>
      </c>
      <c r="D1546">
        <f>VLOOKUP(A1546,收盤價!A:C,3,0)</f>
        <v>0</v>
      </c>
      <c r="E1546" s="164">
        <v>-1</v>
      </c>
      <c r="F1546">
        <v>2.46</v>
      </c>
    </row>
    <row r="1547" spans="1:6">
      <c r="A1547">
        <v>4416</v>
      </c>
      <c r="B1547" t="s">
        <v>379</v>
      </c>
      <c r="C1547">
        <v>86.7</v>
      </c>
      <c r="D1547">
        <f>VLOOKUP(A1547,收盤價!A:C,3,0)</f>
        <v>0</v>
      </c>
      <c r="E1547" s="164">
        <v>-1</v>
      </c>
      <c r="F1547">
        <v>2.4</v>
      </c>
    </row>
    <row r="1548" spans="1:6">
      <c r="A1548">
        <v>6199</v>
      </c>
      <c r="B1548" t="s">
        <v>1864</v>
      </c>
      <c r="C1548">
        <v>11.25</v>
      </c>
      <c r="D1548">
        <f>VLOOKUP(A1548,收盤價!A:C,3,0)</f>
        <v>0</v>
      </c>
      <c r="E1548" s="164">
        <v>-1</v>
      </c>
      <c r="F1548">
        <v>2.33</v>
      </c>
    </row>
    <row r="1549" spans="1:6">
      <c r="A1549">
        <v>3545</v>
      </c>
      <c r="B1549" t="s">
        <v>1143</v>
      </c>
      <c r="C1549">
        <v>19.75</v>
      </c>
      <c r="D1549" t="e">
        <f>VLOOKUP(A1549,收盤價!A:C,3,0)</f>
        <v>#N/A</v>
      </c>
      <c r="F1549">
        <v>2.27</v>
      </c>
    </row>
    <row r="1550" spans="1:6">
      <c r="A1550">
        <v>1410</v>
      </c>
      <c r="B1550" t="s">
        <v>597</v>
      </c>
      <c r="C1550">
        <v>21.05</v>
      </c>
      <c r="D1550" t="str">
        <f>VLOOKUP(A1550,收盤價!A:C,3,0)</f>
        <v>--</v>
      </c>
      <c r="F1550">
        <v>2.21</v>
      </c>
    </row>
    <row r="1551" spans="1:6">
      <c r="A1551">
        <v>1470</v>
      </c>
      <c r="B1551" t="s">
        <v>637</v>
      </c>
      <c r="C1551">
        <v>16.100000000000001</v>
      </c>
      <c r="D1551" t="str">
        <f>VLOOKUP(A1551,收盤價!A:C,3,0)</f>
        <v>--</v>
      </c>
      <c r="F1551">
        <v>2.15</v>
      </c>
    </row>
    <row r="1552" spans="1:6">
      <c r="A1552">
        <v>2712</v>
      </c>
      <c r="B1552" t="s">
        <v>992</v>
      </c>
      <c r="C1552">
        <v>22.3</v>
      </c>
      <c r="D1552" t="str">
        <f>VLOOKUP(A1552,收盤價!A:C,3,0)</f>
        <v>--</v>
      </c>
      <c r="F1552">
        <v>2.08</v>
      </c>
    </row>
    <row r="1553" spans="1:6">
      <c r="A1553">
        <v>2722</v>
      </c>
      <c r="B1553" t="s">
        <v>993</v>
      </c>
      <c r="C1553">
        <v>44.35</v>
      </c>
      <c r="D1553" t="str">
        <f>VLOOKUP(A1553,收盤價!A:C,3,0)</f>
        <v>--</v>
      </c>
      <c r="F1553">
        <v>2.02</v>
      </c>
    </row>
    <row r="1554" spans="1:6">
      <c r="A1554">
        <v>4306</v>
      </c>
      <c r="B1554" t="s">
        <v>1189</v>
      </c>
      <c r="C1554">
        <v>11.8</v>
      </c>
      <c r="D1554" t="e">
        <f>VLOOKUP(A1554,收盤價!A:C,3,0)</f>
        <v>#N/A</v>
      </c>
      <c r="F1554">
        <v>1.96</v>
      </c>
    </row>
    <row r="1555" spans="1:6">
      <c r="A1555">
        <v>912398</v>
      </c>
      <c r="B1555" t="s">
        <v>1392</v>
      </c>
      <c r="C1555">
        <v>8.3000000000000007</v>
      </c>
      <c r="D1555" t="str">
        <f>VLOOKUP(A1555,收盤價!A:C,3,0)</f>
        <v>--</v>
      </c>
      <c r="F1555">
        <v>1.89</v>
      </c>
    </row>
    <row r="1556" spans="1:6">
      <c r="A1556">
        <v>2429</v>
      </c>
      <c r="B1556" t="s">
        <v>883</v>
      </c>
      <c r="C1556">
        <v>14.7</v>
      </c>
      <c r="D1556" t="str">
        <f>VLOOKUP(A1556,收盤價!A:C,3,0)</f>
        <v>--</v>
      </c>
      <c r="F1556">
        <v>1.83</v>
      </c>
    </row>
    <row r="1557" spans="1:6">
      <c r="A1557">
        <v>9106</v>
      </c>
      <c r="B1557" t="s">
        <v>1378</v>
      </c>
      <c r="C1557">
        <v>3.52</v>
      </c>
      <c r="D1557" t="str">
        <f>VLOOKUP(A1557,收盤價!A:C,3,0)</f>
        <v>--</v>
      </c>
      <c r="F1557">
        <v>1.77</v>
      </c>
    </row>
    <row r="1558" spans="1:6">
      <c r="A1558">
        <v>2424</v>
      </c>
      <c r="B1558" t="s">
        <v>878</v>
      </c>
      <c r="C1558">
        <v>27.9</v>
      </c>
      <c r="D1558" t="str">
        <f>VLOOKUP(A1558,收盤價!A:C,3,0)</f>
        <v>--</v>
      </c>
      <c r="F1558">
        <v>1.7</v>
      </c>
    </row>
    <row r="1559" spans="1:6">
      <c r="A1559" t="s">
        <v>259</v>
      </c>
      <c r="B1559" t="s">
        <v>580</v>
      </c>
      <c r="C1559">
        <v>20</v>
      </c>
      <c r="D1559" t="str">
        <f>VLOOKUP(A1559,收盤價!A:C,3,0)</f>
        <v>--</v>
      </c>
      <c r="F1559">
        <v>1.64</v>
      </c>
    </row>
    <row r="1560" spans="1:6">
      <c r="A1560">
        <v>911626</v>
      </c>
      <c r="B1560" t="s">
        <v>1389</v>
      </c>
      <c r="C1560">
        <v>4.0999999999999996</v>
      </c>
      <c r="D1560" t="str">
        <f>VLOOKUP(A1560,收盤價!A:C,3,0)</f>
        <v>--</v>
      </c>
      <c r="F1560">
        <v>1.58</v>
      </c>
    </row>
    <row r="1561" spans="1:6">
      <c r="A1561">
        <v>2348</v>
      </c>
      <c r="B1561" t="s">
        <v>823</v>
      </c>
      <c r="C1561">
        <v>0</v>
      </c>
      <c r="F1561">
        <v>1.51</v>
      </c>
    </row>
    <row r="1562" spans="1:6">
      <c r="A1562">
        <v>2718</v>
      </c>
      <c r="B1562" t="s">
        <v>281</v>
      </c>
      <c r="C1562">
        <v>0</v>
      </c>
      <c r="F1562">
        <v>1.45</v>
      </c>
    </row>
    <row r="1563" spans="1:6">
      <c r="A1563">
        <v>2833</v>
      </c>
      <c r="B1563" t="s">
        <v>1855</v>
      </c>
      <c r="C1563">
        <v>27.1</v>
      </c>
      <c r="D1563" t="e">
        <f>VLOOKUP(A1563,收盤價!A:C,3,0)</f>
        <v>#N/A</v>
      </c>
      <c r="F1563">
        <v>1.39</v>
      </c>
    </row>
    <row r="1564" spans="1:6">
      <c r="A1564">
        <v>3115</v>
      </c>
      <c r="B1564" t="s">
        <v>1475</v>
      </c>
      <c r="C1564">
        <v>0</v>
      </c>
      <c r="F1564">
        <v>1.32</v>
      </c>
    </row>
    <row r="1565" spans="1:6">
      <c r="A1565">
        <v>3465</v>
      </c>
      <c r="B1565" t="s">
        <v>1520</v>
      </c>
      <c r="C1565">
        <v>0</v>
      </c>
      <c r="F1565">
        <v>1.26</v>
      </c>
    </row>
    <row r="1566" spans="1:6">
      <c r="A1566">
        <v>3562</v>
      </c>
      <c r="B1566" t="s">
        <v>347</v>
      </c>
      <c r="C1566">
        <v>0</v>
      </c>
      <c r="F1566">
        <v>1.2</v>
      </c>
    </row>
    <row r="1567" spans="1:6">
      <c r="A1567">
        <v>3629</v>
      </c>
      <c r="B1567" t="s">
        <v>1547</v>
      </c>
      <c r="C1567">
        <v>0</v>
      </c>
      <c r="F1567">
        <v>1.1399999999999999</v>
      </c>
    </row>
    <row r="1568" spans="1:6">
      <c r="A1568">
        <v>4304</v>
      </c>
      <c r="B1568" t="s">
        <v>377</v>
      </c>
      <c r="C1568">
        <v>0</v>
      </c>
      <c r="F1568">
        <v>1.07</v>
      </c>
    </row>
    <row r="1569" spans="1:6">
      <c r="A1569">
        <v>4413</v>
      </c>
      <c r="B1569" t="s">
        <v>1590</v>
      </c>
      <c r="C1569">
        <v>0</v>
      </c>
      <c r="F1569">
        <v>1.01</v>
      </c>
    </row>
    <row r="1570" spans="1:6">
      <c r="A1570">
        <v>5205</v>
      </c>
      <c r="B1570" t="s">
        <v>1641</v>
      </c>
      <c r="C1570">
        <v>0</v>
      </c>
      <c r="F1570">
        <v>0.95</v>
      </c>
    </row>
    <row r="1571" spans="1:6">
      <c r="A1571">
        <v>5348</v>
      </c>
      <c r="B1571" t="s">
        <v>1661</v>
      </c>
      <c r="C1571">
        <v>0</v>
      </c>
      <c r="F1571">
        <v>0.88</v>
      </c>
    </row>
    <row r="1572" spans="1:6">
      <c r="A1572">
        <v>5364</v>
      </c>
      <c r="B1572" t="s">
        <v>426</v>
      </c>
      <c r="C1572">
        <v>0</v>
      </c>
      <c r="F1572">
        <v>0.82</v>
      </c>
    </row>
    <row r="1573" spans="1:6">
      <c r="A1573">
        <v>5455</v>
      </c>
      <c r="B1573" t="s">
        <v>435</v>
      </c>
      <c r="C1573">
        <v>0</v>
      </c>
      <c r="F1573">
        <v>0.76</v>
      </c>
    </row>
    <row r="1574" spans="1:6">
      <c r="A1574">
        <v>6144</v>
      </c>
      <c r="B1574" t="s">
        <v>1726</v>
      </c>
      <c r="C1574">
        <v>0</v>
      </c>
      <c r="F1574">
        <v>0.69</v>
      </c>
    </row>
    <row r="1575" spans="1:6">
      <c r="A1575">
        <v>6240</v>
      </c>
      <c r="B1575" t="s">
        <v>1754</v>
      </c>
      <c r="C1575">
        <v>0</v>
      </c>
      <c r="F1575">
        <v>0.63</v>
      </c>
    </row>
    <row r="1576" spans="1:6">
      <c r="A1576">
        <v>6242</v>
      </c>
      <c r="B1576" t="s">
        <v>1755</v>
      </c>
      <c r="C1576">
        <v>0</v>
      </c>
      <c r="F1576">
        <v>0.56999999999999995</v>
      </c>
    </row>
    <row r="1577" spans="1:6">
      <c r="A1577">
        <v>6250</v>
      </c>
      <c r="B1577" t="s">
        <v>485</v>
      </c>
      <c r="C1577">
        <v>13.7</v>
      </c>
      <c r="D1577" t="e">
        <f>VLOOKUP(A1577,收盤價!A:C,3,0)</f>
        <v>#N/A</v>
      </c>
      <c r="F1577">
        <v>0.5</v>
      </c>
    </row>
    <row r="1578" spans="1:6">
      <c r="A1578">
        <v>6291</v>
      </c>
      <c r="B1578" t="s">
        <v>492</v>
      </c>
      <c r="C1578">
        <v>0</v>
      </c>
      <c r="F1578">
        <v>0.44</v>
      </c>
    </row>
    <row r="1579" spans="1:6">
      <c r="A1579">
        <v>8068</v>
      </c>
      <c r="B1579" t="s">
        <v>503</v>
      </c>
      <c r="C1579">
        <v>0</v>
      </c>
      <c r="F1579">
        <v>0.38</v>
      </c>
    </row>
    <row r="1580" spans="1:6">
      <c r="A1580">
        <v>8917</v>
      </c>
      <c r="B1580" t="s">
        <v>527</v>
      </c>
      <c r="C1580">
        <v>0</v>
      </c>
      <c r="F1580">
        <v>0.32</v>
      </c>
    </row>
    <row r="1581" spans="1:6">
      <c r="A1581">
        <v>8921</v>
      </c>
      <c r="B1581" t="s">
        <v>1837</v>
      </c>
      <c r="C1581">
        <v>0</v>
      </c>
      <c r="F1581">
        <v>0.25</v>
      </c>
    </row>
    <row r="1582" spans="1:6">
      <c r="A1582">
        <v>8925</v>
      </c>
      <c r="B1582" t="s">
        <v>1840</v>
      </c>
      <c r="C1582">
        <v>1.9</v>
      </c>
      <c r="D1582" t="e">
        <f>VLOOKUP(A1582,收盤價!A:C,3,0)</f>
        <v>#N/A</v>
      </c>
      <c r="F1582">
        <v>0.19</v>
      </c>
    </row>
    <row r="1583" spans="1:6">
      <c r="A1583">
        <v>911608</v>
      </c>
      <c r="B1583" t="s">
        <v>1383</v>
      </c>
      <c r="C1583">
        <v>0</v>
      </c>
      <c r="F1583">
        <v>0.13</v>
      </c>
    </row>
    <row r="1584" spans="1:6">
      <c r="A1584">
        <v>911622</v>
      </c>
      <c r="B1584" t="s">
        <v>1388</v>
      </c>
      <c r="C1584">
        <v>0</v>
      </c>
      <c r="F1584">
        <v>0.06</v>
      </c>
    </row>
    <row r="1585" spans="1:6">
      <c r="A1585" t="s">
        <v>1856</v>
      </c>
      <c r="B1585" t="s">
        <v>1857</v>
      </c>
      <c r="C1585">
        <v>35.6</v>
      </c>
      <c r="D1585" t="e">
        <f>VLOOKUP(A1585,收盤價!A:C,3,0)</f>
        <v>#N/A</v>
      </c>
      <c r="F1585">
        <v>0</v>
      </c>
    </row>
    <row r="1586" spans="1:6">
      <c r="A1586">
        <v>8934</v>
      </c>
      <c r="B1586" t="s">
        <v>1844</v>
      </c>
      <c r="C1586">
        <v>0</v>
      </c>
      <c r="F1586">
        <v>-0.06</v>
      </c>
    </row>
  </sheetData>
  <sortState ref="A2:E1600">
    <sortCondition descending="1" ref="E1:E1600"/>
  </sortState>
  <phoneticPr fontId="2" type="noConversion"/>
  <pageMargins left="0.7" right="0.7" top="0.75" bottom="0.75" header="0.3" footer="0.3"/>
  <pageSetup paperSize="9" orientation="portrait" r:id="rId1"/>
  <legacyDrawing r:id="rId2"/>
  <controls>
    <control shapeId="54273" r:id="rId3" name="CommandButton1"/>
  </controls>
</worksheet>
</file>

<file path=xl/worksheets/sheet11.xml><?xml version="1.0" encoding="utf-8"?>
<worksheet xmlns="http://schemas.openxmlformats.org/spreadsheetml/2006/main" xmlns:r="http://schemas.openxmlformats.org/officeDocument/2006/relationships">
  <sheetPr codeName="工作表5" filterMode="1"/>
  <dimension ref="A1:AI1519"/>
  <sheetViews>
    <sheetView zoomScale="90" zoomScaleNormal="90" workbookViewId="0">
      <pane xSplit="12" ySplit="1" topLeftCell="M2" activePane="bottomRight" state="frozen"/>
      <selection pane="topRight" activeCell="M1" sqref="M1"/>
      <selection pane="bottomLeft" activeCell="A2" sqref="A2"/>
      <selection pane="bottomRight" activeCell="A228" sqref="A228"/>
    </sheetView>
  </sheetViews>
  <sheetFormatPr defaultRowHeight="16.5"/>
  <cols>
    <col min="1" max="1" width="16.25" style="187" customWidth="1"/>
    <col min="2" max="2" width="11.5" bestFit="1" customWidth="1"/>
    <col min="3" max="3" width="18.25" bestFit="1" customWidth="1"/>
    <col min="4" max="7" width="16.375" bestFit="1" customWidth="1"/>
    <col min="8" max="8" width="13.875" style="200" bestFit="1" customWidth="1"/>
    <col min="9" max="9" width="4.625" hidden="1" customWidth="1"/>
    <col min="10" max="10" width="13.875" style="193" bestFit="1" customWidth="1"/>
    <col min="11" max="11" width="4.625" hidden="1" customWidth="1"/>
    <col min="12" max="12" width="8.125" style="62" customWidth="1"/>
    <col min="13" max="13" width="7.5" style="304" customWidth="1"/>
    <col min="14" max="14" width="7.5" style="301" customWidth="1"/>
    <col min="15" max="22" width="7.375" customWidth="1"/>
    <col min="23" max="23" width="5.875" customWidth="1"/>
    <col min="26" max="26" width="5.875" customWidth="1"/>
    <col min="28" max="28" width="10" bestFit="1" customWidth="1"/>
    <col min="29" max="29" width="12" customWidth="1"/>
    <col min="31" max="31" width="7.125" customWidth="1"/>
    <col min="32" max="32" width="32" bestFit="1" customWidth="1"/>
    <col min="33" max="33" width="7.125" customWidth="1"/>
    <col min="34" max="34" width="32" bestFit="1" customWidth="1"/>
    <col min="35" max="35" width="7.125" customWidth="1"/>
  </cols>
  <sheetData>
    <row r="1" spans="1:29" s="265" customFormat="1" ht="59.25" customHeight="1">
      <c r="A1" s="47" t="s">
        <v>1910</v>
      </c>
      <c r="B1" s="47" t="s">
        <v>1903</v>
      </c>
      <c r="C1" s="259" t="s">
        <v>1922</v>
      </c>
      <c r="D1" s="260" t="s">
        <v>1907</v>
      </c>
      <c r="E1" s="260" t="s">
        <v>1906</v>
      </c>
      <c r="F1" s="261" t="s">
        <v>1904</v>
      </c>
      <c r="G1" s="261" t="s">
        <v>1905</v>
      </c>
      <c r="H1" s="262" t="s">
        <v>1908</v>
      </c>
      <c r="I1" s="260"/>
      <c r="J1" s="263" t="s">
        <v>1909</v>
      </c>
      <c r="K1" s="264"/>
      <c r="L1" s="266"/>
      <c r="M1" s="303"/>
      <c r="N1" s="300"/>
    </row>
    <row r="2" spans="1:29">
      <c r="A2" s="187">
        <v>6111</v>
      </c>
      <c r="C2">
        <v>108</v>
      </c>
      <c r="D2">
        <v>181</v>
      </c>
      <c r="E2">
        <v>28</v>
      </c>
      <c r="F2">
        <v>525</v>
      </c>
      <c r="G2">
        <v>0</v>
      </c>
      <c r="H2" s="200">
        <v>0.52</v>
      </c>
      <c r="I2">
        <f>RANK(0.52,H:H,0)</f>
        <v>3</v>
      </c>
      <c r="J2" s="193">
        <v>0.21</v>
      </c>
      <c r="K2">
        <f>RANK(0.21,J:J,0)</f>
        <v>2</v>
      </c>
      <c r="L2" s="62">
        <f>RANK(303.8,M:M,0)</f>
        <v>1</v>
      </c>
      <c r="M2" s="304">
        <v>303.8</v>
      </c>
      <c r="N2" s="301">
        <f>VLOOKUP(6111,季財報!A:N,8,0)</f>
        <v>4</v>
      </c>
    </row>
    <row r="3" spans="1:29">
      <c r="A3" s="187">
        <v>4413</v>
      </c>
      <c r="C3">
        <v>8</v>
      </c>
      <c r="D3">
        <v>43</v>
      </c>
      <c r="E3">
        <v>2</v>
      </c>
      <c r="F3">
        <v>36</v>
      </c>
      <c r="G3">
        <v>0</v>
      </c>
      <c r="H3" s="200">
        <v>0.18</v>
      </c>
      <c r="I3">
        <f>RANK(0.18,H:H,0)</f>
        <v>11</v>
      </c>
      <c r="J3" s="193">
        <v>0.22</v>
      </c>
      <c r="K3">
        <f>RANK(0.22,J:J,0)</f>
        <v>1</v>
      </c>
      <c r="L3" s="62">
        <f>RANK(126.58,M:M,0)</f>
        <v>2</v>
      </c>
      <c r="M3" s="304">
        <v>126.58</v>
      </c>
      <c r="N3" s="301">
        <f>VLOOKUP(4413,季財報!A:N,8,0)</f>
        <v>4</v>
      </c>
    </row>
    <row r="4" spans="1:29">
      <c r="A4" s="187">
        <v>3205</v>
      </c>
      <c r="C4">
        <v>83</v>
      </c>
      <c r="D4">
        <v>343</v>
      </c>
      <c r="E4">
        <v>117</v>
      </c>
      <c r="F4">
        <v>463</v>
      </c>
      <c r="G4">
        <v>73</v>
      </c>
      <c r="H4" s="200">
        <v>0.18</v>
      </c>
      <c r="I4">
        <f>RANK(0.18,H:H,0)</f>
        <v>11</v>
      </c>
      <c r="J4" s="193">
        <v>0.15</v>
      </c>
      <c r="K4">
        <f>RANK(0.15,J:J,0)</f>
        <v>3</v>
      </c>
      <c r="L4" s="62">
        <f>RANK(108.5,M:M,0)</f>
        <v>3</v>
      </c>
      <c r="M4" s="304">
        <v>94.94</v>
      </c>
      <c r="N4" s="301">
        <f>VLOOKUP(3205,季財報!A:N,8,0)</f>
        <v>5</v>
      </c>
      <c r="O4" s="46"/>
      <c r="P4" s="46"/>
      <c r="Q4" s="46"/>
      <c r="R4" s="46"/>
      <c r="S4" s="46"/>
      <c r="T4" s="46"/>
      <c r="U4" s="46"/>
      <c r="V4" s="46"/>
    </row>
    <row r="5" spans="1:29">
      <c r="A5" s="187">
        <v>3234</v>
      </c>
      <c r="C5">
        <v>340</v>
      </c>
      <c r="D5">
        <v>507</v>
      </c>
      <c r="E5">
        <v>1402</v>
      </c>
      <c r="F5">
        <v>1966</v>
      </c>
      <c r="G5">
        <v>661</v>
      </c>
      <c r="H5" s="200">
        <v>0.18</v>
      </c>
      <c r="I5">
        <f>RANK(0.18,H:H,0)</f>
        <v>11</v>
      </c>
      <c r="J5" s="193">
        <v>0.13</v>
      </c>
      <c r="K5">
        <f>RANK(0.13,J:J,0)</f>
        <v>5</v>
      </c>
      <c r="L5" s="62">
        <f>RANK(94.94,M:M,0)</f>
        <v>4</v>
      </c>
      <c r="M5" s="304">
        <v>72.33</v>
      </c>
      <c r="N5" s="301">
        <f>VLOOKUP(3234,季財報!A:N,8,0)</f>
        <v>6</v>
      </c>
      <c r="O5" s="46"/>
      <c r="P5" s="46"/>
      <c r="Q5" s="46"/>
      <c r="R5" s="46"/>
      <c r="S5" s="46"/>
      <c r="T5" s="46"/>
      <c r="U5" s="46"/>
      <c r="V5" s="46"/>
    </row>
    <row r="6" spans="1:29">
      <c r="A6" s="187">
        <v>2231</v>
      </c>
      <c r="C6">
        <v>313</v>
      </c>
      <c r="D6">
        <v>1269</v>
      </c>
      <c r="E6">
        <v>877</v>
      </c>
      <c r="F6">
        <v>2275</v>
      </c>
      <c r="G6">
        <v>22</v>
      </c>
      <c r="H6" s="200">
        <v>0.15</v>
      </c>
      <c r="I6">
        <f>RANK(0.15,H:H,0)</f>
        <v>17</v>
      </c>
      <c r="J6" s="193">
        <v>0.14000000000000001</v>
      </c>
      <c r="K6">
        <f>RANK(0.14,J:J,0)</f>
        <v>4</v>
      </c>
      <c r="L6" s="62">
        <f>RANK(72.33,M:M,0)</f>
        <v>5</v>
      </c>
      <c r="M6" s="304">
        <v>54.25</v>
      </c>
      <c r="N6" s="301">
        <f>VLOOKUP(2231,季財報!A:N,8,0)</f>
        <v>4</v>
      </c>
      <c r="O6" s="46"/>
      <c r="P6" s="46"/>
      <c r="Q6" s="46"/>
      <c r="R6" s="46"/>
      <c r="S6" s="46"/>
      <c r="T6" s="46"/>
      <c r="U6" s="46"/>
      <c r="V6" s="46"/>
    </row>
    <row r="7" spans="1:29">
      <c r="A7" s="187">
        <v>4733</v>
      </c>
      <c r="C7">
        <v>617</v>
      </c>
      <c r="D7">
        <v>2787</v>
      </c>
      <c r="E7">
        <v>716</v>
      </c>
      <c r="F7">
        <v>3066</v>
      </c>
      <c r="G7">
        <v>2547</v>
      </c>
      <c r="H7" s="200">
        <v>0.18</v>
      </c>
      <c r="I7">
        <f>RANK(0.18,H:H,0)</f>
        <v>11</v>
      </c>
      <c r="J7" s="193">
        <v>0.11</v>
      </c>
      <c r="K7">
        <f>RANK(0.11,J:J,0)</f>
        <v>15</v>
      </c>
      <c r="L7" s="62">
        <f>RANK(58.42,M:M,0)</f>
        <v>6</v>
      </c>
      <c r="M7" s="304">
        <v>54.25</v>
      </c>
      <c r="N7" s="301">
        <f>VLOOKUP(4733,季財報!A:N,8,0)</f>
        <v>2</v>
      </c>
      <c r="O7" s="46"/>
      <c r="P7" s="46"/>
      <c r="Q7" s="46"/>
      <c r="R7" s="46"/>
      <c r="S7" s="46"/>
      <c r="T7" s="46"/>
      <c r="U7" s="46"/>
      <c r="V7" s="46"/>
    </row>
    <row r="8" spans="1:29">
      <c r="A8" s="187">
        <v>5474</v>
      </c>
      <c r="C8">
        <v>78</v>
      </c>
      <c r="D8">
        <v>605</v>
      </c>
      <c r="E8">
        <v>2</v>
      </c>
      <c r="F8">
        <v>617</v>
      </c>
      <c r="G8">
        <v>0</v>
      </c>
      <c r="H8" s="200">
        <v>0.13</v>
      </c>
      <c r="I8">
        <f>RANK(0.13,H:H,0)</f>
        <v>23</v>
      </c>
      <c r="J8" s="193">
        <v>0.13</v>
      </c>
      <c r="K8">
        <f>RANK(0.13,J:J,0)</f>
        <v>5</v>
      </c>
      <c r="L8" s="62">
        <f>RANK(54.25,M:M,0)</f>
        <v>7</v>
      </c>
      <c r="M8" s="304">
        <v>58.42</v>
      </c>
      <c r="N8" s="301">
        <f>VLOOKUP(5474,季財報!A:N,8,0)</f>
        <v>4</v>
      </c>
      <c r="O8" s="46"/>
      <c r="P8" s="46"/>
      <c r="Q8" s="46"/>
      <c r="R8" s="46"/>
      <c r="S8" s="46"/>
      <c r="T8" s="46"/>
      <c r="U8" s="46"/>
      <c r="V8" s="46"/>
    </row>
    <row r="9" spans="1:29">
      <c r="A9" s="187">
        <v>3008</v>
      </c>
      <c r="C9">
        <v>7417</v>
      </c>
      <c r="D9">
        <v>35755</v>
      </c>
      <c r="E9">
        <v>20091</v>
      </c>
      <c r="F9">
        <v>56819</v>
      </c>
      <c r="G9">
        <v>164</v>
      </c>
      <c r="H9" s="200">
        <v>0.13</v>
      </c>
      <c r="I9">
        <f>RANK(0.13,H:H,0)</f>
        <v>23</v>
      </c>
      <c r="J9" s="193">
        <v>0.13</v>
      </c>
      <c r="K9">
        <f>RANK(0.13,J:J,0)</f>
        <v>5</v>
      </c>
      <c r="L9" s="62">
        <f>RANK(54.25,M:M,0)</f>
        <v>7</v>
      </c>
      <c r="M9" s="304">
        <v>47.47</v>
      </c>
      <c r="N9" s="301">
        <f>VLOOKUP(3008,季財報!A:N,8,0)</f>
        <v>3</v>
      </c>
      <c r="O9" s="46"/>
      <c r="P9" s="46"/>
      <c r="Q9" s="46"/>
      <c r="R9" s="46"/>
      <c r="S9" s="46"/>
      <c r="T9" s="46"/>
      <c r="U9" s="46"/>
      <c r="V9" s="46"/>
    </row>
    <row r="10" spans="1:29">
      <c r="A10" s="187">
        <v>6240</v>
      </c>
      <c r="C10">
        <v>35</v>
      </c>
      <c r="D10">
        <v>246</v>
      </c>
      <c r="E10">
        <v>4</v>
      </c>
      <c r="F10">
        <v>297</v>
      </c>
      <c r="G10">
        <v>0</v>
      </c>
      <c r="H10" s="200">
        <v>0.14000000000000001</v>
      </c>
      <c r="I10">
        <f>RANK(0.14,H:H,0)</f>
        <v>20</v>
      </c>
      <c r="J10" s="193">
        <v>0.12</v>
      </c>
      <c r="K10">
        <f>RANK(0.12,J:J,0)</f>
        <v>9</v>
      </c>
      <c r="L10" s="62">
        <f>RANK(52.38,M:M,0)</f>
        <v>9</v>
      </c>
      <c r="M10" s="304">
        <v>47.47</v>
      </c>
      <c r="N10" s="301">
        <f>VLOOKUP(6240,季財報!A:N,8,0)</f>
        <v>2</v>
      </c>
      <c r="O10" s="46"/>
      <c r="P10" s="46"/>
      <c r="Q10" s="46"/>
      <c r="R10" s="46"/>
      <c r="S10" s="46"/>
      <c r="T10" s="46"/>
      <c r="U10" s="46"/>
      <c r="V10" s="46"/>
    </row>
    <row r="11" spans="1:29">
      <c r="A11" s="187">
        <v>6409</v>
      </c>
      <c r="C11">
        <v>462</v>
      </c>
      <c r="D11">
        <v>2769</v>
      </c>
      <c r="E11">
        <v>905</v>
      </c>
      <c r="F11">
        <v>3759</v>
      </c>
      <c r="G11">
        <v>0</v>
      </c>
      <c r="H11" s="200">
        <v>0.13</v>
      </c>
      <c r="I11">
        <f>RANK(0.13,H:H,0)</f>
        <v>23</v>
      </c>
      <c r="J11" s="193">
        <v>0.12</v>
      </c>
      <c r="K11">
        <f>RANK(0.12,J:J,0)</f>
        <v>9</v>
      </c>
      <c r="L11" s="62">
        <f>RANK(47.47,M:M,0)</f>
        <v>10</v>
      </c>
      <c r="M11" s="304">
        <v>39.97</v>
      </c>
      <c r="N11" s="301">
        <f>VLOOKUP(6409,季財報!A:N,8,0)</f>
        <v>3</v>
      </c>
      <c r="O11" s="46"/>
      <c r="P11" s="46"/>
      <c r="Q11" s="46"/>
      <c r="R11" s="46"/>
      <c r="S11" s="46"/>
      <c r="T11" s="46"/>
      <c r="U11" s="46"/>
      <c r="V11" s="46"/>
    </row>
    <row r="12" spans="1:29">
      <c r="A12" s="187">
        <v>5904</v>
      </c>
      <c r="C12">
        <v>332</v>
      </c>
      <c r="D12">
        <v>814</v>
      </c>
      <c r="E12">
        <v>1676</v>
      </c>
      <c r="F12">
        <v>2509</v>
      </c>
      <c r="G12">
        <v>349</v>
      </c>
      <c r="H12" s="200">
        <v>0.13</v>
      </c>
      <c r="I12">
        <f>RANK(0.13,H:H,0)</f>
        <v>23</v>
      </c>
      <c r="J12" s="193">
        <v>0.12</v>
      </c>
      <c r="K12">
        <f>RANK(0.12,J:J,0)</f>
        <v>9</v>
      </c>
      <c r="L12" s="62">
        <f>RANK(47.47,M:M,0)</f>
        <v>10</v>
      </c>
      <c r="M12" s="304">
        <v>37.049999999999997</v>
      </c>
      <c r="N12" s="301">
        <f>VLOOKUP(5904,季財報!A:N,8,0)</f>
        <v>4</v>
      </c>
      <c r="O12" s="46"/>
      <c r="P12" s="46"/>
      <c r="Q12" s="46"/>
      <c r="R12" s="46"/>
      <c r="S12" s="46"/>
      <c r="T12" s="46"/>
      <c r="U12" s="46"/>
      <c r="V12" s="46"/>
    </row>
    <row r="13" spans="1:29">
      <c r="A13" s="187">
        <v>1599</v>
      </c>
      <c r="C13">
        <v>133</v>
      </c>
      <c r="D13">
        <v>508</v>
      </c>
      <c r="E13">
        <v>524</v>
      </c>
      <c r="F13">
        <v>1194</v>
      </c>
      <c r="G13">
        <v>0</v>
      </c>
      <c r="H13" s="200">
        <v>0.13</v>
      </c>
      <c r="I13">
        <f>RANK(0.13,H:H,0)</f>
        <v>23</v>
      </c>
      <c r="J13" s="193">
        <v>0.11</v>
      </c>
      <c r="K13">
        <f>RANK(0.11,J:J,0)</f>
        <v>15</v>
      </c>
      <c r="L13" s="62">
        <f>RANK(39.97,M:M,0)</f>
        <v>12</v>
      </c>
      <c r="M13" s="304">
        <v>32.32</v>
      </c>
      <c r="N13" s="301">
        <f>VLOOKUP(1599,季財報!A:N,8,0)</f>
        <v>4</v>
      </c>
      <c r="O13" s="46"/>
      <c r="P13" s="46"/>
      <c r="Q13" s="46"/>
      <c r="R13" s="46"/>
      <c r="S13" s="46"/>
      <c r="T13" s="46"/>
      <c r="U13" s="46"/>
      <c r="V13" s="46"/>
    </row>
    <row r="14" spans="1:29">
      <c r="A14" s="187">
        <v>3691</v>
      </c>
      <c r="C14">
        <v>880</v>
      </c>
      <c r="D14">
        <v>5316</v>
      </c>
      <c r="E14">
        <v>2303</v>
      </c>
      <c r="F14">
        <v>5739</v>
      </c>
      <c r="G14">
        <v>1812</v>
      </c>
      <c r="H14" s="200">
        <v>0.12</v>
      </c>
      <c r="I14">
        <f>RANK(0.12,H:H,0)</f>
        <v>32</v>
      </c>
      <c r="J14" s="193">
        <v>0.12</v>
      </c>
      <c r="K14">
        <f>RANK(0.12,J:J,0)</f>
        <v>9</v>
      </c>
      <c r="L14" s="62">
        <f>RANK(37.05,M:M,0)</f>
        <v>13</v>
      </c>
      <c r="M14" s="304">
        <v>32.32</v>
      </c>
      <c r="N14" s="301">
        <f>VLOOKUP(3691,季財報!A:N,8,0)</f>
        <v>3</v>
      </c>
      <c r="O14" s="46"/>
      <c r="P14" s="46"/>
      <c r="Q14" s="46"/>
      <c r="R14" s="46"/>
      <c r="S14" s="46"/>
      <c r="T14" s="46"/>
      <c r="U14" s="46"/>
      <c r="V14" s="46"/>
    </row>
    <row r="15" spans="1:29">
      <c r="A15" s="187">
        <v>1256</v>
      </c>
      <c r="C15">
        <v>108</v>
      </c>
      <c r="D15">
        <v>305</v>
      </c>
      <c r="E15">
        <v>422</v>
      </c>
      <c r="F15">
        <v>915</v>
      </c>
      <c r="G15">
        <v>322</v>
      </c>
      <c r="H15" s="200">
        <v>0.15</v>
      </c>
      <c r="I15">
        <f>RANK(0.15,H:H,0)</f>
        <v>17</v>
      </c>
      <c r="J15" s="193">
        <v>0.09</v>
      </c>
      <c r="K15">
        <f>RANK(0.09,J:J,0)</f>
        <v>29</v>
      </c>
      <c r="L15" s="62">
        <f>RANK(33.02,M:M,0)</f>
        <v>14</v>
      </c>
      <c r="M15" s="304">
        <v>33.020000000000003</v>
      </c>
      <c r="N15" s="301">
        <f>VLOOKUP(1256,季財報!A:N,8,0)</f>
        <v>1</v>
      </c>
      <c r="O15" s="46"/>
      <c r="P15" s="46"/>
      <c r="Q15" s="46"/>
      <c r="R15" s="46"/>
      <c r="S15" s="46"/>
      <c r="T15" s="46"/>
      <c r="U15" s="46"/>
      <c r="V15" s="46"/>
    </row>
    <row r="16" spans="1:29">
      <c r="A16" s="187">
        <v>8086</v>
      </c>
      <c r="C16">
        <v>334</v>
      </c>
      <c r="D16">
        <v>1451</v>
      </c>
      <c r="E16">
        <v>1323</v>
      </c>
      <c r="F16">
        <v>2914</v>
      </c>
      <c r="G16">
        <v>89</v>
      </c>
      <c r="H16" s="200">
        <v>0.12</v>
      </c>
      <c r="I16">
        <f>RANK(0.12,H:H,0)</f>
        <v>32</v>
      </c>
      <c r="J16" s="193">
        <v>0.11</v>
      </c>
      <c r="K16">
        <f>RANK(0.11,J:J,0)</f>
        <v>15</v>
      </c>
      <c r="L16" s="62">
        <f>RANK(32.32,M:M,0)</f>
        <v>15</v>
      </c>
      <c r="M16" s="304">
        <v>29.78</v>
      </c>
      <c r="N16" s="301">
        <f>VLOOKUP(8086,季財報!A:N,8,0)</f>
        <v>5</v>
      </c>
      <c r="O16" s="46"/>
      <c r="P16" s="46"/>
      <c r="Q16" s="46"/>
      <c r="R16" s="46"/>
      <c r="S16" s="46"/>
      <c r="T16" s="46"/>
      <c r="U16" s="46"/>
      <c r="V16" s="46"/>
      <c r="AC16" t="s">
        <v>1937</v>
      </c>
    </row>
    <row r="17" spans="1:35">
      <c r="A17" s="187">
        <v>3450</v>
      </c>
      <c r="C17">
        <v>428</v>
      </c>
      <c r="D17">
        <v>1734</v>
      </c>
      <c r="E17">
        <v>1902</v>
      </c>
      <c r="F17">
        <v>3880</v>
      </c>
      <c r="G17">
        <v>21</v>
      </c>
      <c r="H17" s="200">
        <v>0.12</v>
      </c>
      <c r="I17">
        <f>RANK(0.12,H:H,0)</f>
        <v>32</v>
      </c>
      <c r="J17" s="193">
        <v>0.11</v>
      </c>
      <c r="K17">
        <f>RANK(0.11,J:J,0)</f>
        <v>15</v>
      </c>
      <c r="L17" s="62">
        <f>RANK(32.32,M:M,0)</f>
        <v>15</v>
      </c>
      <c r="M17" s="304">
        <v>28.66</v>
      </c>
      <c r="N17" s="301">
        <f>VLOOKUP(3450,季財報!A:N,8,0)</f>
        <v>3</v>
      </c>
      <c r="O17" s="46"/>
      <c r="P17" s="46"/>
      <c r="Q17" s="46"/>
      <c r="R17" s="46"/>
      <c r="S17" s="46"/>
      <c r="T17" s="46"/>
      <c r="U17" s="46"/>
      <c r="V17" s="46"/>
      <c r="AB17" t="s">
        <v>1938</v>
      </c>
      <c r="AC17" t="s">
        <v>1939</v>
      </c>
    </row>
    <row r="18" spans="1:35">
      <c r="A18" s="187">
        <v>6238</v>
      </c>
      <c r="C18">
        <v>116</v>
      </c>
      <c r="D18">
        <v>429</v>
      </c>
      <c r="E18">
        <v>734</v>
      </c>
      <c r="F18">
        <v>801</v>
      </c>
      <c r="G18">
        <v>101</v>
      </c>
      <c r="H18" s="200">
        <v>0.1</v>
      </c>
      <c r="I18">
        <f>RANK(0.1,H:H,0)</f>
        <v>46</v>
      </c>
      <c r="J18" s="193">
        <v>0.13</v>
      </c>
      <c r="K18">
        <f>RANK(0.13,J:J,0)</f>
        <v>5</v>
      </c>
      <c r="L18" s="62">
        <f>RANK(29.78,M:M,0)</f>
        <v>17</v>
      </c>
      <c r="M18" s="304">
        <v>28.66</v>
      </c>
      <c r="N18" s="301">
        <f>VLOOKUP(6238,季財報!A:N,8,0)</f>
        <v>4</v>
      </c>
      <c r="O18" s="46"/>
      <c r="P18" s="46"/>
      <c r="Q18" s="46"/>
      <c r="R18" s="46"/>
      <c r="S18" s="46"/>
      <c r="T18" s="46"/>
      <c r="U18" s="46"/>
      <c r="V18" s="46"/>
    </row>
    <row r="19" spans="1:35">
      <c r="A19" s="187">
        <v>1476</v>
      </c>
      <c r="C19">
        <v>1268</v>
      </c>
      <c r="D19">
        <v>3779</v>
      </c>
      <c r="E19">
        <v>6583</v>
      </c>
      <c r="F19">
        <v>10467</v>
      </c>
      <c r="G19">
        <v>2152</v>
      </c>
      <c r="H19" s="200">
        <v>0.12</v>
      </c>
      <c r="I19">
        <f>RANK(0.12,H:H,0)</f>
        <v>32</v>
      </c>
      <c r="J19" s="193">
        <v>0.1</v>
      </c>
      <c r="K19">
        <f>RANK(0.1,J:J,0)</f>
        <v>21</v>
      </c>
      <c r="L19" s="62">
        <f>RANK(28.66,M:M,0)</f>
        <v>18</v>
      </c>
      <c r="M19" s="304">
        <v>28.66</v>
      </c>
      <c r="N19" s="301">
        <f>VLOOKUP(1476,季財報!A:N,8,0)</f>
        <v>3</v>
      </c>
      <c r="O19" s="46"/>
      <c r="P19" s="46"/>
      <c r="Q19" s="46"/>
      <c r="R19" s="46"/>
      <c r="S19" s="46"/>
      <c r="T19" s="46"/>
      <c r="U19" s="46"/>
      <c r="V19" s="46"/>
    </row>
    <row r="20" spans="1:35">
      <c r="A20" s="187">
        <v>3611</v>
      </c>
      <c r="C20">
        <v>184</v>
      </c>
      <c r="D20">
        <v>981</v>
      </c>
      <c r="E20">
        <v>628</v>
      </c>
      <c r="F20">
        <v>1666</v>
      </c>
      <c r="G20">
        <v>58</v>
      </c>
      <c r="H20" s="200">
        <v>0.11</v>
      </c>
      <c r="I20">
        <f>RANK(0.11,H:H,0)</f>
        <v>38</v>
      </c>
      <c r="J20" s="193">
        <v>0.11</v>
      </c>
      <c r="K20">
        <f>RANK(0.11,J:J,0)</f>
        <v>15</v>
      </c>
      <c r="L20" s="62">
        <f>RANK(28.66,M:M,0)</f>
        <v>18</v>
      </c>
      <c r="M20" s="304">
        <v>25.75</v>
      </c>
      <c r="N20" s="301">
        <f>VLOOKUP(3611,季財報!A:N,8,0)</f>
        <v>3</v>
      </c>
      <c r="O20" s="46"/>
      <c r="P20" s="46"/>
      <c r="Q20" s="46"/>
      <c r="R20" s="46"/>
      <c r="S20" s="46"/>
      <c r="T20" s="46"/>
      <c r="U20" s="46"/>
      <c r="V20" s="46"/>
    </row>
    <row r="21" spans="1:35">
      <c r="A21" s="187">
        <v>3056</v>
      </c>
      <c r="C21">
        <v>568</v>
      </c>
      <c r="D21">
        <v>3487</v>
      </c>
      <c r="E21">
        <v>131</v>
      </c>
      <c r="F21">
        <v>3928</v>
      </c>
      <c r="G21">
        <v>3472</v>
      </c>
      <c r="H21" s="200">
        <v>0.16</v>
      </c>
      <c r="I21">
        <f>RANK(0.16,H:H,0)</f>
        <v>16</v>
      </c>
      <c r="J21" s="193">
        <v>0.08</v>
      </c>
      <c r="K21">
        <f>RANK(0.08,J:J,0)</f>
        <v>37</v>
      </c>
      <c r="L21" s="62">
        <f>RANK(28.66,M:M,0)</f>
        <v>18</v>
      </c>
      <c r="M21" s="304">
        <v>25.75</v>
      </c>
      <c r="N21" s="301">
        <f>VLOOKUP(3056,季財報!A:N,8,0)</f>
        <v>0</v>
      </c>
      <c r="O21" s="46"/>
      <c r="P21" s="46"/>
      <c r="Q21" s="46"/>
      <c r="R21" s="46"/>
      <c r="S21" s="46"/>
      <c r="T21" s="46"/>
      <c r="U21" s="46"/>
      <c r="V21" s="46"/>
    </row>
    <row r="22" spans="1:35">
      <c r="A22" s="187">
        <v>5274</v>
      </c>
      <c r="C22">
        <v>109</v>
      </c>
      <c r="D22">
        <v>913</v>
      </c>
      <c r="E22">
        <v>48</v>
      </c>
      <c r="F22">
        <v>973</v>
      </c>
      <c r="G22">
        <v>120</v>
      </c>
      <c r="H22" s="200">
        <v>0.11</v>
      </c>
      <c r="I22">
        <f>RANK(0.11,H:H,0)</f>
        <v>38</v>
      </c>
      <c r="J22" s="193">
        <v>0.1</v>
      </c>
      <c r="K22">
        <f>RANK(0.1,J:J,0)</f>
        <v>21</v>
      </c>
      <c r="L22" s="62">
        <f>RANK(25.75,M:M,0)</f>
        <v>21</v>
      </c>
      <c r="M22" s="304">
        <v>24.9</v>
      </c>
      <c r="N22" s="301">
        <f>VLOOKUP(5274,季財報!A:N,8,0)</f>
        <v>6</v>
      </c>
      <c r="O22" s="46"/>
      <c r="P22" s="46"/>
      <c r="Q22" s="46"/>
      <c r="R22" s="46"/>
      <c r="S22" s="46"/>
      <c r="T22" s="46"/>
      <c r="U22" s="46"/>
      <c r="V22" s="46"/>
    </row>
    <row r="23" spans="1:35">
      <c r="A23" s="187">
        <v>4137</v>
      </c>
      <c r="C23">
        <v>356</v>
      </c>
      <c r="D23">
        <v>2183</v>
      </c>
      <c r="E23">
        <v>1121</v>
      </c>
      <c r="F23">
        <v>3573</v>
      </c>
      <c r="G23">
        <v>0</v>
      </c>
      <c r="H23" s="200">
        <v>0.11</v>
      </c>
      <c r="I23">
        <f>RANK(0.11,H:H,0)</f>
        <v>38</v>
      </c>
      <c r="J23" s="193">
        <v>0.1</v>
      </c>
      <c r="K23">
        <f>RANK(0.1,J:J,0)</f>
        <v>21</v>
      </c>
      <c r="L23" s="62">
        <f>RANK(25.75,M:M,0)</f>
        <v>21</v>
      </c>
      <c r="M23" s="304">
        <v>24.9</v>
      </c>
      <c r="N23" s="301">
        <f>VLOOKUP(4137,季財報!A:N,8,0)</f>
        <v>2</v>
      </c>
      <c r="O23" s="46"/>
      <c r="P23" s="46"/>
      <c r="Q23" s="46"/>
      <c r="R23" s="46"/>
      <c r="S23" s="46"/>
      <c r="T23" s="46"/>
      <c r="U23" s="46"/>
      <c r="V23" s="46"/>
    </row>
    <row r="24" spans="1:35">
      <c r="A24" s="187">
        <v>8433</v>
      </c>
      <c r="C24">
        <v>93</v>
      </c>
      <c r="D24">
        <v>507</v>
      </c>
      <c r="E24">
        <v>202</v>
      </c>
      <c r="F24">
        <v>1212</v>
      </c>
      <c r="G24">
        <v>0</v>
      </c>
      <c r="H24" s="200">
        <v>0.13</v>
      </c>
      <c r="I24">
        <f>RANK(0.13,H:H,0)</f>
        <v>23</v>
      </c>
      <c r="J24" s="193">
        <v>0.08</v>
      </c>
      <c r="K24">
        <f>RANK(0.08,J:J,0)</f>
        <v>37</v>
      </c>
      <c r="L24" s="62">
        <f>RANK(25.32,M:M,0)</f>
        <v>23</v>
      </c>
      <c r="M24" s="304">
        <v>22.67</v>
      </c>
      <c r="N24" s="301">
        <f>VLOOKUP(8433,季財報!A:N,8,0)</f>
        <v>4</v>
      </c>
      <c r="O24" s="46"/>
      <c r="P24" s="46"/>
      <c r="Q24" s="46"/>
      <c r="R24" s="46"/>
      <c r="S24" s="46"/>
      <c r="T24" s="46"/>
      <c r="U24" s="46"/>
      <c r="V24" s="46"/>
    </row>
    <row r="25" spans="1:35">
      <c r="A25" s="187">
        <v>2383</v>
      </c>
      <c r="C25">
        <v>1035</v>
      </c>
      <c r="D25">
        <v>5884</v>
      </c>
      <c r="E25">
        <v>4858</v>
      </c>
      <c r="F25">
        <v>9336</v>
      </c>
      <c r="G25">
        <v>474</v>
      </c>
      <c r="H25" s="200">
        <v>0.1</v>
      </c>
      <c r="I25">
        <f>RANK(0.1,H:H,0)</f>
        <v>46</v>
      </c>
      <c r="J25" s="193">
        <v>0.11</v>
      </c>
      <c r="K25">
        <f>RANK(0.11,J:J,0)</f>
        <v>15</v>
      </c>
      <c r="L25" s="62">
        <f>RANK(24.9,M:M,0)</f>
        <v>24</v>
      </c>
      <c r="M25" s="304">
        <v>23.02</v>
      </c>
      <c r="N25" s="301">
        <f>VLOOKUP(2383,季財報!A:N,8,0)</f>
        <v>5</v>
      </c>
      <c r="O25" s="46"/>
      <c r="P25" s="46"/>
      <c r="Q25" s="46"/>
      <c r="R25" s="46"/>
      <c r="S25" s="46"/>
      <c r="T25" s="46"/>
      <c r="U25" s="46"/>
      <c r="V25" s="46"/>
    </row>
    <row r="26" spans="1:35">
      <c r="A26" s="187">
        <v>6294</v>
      </c>
      <c r="C26">
        <v>18</v>
      </c>
      <c r="D26">
        <v>3</v>
      </c>
      <c r="E26">
        <v>34</v>
      </c>
      <c r="F26">
        <v>265</v>
      </c>
      <c r="G26">
        <v>0</v>
      </c>
      <c r="H26" s="200">
        <v>0.49</v>
      </c>
      <c r="I26">
        <f>RANK(0.49,H:H,0)</f>
        <v>4</v>
      </c>
      <c r="J26" s="193">
        <v>7.0000000000000007E-2</v>
      </c>
      <c r="K26">
        <f>RANK(0.07,J:J,0)</f>
        <v>57</v>
      </c>
      <c r="L26" s="62">
        <f>RANK(24.9,M:M,0)</f>
        <v>24</v>
      </c>
      <c r="M26" s="304">
        <v>22.67</v>
      </c>
      <c r="N26" s="301">
        <f>VLOOKUP(6294,季財報!A:N,8,0)</f>
        <v>2</v>
      </c>
      <c r="O26" s="46"/>
      <c r="P26" s="46"/>
      <c r="Q26" s="46"/>
      <c r="R26" s="46"/>
      <c r="S26" s="46"/>
      <c r="T26" s="46"/>
      <c r="U26" s="46"/>
      <c r="V26" s="46"/>
    </row>
    <row r="27" spans="1:35">
      <c r="A27" s="187">
        <v>2722</v>
      </c>
      <c r="C27">
        <v>105</v>
      </c>
      <c r="D27">
        <v>0</v>
      </c>
      <c r="E27">
        <v>395</v>
      </c>
      <c r="F27">
        <v>1581</v>
      </c>
      <c r="G27">
        <v>0</v>
      </c>
      <c r="H27" s="200">
        <v>0.27</v>
      </c>
      <c r="I27">
        <f>RANK(0.27,H:H,0)</f>
        <v>9</v>
      </c>
      <c r="J27" s="193">
        <v>7.0000000000000007E-2</v>
      </c>
      <c r="K27">
        <f>RANK(0.07,J:J,0)</f>
        <v>57</v>
      </c>
      <c r="L27" s="62">
        <f>RANK(23.02,M:M,0)</f>
        <v>26</v>
      </c>
      <c r="M27" s="304">
        <v>22.67</v>
      </c>
      <c r="N27" s="301">
        <f>VLOOKUP(2722,季財報!A:N,8,0)</f>
        <v>1</v>
      </c>
      <c r="O27" s="46"/>
      <c r="P27" s="46"/>
      <c r="Q27" s="46"/>
      <c r="R27" s="46"/>
      <c r="S27" s="46"/>
      <c r="T27" s="46"/>
      <c r="U27" s="46"/>
      <c r="V27" s="46"/>
    </row>
    <row r="28" spans="1:35">
      <c r="A28" s="187">
        <v>4190</v>
      </c>
      <c r="C28">
        <v>101</v>
      </c>
      <c r="D28">
        <v>0</v>
      </c>
      <c r="E28">
        <v>991</v>
      </c>
      <c r="F28">
        <v>991</v>
      </c>
      <c r="G28">
        <v>0</v>
      </c>
      <c r="H28" s="200">
        <v>0.1</v>
      </c>
      <c r="I28">
        <f>RANK(0.1,H:H,0)</f>
        <v>46</v>
      </c>
      <c r="J28" s="193">
        <v>0.1</v>
      </c>
      <c r="K28">
        <f>RANK(0.1,J:J,0)</f>
        <v>21</v>
      </c>
      <c r="L28" s="62">
        <f>RANK(22.67,M:M,0)</f>
        <v>27</v>
      </c>
      <c r="M28" s="304">
        <v>21.1</v>
      </c>
      <c r="N28" s="301">
        <f>VLOOKUP(4190,季財報!A:N,8,0)</f>
        <v>2</v>
      </c>
      <c r="O28" s="46"/>
      <c r="P28" s="46"/>
      <c r="Q28" s="46"/>
      <c r="R28" s="46"/>
      <c r="S28" s="46"/>
      <c r="T28" s="46"/>
      <c r="U28" s="46"/>
      <c r="V28" s="46"/>
      <c r="AC28" t="s">
        <v>1941</v>
      </c>
      <c r="AF28" t="s">
        <v>1942</v>
      </c>
      <c r="AH28" t="s">
        <v>1943</v>
      </c>
    </row>
    <row r="29" spans="1:35">
      <c r="A29" s="187">
        <v>3081</v>
      </c>
      <c r="C29">
        <v>320</v>
      </c>
      <c r="D29">
        <v>2345</v>
      </c>
      <c r="E29">
        <v>872</v>
      </c>
      <c r="F29">
        <v>3279</v>
      </c>
      <c r="G29">
        <v>0</v>
      </c>
      <c r="H29" s="200">
        <v>0.1</v>
      </c>
      <c r="I29">
        <f>RANK(0.1,H:H,0)</f>
        <v>46</v>
      </c>
      <c r="J29" s="193">
        <v>0.1</v>
      </c>
      <c r="K29">
        <f>RANK(0.1,J:J,0)</f>
        <v>21</v>
      </c>
      <c r="L29" s="62">
        <f>RANK(22.67,M:M,0)</f>
        <v>27</v>
      </c>
      <c r="M29" s="304">
        <v>22.01</v>
      </c>
      <c r="N29" s="301">
        <f>VLOOKUP(3081,季財報!A:N,8,0)</f>
        <v>1</v>
      </c>
      <c r="O29" s="46"/>
      <c r="P29" s="46"/>
      <c r="Q29" s="46"/>
      <c r="R29" s="46"/>
      <c r="S29" s="46"/>
      <c r="T29" s="46"/>
      <c r="U29" s="46"/>
      <c r="V29" s="46"/>
      <c r="AB29" t="s">
        <v>1866</v>
      </c>
      <c r="AC29" t="s">
        <v>1940</v>
      </c>
      <c r="AE29" t="s">
        <v>1866</v>
      </c>
      <c r="AF29" t="s">
        <v>1940</v>
      </c>
      <c r="AG29" t="s">
        <v>1866</v>
      </c>
      <c r="AH29" t="s">
        <v>1940</v>
      </c>
      <c r="AI29" t="s">
        <v>1866</v>
      </c>
    </row>
    <row r="30" spans="1:35">
      <c r="A30" s="187">
        <v>5287</v>
      </c>
      <c r="C30">
        <v>164</v>
      </c>
      <c r="D30">
        <v>714</v>
      </c>
      <c r="E30">
        <v>727</v>
      </c>
      <c r="F30">
        <v>1738</v>
      </c>
      <c r="G30">
        <v>0</v>
      </c>
      <c r="H30" s="200">
        <v>0.11</v>
      </c>
      <c r="I30">
        <f>RANK(0.11,H:H,0)</f>
        <v>38</v>
      </c>
      <c r="J30" s="193">
        <v>0.09</v>
      </c>
      <c r="K30">
        <f>RANK(0.09,J:J,0)</f>
        <v>29</v>
      </c>
      <c r="L30" s="62">
        <f>RANK(22.67,M:M,0)</f>
        <v>27</v>
      </c>
      <c r="M30" s="304">
        <v>20.25</v>
      </c>
      <c r="N30" s="301">
        <f>VLOOKUP(5287,季財報!A:N,8,0)</f>
        <v>2</v>
      </c>
      <c r="O30" s="46"/>
      <c r="P30" s="46"/>
      <c r="Q30" s="46"/>
      <c r="R30" s="46"/>
      <c r="S30" s="46"/>
      <c r="T30" s="46"/>
      <c r="U30" s="46"/>
      <c r="V30" s="46"/>
      <c r="AB30">
        <v>93.98</v>
      </c>
      <c r="AC30" s="46">
        <v>1263665</v>
      </c>
      <c r="AE30">
        <v>94.6</v>
      </c>
      <c r="AF30" s="46">
        <v>3682155</v>
      </c>
      <c r="AG30">
        <v>93.74</v>
      </c>
      <c r="AH30" s="46">
        <v>3698242</v>
      </c>
      <c r="AI30">
        <v>94.49</v>
      </c>
    </row>
    <row r="31" spans="1:35">
      <c r="A31" s="187">
        <v>5315</v>
      </c>
      <c r="C31">
        <v>95</v>
      </c>
      <c r="D31">
        <v>749</v>
      </c>
      <c r="E31">
        <v>225</v>
      </c>
      <c r="F31">
        <v>984</v>
      </c>
      <c r="G31">
        <v>2</v>
      </c>
      <c r="H31" s="200">
        <v>0.1</v>
      </c>
      <c r="I31">
        <f>RANK(0.1,H:H,0)</f>
        <v>46</v>
      </c>
      <c r="J31" s="193">
        <v>0.1</v>
      </c>
      <c r="K31">
        <f>RANK(0.1,J:J,0)</f>
        <v>21</v>
      </c>
      <c r="L31" s="62">
        <f>RANK(22.67,M:M,0)</f>
        <v>27</v>
      </c>
      <c r="M31" s="304">
        <v>18.989999999999998</v>
      </c>
      <c r="N31" s="301">
        <f>VLOOKUP(5315,季財報!A:N,8,0)</f>
        <v>3</v>
      </c>
      <c r="O31" s="46"/>
      <c r="P31" s="46"/>
      <c r="Q31" s="46"/>
      <c r="R31" s="46"/>
      <c r="S31" s="46"/>
      <c r="T31" s="46"/>
      <c r="U31" s="46"/>
      <c r="V31" s="46"/>
      <c r="AB31">
        <v>6.02</v>
      </c>
      <c r="AC31" s="46">
        <v>72144</v>
      </c>
      <c r="AE31">
        <v>5.4</v>
      </c>
      <c r="AF31" s="46">
        <v>245855</v>
      </c>
      <c r="AG31">
        <v>6.26</v>
      </c>
      <c r="AH31" s="46">
        <v>215511</v>
      </c>
      <c r="AI31">
        <v>5.51</v>
      </c>
    </row>
    <row r="32" spans="1:35">
      <c r="A32" s="187">
        <v>2912</v>
      </c>
      <c r="C32">
        <v>2546</v>
      </c>
      <c r="D32">
        <v>0</v>
      </c>
      <c r="E32">
        <v>21811</v>
      </c>
      <c r="F32">
        <v>29623</v>
      </c>
      <c r="G32">
        <v>3289</v>
      </c>
      <c r="H32" s="200">
        <v>0.12</v>
      </c>
      <c r="I32">
        <f>RANK(0.12,H:H,0)</f>
        <v>32</v>
      </c>
      <c r="J32" s="193">
        <v>0.08</v>
      </c>
      <c r="K32">
        <f>RANK(0.08,J:J,0)</f>
        <v>37</v>
      </c>
      <c r="L32" s="62">
        <f>RANK(22.01,M:M,0)</f>
        <v>31</v>
      </c>
      <c r="M32" s="304">
        <v>1.1399999999999999</v>
      </c>
      <c r="N32" s="301">
        <f>VLOOKUP(2912,季財報!A:N,8,0)</f>
        <v>2</v>
      </c>
      <c r="O32" s="46"/>
      <c r="P32" s="46"/>
      <c r="Q32" s="46"/>
      <c r="R32" s="46"/>
      <c r="S32" s="46"/>
      <c r="T32" s="46"/>
      <c r="U32" s="46"/>
      <c r="V32" s="46"/>
      <c r="AB32">
        <v>100</v>
      </c>
      <c r="AC32" s="46">
        <v>1335809</v>
      </c>
      <c r="AE32">
        <v>100</v>
      </c>
      <c r="AF32" s="46">
        <v>3928010</v>
      </c>
      <c r="AG32">
        <v>100</v>
      </c>
      <c r="AH32" s="46">
        <v>3913753</v>
      </c>
      <c r="AI32">
        <v>100</v>
      </c>
    </row>
    <row r="33" spans="1:35">
      <c r="A33" s="187">
        <v>6456</v>
      </c>
      <c r="C33">
        <v>1520</v>
      </c>
      <c r="D33">
        <v>1791</v>
      </c>
      <c r="E33">
        <v>15867</v>
      </c>
      <c r="F33">
        <v>10531</v>
      </c>
      <c r="G33">
        <v>2360</v>
      </c>
      <c r="H33" s="200">
        <v>0.09</v>
      </c>
      <c r="I33">
        <f>RANK(0.09,H:H,0)</f>
        <v>63</v>
      </c>
      <c r="J33" s="193">
        <v>0.12</v>
      </c>
      <c r="K33">
        <f>RANK(0.12,J:J,0)</f>
        <v>9</v>
      </c>
      <c r="L33" s="62">
        <f>RANK(21.1,M:M,0)</f>
        <v>32</v>
      </c>
      <c r="M33" s="304">
        <v>18.079999999999998</v>
      </c>
      <c r="N33" s="301">
        <f>VLOOKUP(6456,季財報!A:N,8,0)</f>
        <v>4</v>
      </c>
      <c r="O33" s="46"/>
      <c r="P33" s="46"/>
      <c r="Q33" s="46"/>
      <c r="R33" s="46"/>
      <c r="S33" s="46"/>
      <c r="T33" s="46"/>
      <c r="U33" s="46"/>
      <c r="V33" s="46"/>
      <c r="AB33">
        <v>82.43</v>
      </c>
      <c r="AC33" s="46">
        <v>1144770</v>
      </c>
      <c r="AE33">
        <v>85.7</v>
      </c>
      <c r="AF33" s="46">
        <v>3315795</v>
      </c>
      <c r="AG33">
        <v>84.41</v>
      </c>
      <c r="AH33" s="46">
        <v>3369157</v>
      </c>
      <c r="AI33">
        <v>86.09</v>
      </c>
    </row>
    <row r="34" spans="1:35">
      <c r="A34" s="187">
        <v>4426</v>
      </c>
      <c r="C34">
        <v>176</v>
      </c>
      <c r="D34">
        <v>462</v>
      </c>
      <c r="E34">
        <v>1337</v>
      </c>
      <c r="F34">
        <v>1849</v>
      </c>
      <c r="G34">
        <v>116</v>
      </c>
      <c r="H34" s="200">
        <v>0.1</v>
      </c>
      <c r="I34">
        <f>RANK(0.1,H:H,0)</f>
        <v>46</v>
      </c>
      <c r="J34" s="193">
        <v>0.09</v>
      </c>
      <c r="K34">
        <f>RANK(0.09,J:J,0)</f>
        <v>29</v>
      </c>
      <c r="L34" s="62">
        <f>RANK(20.25,M:M,0)</f>
        <v>33</v>
      </c>
      <c r="M34" s="304">
        <v>18.079999999999998</v>
      </c>
      <c r="N34" s="301">
        <f>VLOOKUP(4426,季財報!A:N,8,0)</f>
        <v>4</v>
      </c>
      <c r="O34" s="46"/>
      <c r="P34" s="46"/>
      <c r="Q34" s="46"/>
      <c r="R34" s="46"/>
      <c r="S34" s="46"/>
      <c r="T34" s="46"/>
      <c r="U34" s="46"/>
      <c r="V34" s="46"/>
      <c r="AB34">
        <v>2.0299999999999998</v>
      </c>
      <c r="AC34" s="46">
        <v>23792</v>
      </c>
      <c r="AE34">
        <v>1.78</v>
      </c>
      <c r="AF34" s="46">
        <v>82836</v>
      </c>
      <c r="AG34">
        <v>2.11</v>
      </c>
      <c r="AH34" s="46">
        <v>70929</v>
      </c>
      <c r="AI34">
        <v>1.81</v>
      </c>
    </row>
    <row r="35" spans="1:35">
      <c r="A35" s="187">
        <v>3684</v>
      </c>
      <c r="C35">
        <v>36</v>
      </c>
      <c r="D35">
        <v>277</v>
      </c>
      <c r="E35">
        <v>77</v>
      </c>
      <c r="F35">
        <v>386</v>
      </c>
      <c r="G35">
        <v>0</v>
      </c>
      <c r="H35" s="200">
        <v>0.1</v>
      </c>
      <c r="I35">
        <f>RANK(0.1,H:H,0)</f>
        <v>46</v>
      </c>
      <c r="J35" s="193">
        <v>0.09</v>
      </c>
      <c r="K35">
        <f>RANK(0.09,J:J,0)</f>
        <v>29</v>
      </c>
      <c r="L35" s="62">
        <f>RANK(20.25,M:M,0)</f>
        <v>33</v>
      </c>
      <c r="M35" s="304">
        <v>18.3</v>
      </c>
      <c r="N35" s="301">
        <f>VLOOKUP(3684,季財報!A:N,8,0)</f>
        <v>3</v>
      </c>
      <c r="O35" s="46"/>
      <c r="P35" s="46"/>
      <c r="Q35" s="46"/>
      <c r="R35" s="46"/>
      <c r="S35" s="46"/>
      <c r="T35" s="46"/>
      <c r="U35" s="46"/>
      <c r="V35" s="46"/>
      <c r="AB35">
        <v>84.46</v>
      </c>
      <c r="AC35" s="46">
        <v>1168562</v>
      </c>
      <c r="AE35">
        <v>87.48</v>
      </c>
      <c r="AF35" s="46">
        <v>3398631</v>
      </c>
      <c r="AG35">
        <v>86.52</v>
      </c>
      <c r="AH35" s="46">
        <v>3440086</v>
      </c>
      <c r="AI35">
        <v>87.9</v>
      </c>
    </row>
    <row r="36" spans="1:35">
      <c r="A36" s="187">
        <v>8066</v>
      </c>
      <c r="C36">
        <v>74</v>
      </c>
      <c r="D36">
        <v>472</v>
      </c>
      <c r="E36">
        <v>50</v>
      </c>
      <c r="F36">
        <v>816</v>
      </c>
      <c r="G36">
        <v>236</v>
      </c>
      <c r="H36" s="200">
        <v>0.14000000000000001</v>
      </c>
      <c r="I36">
        <f>RANK(0.14,H:H,0)</f>
        <v>20</v>
      </c>
      <c r="J36" s="193">
        <v>7.0000000000000007E-2</v>
      </c>
      <c r="K36">
        <f>RANK(0.07,J:J,0)</f>
        <v>57</v>
      </c>
      <c r="L36" s="62">
        <f>RANK(19.73,M:M,0)</f>
        <v>35</v>
      </c>
      <c r="M36" s="304">
        <v>18.3</v>
      </c>
      <c r="N36" s="301">
        <f>VLOOKUP(8066,季財報!A:N,8,0)</f>
        <v>4</v>
      </c>
      <c r="O36" s="46"/>
      <c r="P36" s="46"/>
      <c r="Q36" s="46"/>
      <c r="R36" s="46"/>
      <c r="S36" s="46"/>
      <c r="T36" s="46"/>
      <c r="U36" s="46"/>
      <c r="V36" s="46"/>
      <c r="AB36">
        <v>15.54</v>
      </c>
      <c r="AC36" s="46">
        <v>167247</v>
      </c>
      <c r="AE36">
        <v>12.52</v>
      </c>
      <c r="AF36" s="46">
        <v>529379</v>
      </c>
      <c r="AG36">
        <v>13.48</v>
      </c>
      <c r="AH36" s="46">
        <v>473667</v>
      </c>
      <c r="AI36">
        <v>12.1</v>
      </c>
    </row>
    <row r="37" spans="1:35">
      <c r="A37" s="187">
        <v>1808</v>
      </c>
      <c r="C37">
        <v>707</v>
      </c>
      <c r="D37">
        <v>5009</v>
      </c>
      <c r="E37">
        <v>637</v>
      </c>
      <c r="F37">
        <v>4614</v>
      </c>
      <c r="G37">
        <v>6073</v>
      </c>
      <c r="H37" s="200">
        <v>0.13</v>
      </c>
      <c r="I37">
        <f>RANK(0.13,H:H,0)</f>
        <v>23</v>
      </c>
      <c r="J37" s="193">
        <v>7.0000000000000007E-2</v>
      </c>
      <c r="K37">
        <f>RANK(0.07,J:J,0)</f>
        <v>57</v>
      </c>
      <c r="L37" s="62">
        <f>RANK(18.99,M:M,0)</f>
        <v>36</v>
      </c>
      <c r="M37" s="304">
        <v>18.3</v>
      </c>
      <c r="N37" s="301">
        <f>VLOOKUP(1808,季財報!A:N,8,0)</f>
        <v>6</v>
      </c>
      <c r="O37" s="46"/>
      <c r="P37" s="46"/>
      <c r="Q37" s="46"/>
      <c r="R37" s="46"/>
      <c r="S37" s="46"/>
      <c r="T37" s="46"/>
      <c r="U37" s="46"/>
      <c r="V37" s="46"/>
      <c r="AB37">
        <v>15.54</v>
      </c>
      <c r="AC37" s="46">
        <v>167247</v>
      </c>
      <c r="AE37">
        <v>12.52</v>
      </c>
      <c r="AF37" s="46">
        <v>529379</v>
      </c>
      <c r="AG37">
        <v>13.48</v>
      </c>
      <c r="AH37" s="46">
        <v>473667</v>
      </c>
      <c r="AI37">
        <v>12.1</v>
      </c>
    </row>
    <row r="38" spans="1:35">
      <c r="A38" s="187">
        <v>8422</v>
      </c>
      <c r="C38">
        <v>355</v>
      </c>
      <c r="D38">
        <v>2049</v>
      </c>
      <c r="E38">
        <v>1608</v>
      </c>
      <c r="F38">
        <v>4627</v>
      </c>
      <c r="G38">
        <v>0</v>
      </c>
      <c r="H38" s="200">
        <v>0.1</v>
      </c>
      <c r="I38">
        <f>RANK(0.1,H:H,0)</f>
        <v>46</v>
      </c>
      <c r="J38" s="193">
        <v>0.08</v>
      </c>
      <c r="K38">
        <f>RANK(0.08,J:J,0)</f>
        <v>37</v>
      </c>
      <c r="L38" s="62">
        <f>RANK(18.3,M:M,0)</f>
        <v>37</v>
      </c>
      <c r="M38" s="304">
        <v>17.07</v>
      </c>
      <c r="N38" s="301">
        <f>VLOOKUP(8422,季財報!A:N,8,0)</f>
        <v>5</v>
      </c>
      <c r="O38" s="46"/>
      <c r="P38" s="46"/>
      <c r="Q38" s="46"/>
      <c r="R38" s="46"/>
      <c r="S38" s="46"/>
      <c r="T38" s="46"/>
      <c r="U38" s="46"/>
      <c r="V38" s="46"/>
      <c r="AC38" s="46"/>
      <c r="AF38" s="46"/>
      <c r="AH38" s="46"/>
    </row>
    <row r="39" spans="1:35">
      <c r="A39" s="187">
        <v>8083</v>
      </c>
      <c r="C39">
        <v>96</v>
      </c>
      <c r="D39">
        <v>182</v>
      </c>
      <c r="E39">
        <v>796</v>
      </c>
      <c r="F39">
        <v>996</v>
      </c>
      <c r="G39">
        <v>250</v>
      </c>
      <c r="H39" s="200">
        <v>0.1</v>
      </c>
      <c r="I39">
        <f>RANK(0.1,H:H,0)</f>
        <v>46</v>
      </c>
      <c r="J39" s="193">
        <v>0.08</v>
      </c>
      <c r="K39">
        <f>RANK(0.08,J:J,0)</f>
        <v>37</v>
      </c>
      <c r="L39" s="62">
        <f>RANK(18.3,M:M,0)</f>
        <v>37</v>
      </c>
      <c r="M39" s="304">
        <v>3.67</v>
      </c>
      <c r="N39" s="301">
        <f>VLOOKUP(8083,季財報!A:N,8,0)</f>
        <v>3</v>
      </c>
      <c r="O39" s="46"/>
      <c r="P39" s="46"/>
      <c r="Q39" s="46"/>
      <c r="R39" s="46"/>
      <c r="S39" s="46"/>
      <c r="T39" s="46"/>
      <c r="U39" s="46"/>
      <c r="V39" s="46"/>
      <c r="AB39">
        <v>6.1</v>
      </c>
      <c r="AC39" s="46">
        <v>51741</v>
      </c>
      <c r="AE39">
        <v>3.87</v>
      </c>
      <c r="AF39" s="46">
        <v>213182</v>
      </c>
      <c r="AG39">
        <v>5.43</v>
      </c>
      <c r="AH39" s="46">
        <v>157701</v>
      </c>
      <c r="AI39">
        <v>4.03</v>
      </c>
    </row>
    <row r="40" spans="1:35">
      <c r="A40" s="187">
        <v>1580</v>
      </c>
      <c r="C40">
        <v>165</v>
      </c>
      <c r="D40">
        <v>945</v>
      </c>
      <c r="E40">
        <v>727</v>
      </c>
      <c r="F40">
        <v>1745</v>
      </c>
      <c r="G40">
        <v>445</v>
      </c>
      <c r="H40" s="200">
        <v>0.1</v>
      </c>
      <c r="I40">
        <f>RANK(0.1,H:H,0)</f>
        <v>46</v>
      </c>
      <c r="J40" s="193">
        <v>0.08</v>
      </c>
      <c r="K40">
        <f>RANK(0.08,J:J,0)</f>
        <v>37</v>
      </c>
      <c r="L40" s="62">
        <f>RANK(18.3,M:M,0)</f>
        <v>37</v>
      </c>
      <c r="M40" s="304">
        <v>16.510000000000002</v>
      </c>
      <c r="N40" s="301">
        <f>VLOOKUP(1580,季財報!A:N,8,0)</f>
        <v>1</v>
      </c>
      <c r="O40" s="46"/>
      <c r="P40" s="46"/>
      <c r="Q40" s="46"/>
      <c r="R40" s="46"/>
      <c r="S40" s="46"/>
      <c r="T40" s="46"/>
      <c r="U40" s="46"/>
      <c r="V40" s="46"/>
      <c r="AB40">
        <v>2.79</v>
      </c>
      <c r="AC40" s="46">
        <v>68003</v>
      </c>
      <c r="AE40">
        <v>5.09</v>
      </c>
      <c r="AF40" s="46">
        <v>115741</v>
      </c>
      <c r="AG40">
        <v>2.95</v>
      </c>
      <c r="AH40" s="46">
        <v>153260</v>
      </c>
      <c r="AI40">
        <v>3.92</v>
      </c>
    </row>
    <row r="41" spans="1:35">
      <c r="A41" s="187">
        <v>9910</v>
      </c>
      <c r="C41">
        <v>1540</v>
      </c>
      <c r="D41">
        <v>4449</v>
      </c>
      <c r="E41">
        <v>12858</v>
      </c>
      <c r="F41">
        <v>13808</v>
      </c>
      <c r="G41">
        <v>1755</v>
      </c>
      <c r="H41" s="200">
        <v>0.09</v>
      </c>
      <c r="I41">
        <f>RANK(0.09,H:H,0)</f>
        <v>63</v>
      </c>
      <c r="J41" s="193">
        <v>0.1</v>
      </c>
      <c r="K41">
        <f>RANK(0.1,J:J,0)</f>
        <v>21</v>
      </c>
      <c r="L41" s="62">
        <f>RANK(18.08,M:M,0)</f>
        <v>40</v>
      </c>
      <c r="M41" s="304">
        <v>16.510000000000002</v>
      </c>
      <c r="N41" s="301">
        <f>VLOOKUP(9910,季財報!A:N,8,0)</f>
        <v>6</v>
      </c>
      <c r="O41" s="46"/>
      <c r="P41" s="46"/>
      <c r="Q41" s="46"/>
      <c r="R41" s="46"/>
      <c r="S41" s="46"/>
      <c r="T41" s="46"/>
      <c r="U41" s="46"/>
      <c r="V41" s="46"/>
      <c r="AB41">
        <v>0.5</v>
      </c>
      <c r="AC41" s="46">
        <v>5851</v>
      </c>
      <c r="AE41">
        <v>0.44</v>
      </c>
      <c r="AF41" s="46">
        <v>20041</v>
      </c>
      <c r="AG41">
        <v>0.51</v>
      </c>
      <c r="AH41" s="46">
        <v>19415</v>
      </c>
      <c r="AI41">
        <v>0.5</v>
      </c>
    </row>
    <row r="42" spans="1:35">
      <c r="A42" s="187">
        <v>1565</v>
      </c>
      <c r="C42">
        <v>411</v>
      </c>
      <c r="D42">
        <v>2153</v>
      </c>
      <c r="E42">
        <v>2539</v>
      </c>
      <c r="F42">
        <v>4190</v>
      </c>
      <c r="G42">
        <v>92</v>
      </c>
      <c r="H42" s="200">
        <v>0.09</v>
      </c>
      <c r="I42">
        <f>RANK(0.09,H:H,0)</f>
        <v>63</v>
      </c>
      <c r="J42" s="193">
        <v>0.1</v>
      </c>
      <c r="K42">
        <f>RANK(0.1,J:J,0)</f>
        <v>21</v>
      </c>
      <c r="L42" s="62">
        <f>RANK(18.08,M:M,0)</f>
        <v>40</v>
      </c>
      <c r="M42" s="304">
        <v>16.16</v>
      </c>
      <c r="N42" s="301">
        <f>VLOOKUP(1565,季財報!A:N,8,0)</f>
        <v>5</v>
      </c>
      <c r="O42" s="46"/>
      <c r="P42" s="46"/>
      <c r="Q42" s="46"/>
      <c r="R42" s="46"/>
      <c r="S42" s="46"/>
      <c r="T42" s="46"/>
      <c r="U42" s="46"/>
      <c r="V42" s="46"/>
      <c r="AB42">
        <v>9.39</v>
      </c>
      <c r="AC42" s="46">
        <v>125595</v>
      </c>
      <c r="AE42">
        <v>9.4</v>
      </c>
      <c r="AF42" s="46">
        <v>348964</v>
      </c>
      <c r="AG42">
        <v>8.8800000000000008</v>
      </c>
      <c r="AH42" s="46">
        <v>330376</v>
      </c>
      <c r="AI42">
        <v>8.44</v>
      </c>
    </row>
    <row r="43" spans="1:35">
      <c r="A43" s="187">
        <v>1707</v>
      </c>
      <c r="C43">
        <v>466</v>
      </c>
      <c r="D43">
        <v>602</v>
      </c>
      <c r="E43">
        <v>5493</v>
      </c>
      <c r="F43">
        <v>3774</v>
      </c>
      <c r="G43">
        <v>21</v>
      </c>
      <c r="H43" s="200">
        <v>0.08</v>
      </c>
      <c r="I43">
        <f>RANK(0.08,H:H,0)</f>
        <v>80</v>
      </c>
      <c r="J43" s="193">
        <v>0.12</v>
      </c>
      <c r="K43">
        <f>RANK(0.12,J:J,0)</f>
        <v>9</v>
      </c>
      <c r="L43" s="62">
        <f>RANK(17.07,M:M,0)</f>
        <v>42</v>
      </c>
      <c r="M43" s="304">
        <v>15.19</v>
      </c>
      <c r="N43" s="301">
        <f>VLOOKUP(1707,季財報!A:N,8,0)</f>
        <v>2</v>
      </c>
      <c r="O43" s="46"/>
      <c r="P43" s="46"/>
      <c r="Q43" s="46"/>
      <c r="R43" s="46"/>
      <c r="S43" s="46"/>
      <c r="T43" s="46"/>
      <c r="U43" s="46"/>
      <c r="V43" s="46"/>
      <c r="AB43">
        <v>6.15</v>
      </c>
      <c r="AC43" s="46">
        <v>41652</v>
      </c>
      <c r="AE43">
        <v>3.12</v>
      </c>
      <c r="AF43" s="46">
        <v>180415</v>
      </c>
      <c r="AG43">
        <v>4.59</v>
      </c>
      <c r="AH43" s="46">
        <v>143291</v>
      </c>
      <c r="AI43">
        <v>3.66</v>
      </c>
    </row>
    <row r="44" spans="1:35">
      <c r="A44" s="187">
        <v>4103</v>
      </c>
      <c r="C44">
        <v>294</v>
      </c>
      <c r="D44">
        <v>2994</v>
      </c>
      <c r="E44">
        <v>298</v>
      </c>
      <c r="F44">
        <v>3287</v>
      </c>
      <c r="G44">
        <v>0</v>
      </c>
      <c r="H44" s="200">
        <v>0.09</v>
      </c>
      <c r="I44">
        <f>RANK(0.09,H:H,0)</f>
        <v>63</v>
      </c>
      <c r="J44" s="193">
        <v>0.09</v>
      </c>
      <c r="K44">
        <f>RANK(0.09,J:J,0)</f>
        <v>29</v>
      </c>
      <c r="L44" s="62">
        <f>RANK(16.51,M:M,0)</f>
        <v>43</v>
      </c>
      <c r="M44" s="304">
        <v>15.19</v>
      </c>
      <c r="N44" s="301">
        <f>VLOOKUP(4103,季財報!A:N,8,0)</f>
        <v>3</v>
      </c>
      <c r="O44" s="46"/>
      <c r="P44" s="46"/>
      <c r="Q44" s="46"/>
      <c r="R44" s="46"/>
      <c r="S44" s="46"/>
      <c r="T44" s="46"/>
      <c r="U44" s="46"/>
      <c r="V44" s="46"/>
      <c r="AC44" s="46"/>
      <c r="AF44" s="46"/>
      <c r="AH44" s="46"/>
    </row>
    <row r="45" spans="1:35">
      <c r="A45" s="187">
        <v>8446</v>
      </c>
      <c r="C45">
        <v>60</v>
      </c>
      <c r="D45">
        <v>185</v>
      </c>
      <c r="E45">
        <v>15</v>
      </c>
      <c r="F45">
        <v>935</v>
      </c>
      <c r="G45">
        <v>6</v>
      </c>
      <c r="H45" s="200">
        <v>0.3</v>
      </c>
      <c r="I45">
        <f>RANK(0.3,H:H,0)</f>
        <v>8</v>
      </c>
      <c r="J45" s="193">
        <v>0.06</v>
      </c>
      <c r="K45">
        <f>RANK(0.06,J:J,0)</f>
        <v>84</v>
      </c>
      <c r="L45" s="62">
        <f>RANK(16.51,M:M,0)</f>
        <v>43</v>
      </c>
      <c r="M45" s="304">
        <v>15.19</v>
      </c>
      <c r="N45" s="301">
        <f>VLOOKUP(8446,季財報!A:N,8,0)</f>
        <v>2</v>
      </c>
      <c r="O45" s="46"/>
      <c r="P45" s="46"/>
      <c r="Q45" s="46"/>
      <c r="R45" s="46"/>
      <c r="S45" s="46"/>
      <c r="T45" s="46"/>
      <c r="U45" s="46"/>
      <c r="V45" s="46"/>
      <c r="AB45">
        <v>10.48</v>
      </c>
      <c r="AC45" s="46">
        <v>121772</v>
      </c>
      <c r="AE45">
        <v>9.1199999999999992</v>
      </c>
      <c r="AF45" s="46">
        <v>148672</v>
      </c>
      <c r="AG45">
        <v>3.78</v>
      </c>
      <c r="AH45" s="46">
        <v>126677</v>
      </c>
      <c r="AI45">
        <v>3.24</v>
      </c>
    </row>
    <row r="46" spans="1:35">
      <c r="A46" s="187">
        <v>3662</v>
      </c>
      <c r="C46">
        <v>383</v>
      </c>
      <c r="D46">
        <v>1400</v>
      </c>
      <c r="E46">
        <v>111</v>
      </c>
      <c r="F46">
        <v>5353</v>
      </c>
      <c r="G46">
        <v>1133</v>
      </c>
      <c r="H46" s="200">
        <v>0.25</v>
      </c>
      <c r="I46">
        <f>RANK(0.25,H:H,0)</f>
        <v>10</v>
      </c>
      <c r="J46" s="193">
        <v>0.06</v>
      </c>
      <c r="K46">
        <f>RANK(0.06,J:J,0)</f>
        <v>84</v>
      </c>
      <c r="L46" s="62">
        <f>RANK(16.16,M:M,0)</f>
        <v>45</v>
      </c>
      <c r="M46" s="304">
        <v>15.19</v>
      </c>
      <c r="N46" s="301">
        <f>VLOOKUP(3662,季財報!A:N,8,0)</f>
        <v>1</v>
      </c>
      <c r="O46" s="46"/>
      <c r="P46" s="46"/>
      <c r="Q46" s="46"/>
      <c r="R46" s="46"/>
      <c r="S46" s="46"/>
      <c r="T46" s="46"/>
      <c r="U46" s="46"/>
      <c r="V46" s="46"/>
      <c r="AB46">
        <v>0.15</v>
      </c>
      <c r="AC46" s="46">
        <v>5869</v>
      </c>
      <c r="AE46">
        <v>0.44</v>
      </c>
      <c r="AF46" s="46">
        <v>-4493</v>
      </c>
      <c r="AG46">
        <v>-0.11</v>
      </c>
      <c r="AH46" s="46">
        <v>19857</v>
      </c>
      <c r="AI46">
        <v>0.51</v>
      </c>
    </row>
    <row r="47" spans="1:35">
      <c r="A47" s="187">
        <v>5289</v>
      </c>
      <c r="C47">
        <v>174</v>
      </c>
      <c r="D47">
        <v>1091</v>
      </c>
      <c r="E47">
        <v>948</v>
      </c>
      <c r="F47">
        <v>2176</v>
      </c>
      <c r="G47">
        <v>58</v>
      </c>
      <c r="H47" s="200">
        <v>0.09</v>
      </c>
      <c r="I47">
        <f>RANK(0.09,H:H,0)</f>
        <v>63</v>
      </c>
      <c r="J47" s="193">
        <v>0.08</v>
      </c>
      <c r="K47">
        <f>RANK(0.08,J:J,0)</f>
        <v>37</v>
      </c>
      <c r="L47" s="62">
        <f>RANK(15.19,M:M,0)</f>
        <v>46</v>
      </c>
      <c r="M47" s="304">
        <v>14.75</v>
      </c>
      <c r="N47" s="301">
        <f>VLOOKUP(5289,季財報!A:N,8,0)</f>
        <v>4</v>
      </c>
      <c r="O47" s="46"/>
      <c r="P47" s="46"/>
      <c r="Q47" s="46"/>
      <c r="R47" s="46"/>
      <c r="S47" s="46"/>
      <c r="T47" s="46"/>
      <c r="U47" s="46"/>
      <c r="V47" s="46"/>
      <c r="AB47">
        <v>0.77</v>
      </c>
      <c r="AC47" s="46">
        <v>12068</v>
      </c>
      <c r="AE47">
        <v>0.9</v>
      </c>
      <c r="AF47" s="46">
        <v>31085</v>
      </c>
      <c r="AG47">
        <v>0.79</v>
      </c>
      <c r="AH47" s="46">
        <v>35801</v>
      </c>
      <c r="AI47">
        <v>0.91</v>
      </c>
    </row>
    <row r="48" spans="1:35">
      <c r="A48" s="187">
        <v>5386</v>
      </c>
      <c r="C48">
        <v>13</v>
      </c>
      <c r="D48">
        <v>146</v>
      </c>
      <c r="E48">
        <v>1</v>
      </c>
      <c r="F48">
        <v>161</v>
      </c>
      <c r="G48">
        <v>0</v>
      </c>
      <c r="H48" s="200">
        <v>0.09</v>
      </c>
      <c r="I48">
        <f>RANK(0.09,H:H,0)</f>
        <v>63</v>
      </c>
      <c r="J48" s="193">
        <v>0.08</v>
      </c>
      <c r="K48">
        <f>RANK(0.08,J:J,0)</f>
        <v>37</v>
      </c>
      <c r="L48" s="62">
        <f>RANK(15.19,M:M,0)</f>
        <v>46</v>
      </c>
      <c r="M48" s="304">
        <v>14.75</v>
      </c>
      <c r="N48" s="301">
        <f>VLOOKUP(5386,季財報!A:N,8,0)</f>
        <v>2</v>
      </c>
      <c r="O48" s="46"/>
      <c r="P48" s="46"/>
      <c r="Q48" s="46"/>
      <c r="R48" s="46"/>
      <c r="S48" s="46"/>
      <c r="T48" s="46"/>
      <c r="U48" s="46"/>
      <c r="V48" s="46"/>
      <c r="AB48">
        <v>8.1999999999999993</v>
      </c>
      <c r="AC48" s="46">
        <v>270829</v>
      </c>
      <c r="AE48">
        <v>20.27</v>
      </c>
      <c r="AF48" s="46">
        <v>1058540</v>
      </c>
      <c r="AG48">
        <v>26.95</v>
      </c>
      <c r="AH48" s="46">
        <v>1358965</v>
      </c>
      <c r="AI48">
        <v>34.72</v>
      </c>
    </row>
    <row r="49" spans="1:35">
      <c r="A49" s="187">
        <v>4979</v>
      </c>
      <c r="C49">
        <v>175</v>
      </c>
      <c r="D49">
        <v>795</v>
      </c>
      <c r="E49">
        <v>1184</v>
      </c>
      <c r="F49">
        <v>1784</v>
      </c>
      <c r="G49">
        <v>441</v>
      </c>
      <c r="H49" s="200">
        <v>0.09</v>
      </c>
      <c r="I49">
        <f>RANK(0.09,H:H,0)</f>
        <v>63</v>
      </c>
      <c r="J49" s="193">
        <v>0.08</v>
      </c>
      <c r="K49">
        <f>RANK(0.08,J:J,0)</f>
        <v>37</v>
      </c>
      <c r="L49" s="62">
        <f>RANK(15.19,M:M,0)</f>
        <v>46</v>
      </c>
      <c r="M49" s="304">
        <v>13.94</v>
      </c>
      <c r="N49" s="301">
        <f>VLOOKUP(4979,季財報!A:N,8,0)</f>
        <v>3</v>
      </c>
      <c r="O49" s="46"/>
      <c r="P49" s="46"/>
      <c r="Q49" s="46"/>
      <c r="R49" s="46"/>
      <c r="S49" s="46"/>
      <c r="T49" s="46"/>
      <c r="U49" s="46"/>
      <c r="V49" s="46"/>
      <c r="AB49">
        <v>18.059999999999999</v>
      </c>
      <c r="AC49" s="46">
        <v>386402</v>
      </c>
      <c r="AE49">
        <v>28.93</v>
      </c>
      <c r="AF49" s="46">
        <v>1171634</v>
      </c>
      <c r="AG49">
        <v>29.83</v>
      </c>
      <c r="AH49" s="46">
        <v>1469698</v>
      </c>
      <c r="AI49">
        <v>37.549999999999997</v>
      </c>
    </row>
    <row r="50" spans="1:35">
      <c r="A50" s="187">
        <v>3088</v>
      </c>
      <c r="C50">
        <v>147</v>
      </c>
      <c r="D50">
        <v>1156</v>
      </c>
      <c r="E50">
        <v>499</v>
      </c>
      <c r="F50">
        <v>1634</v>
      </c>
      <c r="G50">
        <v>107</v>
      </c>
      <c r="H50" s="200">
        <v>0.09</v>
      </c>
      <c r="I50">
        <f>RANK(0.09,H:H,0)</f>
        <v>63</v>
      </c>
      <c r="J50" s="193">
        <v>0.08</v>
      </c>
      <c r="K50">
        <f>RANK(0.08,J:J,0)</f>
        <v>37</v>
      </c>
      <c r="L50" s="62">
        <f>RANK(15.19,M:M,0)</f>
        <v>46</v>
      </c>
      <c r="M50" s="304">
        <v>14.2</v>
      </c>
      <c r="N50" s="301">
        <f>VLOOKUP(3088,季財報!A:N,8,0)</f>
        <v>4</v>
      </c>
      <c r="O50" s="46"/>
      <c r="P50" s="46"/>
      <c r="Q50" s="46"/>
      <c r="R50" s="46"/>
      <c r="S50" s="46"/>
      <c r="T50" s="46"/>
      <c r="U50" s="46"/>
      <c r="V50" s="46"/>
      <c r="AB50">
        <v>24.21</v>
      </c>
      <c r="AC50" s="46">
        <v>428054</v>
      </c>
      <c r="AE50">
        <v>32.04</v>
      </c>
      <c r="AF50" s="46">
        <v>1352049</v>
      </c>
      <c r="AG50">
        <v>34.42</v>
      </c>
      <c r="AH50" s="46">
        <v>1612989</v>
      </c>
      <c r="AI50">
        <v>41.21</v>
      </c>
    </row>
    <row r="51" spans="1:35">
      <c r="A51" s="187">
        <v>1227</v>
      </c>
      <c r="C51">
        <v>999</v>
      </c>
      <c r="D51">
        <v>6520</v>
      </c>
      <c r="E51">
        <v>3771</v>
      </c>
      <c r="F51">
        <v>13087</v>
      </c>
      <c r="G51">
        <v>1323</v>
      </c>
      <c r="H51" s="200">
        <v>0.1</v>
      </c>
      <c r="I51">
        <f>RANK(0.1,H:H,0)</f>
        <v>46</v>
      </c>
      <c r="J51" s="193">
        <v>7.0000000000000007E-2</v>
      </c>
      <c r="K51">
        <f>RANK(0.07,J:J,0)</f>
        <v>57</v>
      </c>
      <c r="L51" s="62">
        <f>RANK(14.75,M:M,0)</f>
        <v>50</v>
      </c>
      <c r="M51" s="304">
        <v>12.98</v>
      </c>
      <c r="N51" s="301">
        <f>VLOOKUP(1227,季財報!A:N,8,0)</f>
        <v>4</v>
      </c>
      <c r="O51" s="46"/>
      <c r="P51" s="46"/>
      <c r="Q51" s="46"/>
      <c r="R51" s="46"/>
      <c r="S51" s="46"/>
      <c r="T51" s="46"/>
      <c r="U51" s="46"/>
      <c r="V51" s="46"/>
      <c r="AB51">
        <v>0.54</v>
      </c>
      <c r="AC51" s="46">
        <v>10486</v>
      </c>
      <c r="AE51">
        <v>0.78</v>
      </c>
      <c r="AF51" s="46">
        <v>31091</v>
      </c>
      <c r="AG51">
        <v>0.79</v>
      </c>
      <c r="AH51" s="46">
        <v>77489</v>
      </c>
      <c r="AI51">
        <v>1.98</v>
      </c>
    </row>
    <row r="52" spans="1:35">
      <c r="A52" s="187">
        <v>1541</v>
      </c>
      <c r="C52">
        <v>109</v>
      </c>
      <c r="D52">
        <v>549</v>
      </c>
      <c r="E52">
        <v>500</v>
      </c>
      <c r="F52">
        <v>1134</v>
      </c>
      <c r="G52">
        <v>469</v>
      </c>
      <c r="H52" s="200">
        <v>0.1</v>
      </c>
      <c r="I52">
        <f>RANK(0.1,H:H,0)</f>
        <v>46</v>
      </c>
      <c r="J52" s="193">
        <v>7.0000000000000007E-2</v>
      </c>
      <c r="K52">
        <f>RANK(0.07,J:J,0)</f>
        <v>57</v>
      </c>
      <c r="L52" s="62">
        <f>RANK(14.75,M:M,0)</f>
        <v>50</v>
      </c>
      <c r="M52" s="304">
        <v>12.98</v>
      </c>
      <c r="N52" s="301">
        <f>VLOOKUP(1541,季財報!A:N,8,0)</f>
        <v>4</v>
      </c>
      <c r="O52" s="46"/>
      <c r="P52" s="46"/>
      <c r="Q52" s="46"/>
      <c r="R52" s="46"/>
      <c r="S52" s="46"/>
      <c r="T52" s="46"/>
      <c r="U52" s="46"/>
      <c r="V52" s="46"/>
      <c r="AB52">
        <v>23.67</v>
      </c>
      <c r="AC52" s="46">
        <v>417568</v>
      </c>
      <c r="AE52">
        <v>31.26</v>
      </c>
      <c r="AF52" s="46">
        <v>1320958</v>
      </c>
      <c r="AG52">
        <v>33.630000000000003</v>
      </c>
      <c r="AH52" s="46">
        <v>1535500</v>
      </c>
      <c r="AI52">
        <v>39.229999999999997</v>
      </c>
    </row>
    <row r="53" spans="1:35">
      <c r="A53" s="187">
        <v>8437</v>
      </c>
      <c r="C53">
        <v>108</v>
      </c>
      <c r="D53">
        <v>956</v>
      </c>
      <c r="E53">
        <v>138</v>
      </c>
      <c r="F53">
        <v>1493</v>
      </c>
      <c r="G53">
        <v>52</v>
      </c>
      <c r="H53" s="200">
        <v>0.1</v>
      </c>
      <c r="I53">
        <f>RANK(0.1,H:H,0)</f>
        <v>46</v>
      </c>
      <c r="J53" s="193">
        <v>7.0000000000000007E-2</v>
      </c>
      <c r="K53">
        <f>RANK(0.07,J:J,0)</f>
        <v>57</v>
      </c>
      <c r="L53" s="62">
        <f>RANK(14.75,M:M,0)</f>
        <v>50</v>
      </c>
      <c r="M53" s="304">
        <v>12.98</v>
      </c>
      <c r="N53" s="301">
        <f>VLOOKUP(8437,季財報!A:N,8,0)</f>
        <v>5</v>
      </c>
      <c r="O53" s="46"/>
      <c r="P53" s="46"/>
      <c r="Q53" s="46"/>
      <c r="R53" s="46"/>
      <c r="S53" s="46"/>
      <c r="T53" s="46"/>
      <c r="U53" s="46"/>
      <c r="V53" s="46"/>
      <c r="AB53">
        <v>23.67</v>
      </c>
      <c r="AC53" s="46">
        <v>417568</v>
      </c>
      <c r="AE53">
        <v>31.26</v>
      </c>
      <c r="AF53" s="46">
        <v>1320958</v>
      </c>
      <c r="AG53">
        <v>33.630000000000003</v>
      </c>
      <c r="AH53" s="46">
        <v>1535500</v>
      </c>
      <c r="AI53">
        <v>39.229999999999997</v>
      </c>
    </row>
    <row r="54" spans="1:35">
      <c r="A54" s="187">
        <v>9914</v>
      </c>
      <c r="C54">
        <v>837</v>
      </c>
      <c r="D54">
        <v>3615</v>
      </c>
      <c r="E54">
        <v>2883</v>
      </c>
      <c r="F54">
        <v>13006</v>
      </c>
      <c r="G54">
        <v>1316</v>
      </c>
      <c r="H54" s="200">
        <v>0.13</v>
      </c>
      <c r="I54">
        <f>RANK(0.13,H:H,0)</f>
        <v>23</v>
      </c>
      <c r="J54" s="193">
        <v>0.06</v>
      </c>
      <c r="K54">
        <f>RANK(0.06,J:J,0)</f>
        <v>84</v>
      </c>
      <c r="L54" s="62">
        <f>RANK(14.2,M:M,0)</f>
        <v>53</v>
      </c>
      <c r="M54" s="304">
        <v>12.98</v>
      </c>
      <c r="N54" s="301">
        <f>VLOOKUP(9914,季財報!A:N,8,0)</f>
        <v>4</v>
      </c>
      <c r="O54" s="46"/>
      <c r="P54" s="46"/>
      <c r="Q54" s="46"/>
      <c r="R54" s="46"/>
      <c r="S54" s="46"/>
      <c r="T54" s="46"/>
      <c r="U54" s="46"/>
      <c r="V54" s="46"/>
      <c r="AC54" s="46"/>
      <c r="AF54" s="46"/>
      <c r="AH54" s="46"/>
    </row>
    <row r="55" spans="1:35">
      <c r="A55" s="187">
        <v>9946</v>
      </c>
      <c r="C55">
        <v>605</v>
      </c>
      <c r="D55">
        <v>4401</v>
      </c>
      <c r="E55">
        <v>136</v>
      </c>
      <c r="F55">
        <v>4353</v>
      </c>
      <c r="G55">
        <v>5065</v>
      </c>
      <c r="H55" s="200">
        <v>0.13</v>
      </c>
      <c r="I55">
        <f>RANK(0.13,H:H,0)</f>
        <v>23</v>
      </c>
      <c r="J55" s="193">
        <v>0.06</v>
      </c>
      <c r="K55">
        <f>RANK(0.06,J:J,0)</f>
        <v>84</v>
      </c>
      <c r="L55" s="62">
        <f>RANK(14.2,M:M,0)</f>
        <v>53</v>
      </c>
      <c r="M55" s="304">
        <v>12.66</v>
      </c>
      <c r="N55" s="301">
        <f>VLOOKUP(9946,季財報!A:N,8,0)</f>
        <v>5</v>
      </c>
      <c r="O55" s="46"/>
      <c r="P55" s="46"/>
      <c r="Q55" s="46"/>
      <c r="R55" s="46"/>
      <c r="S55" s="46"/>
      <c r="T55" s="46"/>
      <c r="U55" s="46"/>
      <c r="V55" s="46"/>
      <c r="AB55">
        <v>5.14</v>
      </c>
      <c r="AC55" s="46">
        <v>33220</v>
      </c>
      <c r="AE55">
        <v>2.4900000000000002</v>
      </c>
      <c r="AF55" s="46">
        <v>34398</v>
      </c>
      <c r="AG55">
        <v>0.88</v>
      </c>
      <c r="AH55" s="46">
        <v>10642</v>
      </c>
      <c r="AI55">
        <v>0.27</v>
      </c>
    </row>
    <row r="56" spans="1:35">
      <c r="A56" s="187">
        <v>8114</v>
      </c>
      <c r="C56">
        <v>195</v>
      </c>
      <c r="D56">
        <v>1122</v>
      </c>
      <c r="E56">
        <v>1180</v>
      </c>
      <c r="F56">
        <v>1688</v>
      </c>
      <c r="G56">
        <v>500</v>
      </c>
      <c r="H56" s="200">
        <v>0.08</v>
      </c>
      <c r="I56">
        <f t="shared" ref="I56:I63" si="0">RANK(0.08,H:H,0)</f>
        <v>80</v>
      </c>
      <c r="J56" s="193">
        <v>0.09</v>
      </c>
      <c r="K56">
        <f>RANK(0.09,J:J,0)</f>
        <v>29</v>
      </c>
      <c r="L56" s="62">
        <f>RANK(13.94,M:M,0)</f>
        <v>55</v>
      </c>
      <c r="M56" s="304">
        <v>12.66</v>
      </c>
      <c r="N56" s="301">
        <f>VLOOKUP(8114,季財報!A:N,8,0)</f>
        <v>4</v>
      </c>
      <c r="O56" s="46"/>
      <c r="P56" s="46"/>
      <c r="Q56" s="46"/>
      <c r="R56" s="46"/>
      <c r="S56" s="46"/>
      <c r="T56" s="46"/>
      <c r="U56" s="46"/>
      <c r="V56" s="46"/>
      <c r="AB56">
        <v>-72.680000000000007</v>
      </c>
      <c r="AC56" s="46">
        <v>-225052</v>
      </c>
      <c r="AE56">
        <v>-16.850000000000001</v>
      </c>
      <c r="AF56" s="46">
        <v>-700117</v>
      </c>
      <c r="AG56">
        <v>-17.82</v>
      </c>
      <c r="AH56" s="46">
        <v>-81755</v>
      </c>
      <c r="AI56">
        <v>-2.09</v>
      </c>
    </row>
    <row r="57" spans="1:35">
      <c r="A57" s="187">
        <v>6414</v>
      </c>
      <c r="C57">
        <v>298</v>
      </c>
      <c r="D57">
        <v>2940</v>
      </c>
      <c r="E57">
        <v>596</v>
      </c>
      <c r="F57">
        <v>3890</v>
      </c>
      <c r="G57">
        <v>0</v>
      </c>
      <c r="H57" s="200">
        <v>0.08</v>
      </c>
      <c r="I57">
        <f t="shared" si="0"/>
        <v>80</v>
      </c>
      <c r="J57" s="193">
        <v>0.08</v>
      </c>
      <c r="K57">
        <f t="shared" ref="K57:K63" si="1">RANK(0.08,J:J,0)</f>
        <v>37</v>
      </c>
      <c r="L57" s="62">
        <f t="shared" ref="L57:L63" si="2">RANK(12.98,M:M,0)</f>
        <v>56</v>
      </c>
      <c r="M57" s="304">
        <v>11.17</v>
      </c>
      <c r="N57" s="301">
        <f>VLOOKUP(6414,季財報!A:N,8,0)</f>
        <v>3</v>
      </c>
      <c r="O57" s="46"/>
      <c r="P57" s="46"/>
      <c r="Q57" s="46"/>
      <c r="R57" s="46"/>
      <c r="S57" s="46"/>
      <c r="T57" s="46"/>
      <c r="U57" s="46"/>
      <c r="V57" s="46"/>
      <c r="AB57">
        <v>-103.36</v>
      </c>
      <c r="AC57" s="46">
        <v>-707416</v>
      </c>
      <c r="AE57">
        <v>-52.96</v>
      </c>
      <c r="AF57" s="46">
        <v>-1186399</v>
      </c>
      <c r="AG57">
        <v>-30.2</v>
      </c>
      <c r="AH57" s="46">
        <v>-571899</v>
      </c>
      <c r="AI57">
        <v>-14.61</v>
      </c>
    </row>
    <row r="58" spans="1:35">
      <c r="A58" s="187">
        <v>6146</v>
      </c>
      <c r="C58">
        <v>256</v>
      </c>
      <c r="D58">
        <v>1136</v>
      </c>
      <c r="E58">
        <v>2012</v>
      </c>
      <c r="F58">
        <v>3034</v>
      </c>
      <c r="G58">
        <v>0</v>
      </c>
      <c r="H58" s="200">
        <v>0.08</v>
      </c>
      <c r="I58">
        <f t="shared" si="0"/>
        <v>80</v>
      </c>
      <c r="J58" s="193">
        <v>0.08</v>
      </c>
      <c r="K58">
        <f t="shared" si="1"/>
        <v>37</v>
      </c>
      <c r="L58" s="62">
        <f t="shared" si="2"/>
        <v>56</v>
      </c>
      <c r="M58" s="304">
        <v>11.09</v>
      </c>
      <c r="N58" s="301">
        <f>VLOOKUP(6146,季財報!A:N,8,0)</f>
        <v>2</v>
      </c>
      <c r="O58" s="46"/>
      <c r="P58" s="46"/>
      <c r="Q58" s="46"/>
      <c r="R58" s="46"/>
      <c r="S58" s="46"/>
      <c r="T58" s="46"/>
      <c r="U58" s="46"/>
      <c r="V58" s="46"/>
      <c r="AB58">
        <v>0</v>
      </c>
      <c r="AC58" s="46">
        <v>0</v>
      </c>
      <c r="AE58">
        <v>0</v>
      </c>
      <c r="AF58" s="46">
        <v>0</v>
      </c>
      <c r="AG58">
        <v>0</v>
      </c>
      <c r="AH58" s="46">
        <v>0</v>
      </c>
      <c r="AI58">
        <v>0</v>
      </c>
    </row>
    <row r="59" spans="1:35">
      <c r="A59" s="187">
        <v>1537</v>
      </c>
      <c r="C59">
        <v>267</v>
      </c>
      <c r="D59">
        <v>2117</v>
      </c>
      <c r="E59">
        <v>1124</v>
      </c>
      <c r="F59">
        <v>3229</v>
      </c>
      <c r="G59">
        <v>265</v>
      </c>
      <c r="H59" s="200">
        <v>0.08</v>
      </c>
      <c r="I59">
        <f t="shared" si="0"/>
        <v>80</v>
      </c>
      <c r="J59" s="193">
        <v>0.08</v>
      </c>
      <c r="K59">
        <f t="shared" si="1"/>
        <v>37</v>
      </c>
      <c r="L59" s="62">
        <f t="shared" si="2"/>
        <v>56</v>
      </c>
      <c r="M59" s="304">
        <v>11.09</v>
      </c>
      <c r="N59" s="301">
        <f>VLOOKUP(1537,季財報!A:N,8,0)</f>
        <v>4</v>
      </c>
      <c r="O59" s="46"/>
      <c r="P59" s="46"/>
      <c r="Q59" s="46"/>
      <c r="R59" s="46"/>
      <c r="S59" s="46"/>
      <c r="T59" s="46"/>
      <c r="U59" s="46"/>
      <c r="V59" s="46"/>
      <c r="AB59">
        <v>-170.9</v>
      </c>
      <c r="AC59" s="46">
        <v>-899248</v>
      </c>
      <c r="AE59">
        <v>-67.319999999999993</v>
      </c>
      <c r="AF59" s="46">
        <v>-1852118</v>
      </c>
      <c r="AG59">
        <v>-47.15</v>
      </c>
      <c r="AH59" s="46">
        <v>-643012</v>
      </c>
      <c r="AI59">
        <v>-16.43</v>
      </c>
    </row>
    <row r="60" spans="1:35">
      <c r="A60" s="187">
        <v>3152</v>
      </c>
      <c r="C60">
        <v>242</v>
      </c>
      <c r="D60">
        <v>2022</v>
      </c>
      <c r="E60">
        <v>859</v>
      </c>
      <c r="F60">
        <v>2886</v>
      </c>
      <c r="G60">
        <v>0</v>
      </c>
      <c r="H60" s="200">
        <v>0.08</v>
      </c>
      <c r="I60">
        <f t="shared" si="0"/>
        <v>80</v>
      </c>
      <c r="J60" s="193">
        <v>0.08</v>
      </c>
      <c r="K60">
        <f t="shared" si="1"/>
        <v>37</v>
      </c>
      <c r="L60" s="62">
        <f t="shared" si="2"/>
        <v>56</v>
      </c>
      <c r="M60" s="304">
        <v>11.09</v>
      </c>
      <c r="N60" s="301">
        <f>VLOOKUP(3152,季財報!A:N,8,0)</f>
        <v>5</v>
      </c>
      <c r="O60" s="46"/>
      <c r="P60" s="46"/>
      <c r="Q60" s="46"/>
      <c r="R60" s="46"/>
      <c r="S60" s="46"/>
      <c r="T60" s="46"/>
      <c r="U60" s="46"/>
      <c r="V60" s="46"/>
      <c r="AB60">
        <v>-147.22999999999999</v>
      </c>
      <c r="AC60" s="46">
        <v>-481680</v>
      </c>
      <c r="AE60">
        <v>-36.06</v>
      </c>
      <c r="AF60" s="46">
        <v>-531160</v>
      </c>
      <c r="AG60">
        <v>-13.52</v>
      </c>
      <c r="AH60" s="46">
        <v>892488</v>
      </c>
      <c r="AI60">
        <v>22.8</v>
      </c>
    </row>
    <row r="61" spans="1:35">
      <c r="A61" s="187">
        <v>8048</v>
      </c>
      <c r="C61">
        <v>64</v>
      </c>
      <c r="D61">
        <v>610</v>
      </c>
      <c r="E61">
        <v>179</v>
      </c>
      <c r="F61">
        <v>783</v>
      </c>
      <c r="G61">
        <v>0</v>
      </c>
      <c r="H61" s="200">
        <v>0.08</v>
      </c>
      <c r="I61">
        <f t="shared" si="0"/>
        <v>80</v>
      </c>
      <c r="J61" s="193">
        <v>0.08</v>
      </c>
      <c r="K61">
        <f t="shared" si="1"/>
        <v>37</v>
      </c>
      <c r="L61" s="62">
        <f t="shared" si="2"/>
        <v>56</v>
      </c>
      <c r="M61" s="304">
        <v>11.09</v>
      </c>
      <c r="N61" s="301">
        <f>VLOOKUP(8048,季財報!A:N,8,0)</f>
        <v>5</v>
      </c>
      <c r="O61" s="46"/>
      <c r="P61" s="46"/>
      <c r="Q61" s="46"/>
      <c r="R61" s="46"/>
      <c r="S61" s="46"/>
      <c r="T61" s="46"/>
      <c r="U61" s="46"/>
      <c r="V61" s="46"/>
      <c r="AB61">
        <v>23.96</v>
      </c>
      <c r="AC61" s="46">
        <v>429926</v>
      </c>
      <c r="AE61">
        <v>32.18</v>
      </c>
      <c r="AF61" s="46">
        <v>1323690</v>
      </c>
      <c r="AG61">
        <v>33.700000000000003</v>
      </c>
      <c r="AH61" s="46">
        <v>1559458</v>
      </c>
      <c r="AI61">
        <v>39.85</v>
      </c>
    </row>
    <row r="62" spans="1:35">
      <c r="A62" s="187">
        <v>6114</v>
      </c>
      <c r="C62">
        <v>71</v>
      </c>
      <c r="D62">
        <v>400</v>
      </c>
      <c r="E62">
        <v>448</v>
      </c>
      <c r="F62">
        <v>723</v>
      </c>
      <c r="G62">
        <v>212</v>
      </c>
      <c r="H62" s="200">
        <v>0.08</v>
      </c>
      <c r="I62">
        <f t="shared" si="0"/>
        <v>80</v>
      </c>
      <c r="J62" s="193">
        <v>0.08</v>
      </c>
      <c r="K62">
        <f t="shared" si="1"/>
        <v>37</v>
      </c>
      <c r="L62" s="62">
        <f t="shared" si="2"/>
        <v>56</v>
      </c>
      <c r="M62" s="304">
        <v>11.09</v>
      </c>
      <c r="N62" s="301">
        <f>VLOOKUP(6114,季財報!A:N,8,0)</f>
        <v>2</v>
      </c>
      <c r="O62" s="46"/>
      <c r="P62" s="46"/>
      <c r="Q62" s="46"/>
      <c r="R62" s="46"/>
      <c r="S62" s="46"/>
      <c r="T62" s="46"/>
      <c r="U62" s="46"/>
      <c r="V62" s="46"/>
      <c r="AB62">
        <v>-0.28999999999999998</v>
      </c>
      <c r="AC62" s="46">
        <v>-12358</v>
      </c>
      <c r="AE62">
        <v>-0.93</v>
      </c>
      <c r="AF62" s="46">
        <v>-2732</v>
      </c>
      <c r="AG62">
        <v>-7.0000000000000007E-2</v>
      </c>
      <c r="AH62" s="46">
        <v>-23958</v>
      </c>
      <c r="AI62">
        <v>-0.61</v>
      </c>
    </row>
    <row r="63" spans="1:35">
      <c r="A63" s="187">
        <v>5245</v>
      </c>
      <c r="C63">
        <v>51</v>
      </c>
      <c r="D63">
        <v>378</v>
      </c>
      <c r="E63">
        <v>231</v>
      </c>
      <c r="F63">
        <v>661</v>
      </c>
      <c r="G63">
        <v>11</v>
      </c>
      <c r="H63" s="200">
        <v>0.08</v>
      </c>
      <c r="I63">
        <f t="shared" si="0"/>
        <v>80</v>
      </c>
      <c r="J63" s="193">
        <v>0.08</v>
      </c>
      <c r="K63">
        <f t="shared" si="1"/>
        <v>37</v>
      </c>
      <c r="L63" s="62">
        <f t="shared" si="2"/>
        <v>56</v>
      </c>
      <c r="M63" s="304">
        <v>11.09</v>
      </c>
      <c r="N63" s="301">
        <f>VLOOKUP(5245,季財報!A:N,8,0)</f>
        <v>6</v>
      </c>
      <c r="P63" s="46"/>
      <c r="AB63">
        <v>-147.11000000000001</v>
      </c>
      <c r="AC63" s="46">
        <v>-471011</v>
      </c>
      <c r="AE63">
        <v>-35.26</v>
      </c>
      <c r="AF63" s="46">
        <v>-529420</v>
      </c>
      <c r="AG63">
        <v>-13.48</v>
      </c>
      <c r="AH63" s="46">
        <v>916418</v>
      </c>
      <c r="AI63">
        <v>23.42</v>
      </c>
    </row>
    <row r="64" spans="1:35">
      <c r="A64" s="187">
        <v>1477</v>
      </c>
      <c r="C64">
        <v>717</v>
      </c>
      <c r="D64">
        <v>3535</v>
      </c>
      <c r="E64">
        <v>4586</v>
      </c>
      <c r="F64">
        <v>8649</v>
      </c>
      <c r="G64">
        <v>1394</v>
      </c>
      <c r="H64" s="200">
        <v>0.09</v>
      </c>
      <c r="I64">
        <f>RANK(0.09,H:H,0)</f>
        <v>63</v>
      </c>
      <c r="J64" s="193">
        <v>7.0000000000000007E-2</v>
      </c>
      <c r="K64">
        <f>RANK(0.07,J:J,0)</f>
        <v>57</v>
      </c>
      <c r="L64" s="62">
        <f>RANK(12.66,M:M,0)</f>
        <v>63</v>
      </c>
      <c r="M64" s="304">
        <v>10.55</v>
      </c>
      <c r="N64" s="301">
        <f>VLOOKUP(1477,季財報!A:N,8,0)</f>
        <v>4</v>
      </c>
      <c r="P64" s="46"/>
      <c r="AB64">
        <v>-0.12</v>
      </c>
      <c r="AC64" s="46">
        <v>-10669</v>
      </c>
      <c r="AE64">
        <v>-0.8</v>
      </c>
      <c r="AF64" s="46">
        <v>-1740</v>
      </c>
      <c r="AG64">
        <v>-0.04</v>
      </c>
      <c r="AH64" s="46">
        <v>-23930</v>
      </c>
      <c r="AI64">
        <v>-0.61</v>
      </c>
    </row>
    <row r="65" spans="1:34">
      <c r="A65" s="187">
        <v>2707</v>
      </c>
      <c r="C65">
        <v>301</v>
      </c>
      <c r="D65">
        <v>0</v>
      </c>
      <c r="E65">
        <v>3225</v>
      </c>
      <c r="F65">
        <v>3540</v>
      </c>
      <c r="G65">
        <v>542</v>
      </c>
      <c r="H65" s="200">
        <v>0.09</v>
      </c>
      <c r="I65">
        <f>RANK(0.09,H:H,0)</f>
        <v>63</v>
      </c>
      <c r="J65" s="193">
        <v>7.0000000000000007E-2</v>
      </c>
      <c r="K65">
        <f>RANK(0.07,J:J,0)</f>
        <v>57</v>
      </c>
      <c r="L65" s="62">
        <f>RANK(12.66,M:M,0)</f>
        <v>63</v>
      </c>
      <c r="M65" s="304">
        <v>10.55</v>
      </c>
      <c r="N65" s="301">
        <f>VLOOKUP(2707,季財報!A:N,8,0)</f>
        <v>1</v>
      </c>
      <c r="P65" s="46"/>
      <c r="AC65" s="46"/>
      <c r="AF65" s="46"/>
      <c r="AH65" s="46"/>
    </row>
    <row r="66" spans="1:34">
      <c r="A66" s="187">
        <v>8341</v>
      </c>
      <c r="C66">
        <v>153</v>
      </c>
      <c r="D66">
        <v>372</v>
      </c>
      <c r="E66">
        <v>1345</v>
      </c>
      <c r="F66">
        <v>2100</v>
      </c>
      <c r="G66">
        <v>108</v>
      </c>
      <c r="H66" s="200">
        <v>0.09</v>
      </c>
      <c r="I66">
        <f>RANK(0.09,H:H,0)</f>
        <v>63</v>
      </c>
      <c r="J66" s="193">
        <v>7.0000000000000007E-2</v>
      </c>
      <c r="K66">
        <f>RANK(0.07,J:J,0)</f>
        <v>57</v>
      </c>
      <c r="L66" s="62">
        <f>RANK(12.66,M:M,0)</f>
        <v>63</v>
      </c>
      <c r="M66" s="304">
        <v>10.33</v>
      </c>
      <c r="N66" s="301">
        <f>VLOOKUP(8341,季財報!A:N,8,0)</f>
        <v>4</v>
      </c>
      <c r="P66" s="46"/>
      <c r="AC66" s="46">
        <v>0.48</v>
      </c>
      <c r="AF66" s="46">
        <v>1.49</v>
      </c>
      <c r="AH66" s="46">
        <v>1.76</v>
      </c>
    </row>
    <row r="67" spans="1:34">
      <c r="A67" s="187">
        <v>3131</v>
      </c>
      <c r="C67">
        <v>124</v>
      </c>
      <c r="D67">
        <v>923</v>
      </c>
      <c r="E67">
        <v>433</v>
      </c>
      <c r="F67">
        <v>1527</v>
      </c>
      <c r="G67">
        <v>145</v>
      </c>
      <c r="H67" s="200">
        <v>0.09</v>
      </c>
      <c r="I67">
        <f>RANK(0.09,H:H,0)</f>
        <v>63</v>
      </c>
      <c r="J67" s="193">
        <v>7.0000000000000007E-2</v>
      </c>
      <c r="K67">
        <f>RANK(0.07,J:J,0)</f>
        <v>57</v>
      </c>
      <c r="L67" s="62">
        <f>RANK(12.66,M:M,0)</f>
        <v>63</v>
      </c>
      <c r="M67" s="304">
        <v>9.8000000000000007</v>
      </c>
      <c r="N67" s="301">
        <f>VLOOKUP(3131,季財報!A:N,8,0)</f>
        <v>1</v>
      </c>
      <c r="P67" s="46"/>
      <c r="AC67" s="46">
        <v>0.48</v>
      </c>
      <c r="AF67" s="46">
        <v>1.49</v>
      </c>
      <c r="AH67" s="46">
        <v>1.76</v>
      </c>
    </row>
    <row r="68" spans="1:34">
      <c r="A68" s="187">
        <v>5388</v>
      </c>
      <c r="C68">
        <v>647</v>
      </c>
      <c r="D68">
        <v>2561</v>
      </c>
      <c r="E68">
        <v>3474</v>
      </c>
      <c r="F68">
        <v>6699</v>
      </c>
      <c r="G68">
        <v>3374</v>
      </c>
      <c r="H68" s="200">
        <v>0.11</v>
      </c>
      <c r="I68">
        <f>RANK(0.11,H:H,0)</f>
        <v>38</v>
      </c>
      <c r="J68" s="193">
        <v>0.06</v>
      </c>
      <c r="K68">
        <f>RANK(0.06,J:J,0)</f>
        <v>84</v>
      </c>
      <c r="L68" s="62">
        <f>RANK(12.45,M:M,0)</f>
        <v>67</v>
      </c>
      <c r="M68" s="304">
        <v>9.26</v>
      </c>
      <c r="N68" s="301">
        <f>VLOOKUP(5388,季財報!A:N,8,0)</f>
        <v>5</v>
      </c>
      <c r="P68" s="46"/>
      <c r="AC68" s="46"/>
      <c r="AF68" s="46"/>
      <c r="AH68" s="46"/>
    </row>
    <row r="69" spans="1:34">
      <c r="A69" s="187">
        <v>9951</v>
      </c>
      <c r="C69">
        <v>182</v>
      </c>
      <c r="D69">
        <v>1131</v>
      </c>
      <c r="E69">
        <v>1427</v>
      </c>
      <c r="F69">
        <v>1904</v>
      </c>
      <c r="G69">
        <v>56</v>
      </c>
      <c r="H69" s="200">
        <v>7.0000000000000007E-2</v>
      </c>
      <c r="I69">
        <f>RANK(0.07,H:H,0)</f>
        <v>107</v>
      </c>
      <c r="J69" s="193">
        <v>0.09</v>
      </c>
      <c r="K69">
        <f>RANK(0.09,J:J,0)</f>
        <v>29</v>
      </c>
      <c r="L69" s="62">
        <f>RANK(11.17,M:M,0)</f>
        <v>68</v>
      </c>
      <c r="M69" s="304">
        <v>9.26</v>
      </c>
      <c r="N69" s="301">
        <f>VLOOKUP(9951,季財報!A:N,8,0)</f>
        <v>3</v>
      </c>
      <c r="P69" s="46"/>
      <c r="AC69" s="46">
        <v>0.48</v>
      </c>
      <c r="AF69" s="46">
        <v>1.49</v>
      </c>
      <c r="AH69" s="46">
        <v>1.75</v>
      </c>
    </row>
    <row r="70" spans="1:34">
      <c r="A70" s="187">
        <v>1258</v>
      </c>
      <c r="C70">
        <v>67</v>
      </c>
      <c r="D70">
        <v>659</v>
      </c>
      <c r="E70">
        <v>293</v>
      </c>
      <c r="F70">
        <v>692</v>
      </c>
      <c r="G70">
        <v>55</v>
      </c>
      <c r="H70" s="200">
        <v>7.0000000000000007E-2</v>
      </c>
      <c r="I70">
        <f>RANK(0.07,H:H,0)</f>
        <v>107</v>
      </c>
      <c r="J70" s="193">
        <v>0.09</v>
      </c>
      <c r="K70">
        <f>RANK(0.09,J:J,0)</f>
        <v>29</v>
      </c>
      <c r="L70" s="62">
        <f>RANK(11.17,M:M,0)</f>
        <v>68</v>
      </c>
      <c r="M70" s="304">
        <v>9.26</v>
      </c>
      <c r="N70" s="301">
        <f>VLOOKUP(1258,季財報!A:N,8,0)</f>
        <v>6</v>
      </c>
      <c r="P70" s="46"/>
      <c r="AC70" s="46">
        <v>0.48</v>
      </c>
      <c r="AF70" s="46">
        <v>1.49</v>
      </c>
      <c r="AH70" s="46">
        <v>1.75</v>
      </c>
    </row>
    <row r="71" spans="1:34">
      <c r="A71" s="187">
        <v>8916</v>
      </c>
      <c r="C71">
        <v>304</v>
      </c>
      <c r="D71">
        <v>2306</v>
      </c>
      <c r="E71">
        <v>1287</v>
      </c>
      <c r="F71">
        <v>3266</v>
      </c>
      <c r="G71">
        <v>1362</v>
      </c>
      <c r="H71" s="200">
        <v>0.08</v>
      </c>
      <c r="I71">
        <f t="shared" ref="I71:I76" si="3">RANK(0.08,H:H,0)</f>
        <v>80</v>
      </c>
      <c r="J71" s="193">
        <v>7.0000000000000007E-2</v>
      </c>
      <c r="K71">
        <f t="shared" ref="K71:K76" si="4">RANK(0.07,J:J,0)</f>
        <v>57</v>
      </c>
      <c r="L71" s="62">
        <f t="shared" ref="L71:L76" si="5">RANK(11.09,M:M,0)</f>
        <v>70</v>
      </c>
      <c r="M71" s="304">
        <v>9.26</v>
      </c>
      <c r="N71" s="301">
        <f>VLOOKUP(8916,季財報!A:N,8,0)</f>
        <v>5</v>
      </c>
      <c r="P71" s="46"/>
      <c r="AC71" s="46"/>
      <c r="AF71" s="46"/>
      <c r="AH71" s="46"/>
    </row>
    <row r="72" spans="1:34">
      <c r="A72" s="187">
        <v>8044</v>
      </c>
      <c r="C72">
        <v>234</v>
      </c>
      <c r="D72">
        <v>2658</v>
      </c>
      <c r="E72">
        <v>258</v>
      </c>
      <c r="F72">
        <v>3202</v>
      </c>
      <c r="G72">
        <v>0</v>
      </c>
      <c r="H72" s="200">
        <v>0.08</v>
      </c>
      <c r="I72">
        <f t="shared" si="3"/>
        <v>80</v>
      </c>
      <c r="J72" s="193">
        <v>7.0000000000000007E-2</v>
      </c>
      <c r="K72">
        <f t="shared" si="4"/>
        <v>57</v>
      </c>
      <c r="L72" s="62">
        <f t="shared" si="5"/>
        <v>70</v>
      </c>
      <c r="M72" s="304">
        <v>9.26</v>
      </c>
      <c r="N72" s="301">
        <f>VLOOKUP(8044,季財報!A:N,8,0)</f>
        <v>1</v>
      </c>
    </row>
    <row r="73" spans="1:34">
      <c r="A73" s="187">
        <v>4947</v>
      </c>
      <c r="C73">
        <v>191</v>
      </c>
      <c r="D73">
        <v>2113</v>
      </c>
      <c r="E73">
        <v>326</v>
      </c>
      <c r="F73">
        <v>2595</v>
      </c>
      <c r="G73">
        <v>20</v>
      </c>
      <c r="H73" s="200">
        <v>0.08</v>
      </c>
      <c r="I73">
        <f t="shared" si="3"/>
        <v>80</v>
      </c>
      <c r="J73" s="193">
        <v>7.0000000000000007E-2</v>
      </c>
      <c r="K73">
        <f t="shared" si="4"/>
        <v>57</v>
      </c>
      <c r="L73" s="62">
        <f t="shared" si="5"/>
        <v>70</v>
      </c>
      <c r="M73" s="304">
        <v>9.26</v>
      </c>
      <c r="N73" s="301">
        <f>VLOOKUP(4947,季財報!A:N,8,0)</f>
        <v>4</v>
      </c>
    </row>
    <row r="74" spans="1:34">
      <c r="A74" s="187">
        <v>1232</v>
      </c>
      <c r="C74">
        <v>266</v>
      </c>
      <c r="D74">
        <v>2751</v>
      </c>
      <c r="E74">
        <v>564</v>
      </c>
      <c r="F74">
        <v>3471</v>
      </c>
      <c r="G74">
        <v>172</v>
      </c>
      <c r="H74" s="200">
        <v>0.08</v>
      </c>
      <c r="I74">
        <f t="shared" si="3"/>
        <v>80</v>
      </c>
      <c r="J74" s="193">
        <v>7.0000000000000007E-2</v>
      </c>
      <c r="K74">
        <f t="shared" si="4"/>
        <v>57</v>
      </c>
      <c r="L74" s="62">
        <f t="shared" si="5"/>
        <v>70</v>
      </c>
      <c r="M74" s="304">
        <v>9.26</v>
      </c>
      <c r="N74" s="301">
        <f>VLOOKUP(1232,季財報!A:N,8,0)</f>
        <v>3</v>
      </c>
    </row>
    <row r="75" spans="1:34">
      <c r="A75" s="187">
        <v>1558</v>
      </c>
      <c r="C75">
        <v>319</v>
      </c>
      <c r="D75">
        <v>2664</v>
      </c>
      <c r="E75">
        <v>1442</v>
      </c>
      <c r="F75">
        <v>4220</v>
      </c>
      <c r="G75">
        <v>430</v>
      </c>
      <c r="H75" s="200">
        <v>0.08</v>
      </c>
      <c r="I75">
        <f t="shared" si="3"/>
        <v>80</v>
      </c>
      <c r="J75" s="193">
        <v>7.0000000000000007E-2</v>
      </c>
      <c r="K75">
        <f t="shared" si="4"/>
        <v>57</v>
      </c>
      <c r="L75" s="62">
        <f t="shared" si="5"/>
        <v>70</v>
      </c>
      <c r="M75" s="304">
        <v>9.26</v>
      </c>
      <c r="N75" s="301">
        <f>VLOOKUP(1558,季財報!A:N,8,0)</f>
        <v>4</v>
      </c>
      <c r="P75" s="46"/>
      <c r="AC75" s="46"/>
      <c r="AF75" s="46"/>
      <c r="AH75" s="46"/>
    </row>
    <row r="76" spans="1:34">
      <c r="A76" s="187">
        <v>2723</v>
      </c>
      <c r="C76">
        <v>525</v>
      </c>
      <c r="D76">
        <v>1377</v>
      </c>
      <c r="E76">
        <v>5476</v>
      </c>
      <c r="F76">
        <v>7527</v>
      </c>
      <c r="G76">
        <v>86</v>
      </c>
      <c r="H76" s="200">
        <v>0.08</v>
      </c>
      <c r="I76">
        <f t="shared" si="3"/>
        <v>80</v>
      </c>
      <c r="J76" s="193">
        <v>7.0000000000000007E-2</v>
      </c>
      <c r="K76">
        <f t="shared" si="4"/>
        <v>57</v>
      </c>
      <c r="L76" s="62">
        <f t="shared" si="5"/>
        <v>70</v>
      </c>
      <c r="M76" s="304">
        <v>8.7799999999999994</v>
      </c>
      <c r="N76" s="301">
        <f>VLOOKUP(2723,季財報!A:N,8,0)</f>
        <v>5</v>
      </c>
      <c r="P76" s="46"/>
      <c r="AC76" s="46"/>
      <c r="AF76" s="46"/>
      <c r="AH76" s="46"/>
    </row>
    <row r="77" spans="1:34">
      <c r="A77" s="187">
        <v>4987</v>
      </c>
      <c r="C77">
        <v>66</v>
      </c>
      <c r="D77">
        <v>550</v>
      </c>
      <c r="E77">
        <v>390</v>
      </c>
      <c r="F77">
        <v>852</v>
      </c>
      <c r="G77">
        <v>24</v>
      </c>
      <c r="H77" s="200">
        <v>7.0000000000000007E-2</v>
      </c>
      <c r="I77">
        <f>RANK(0.07,H:H,0)</f>
        <v>107</v>
      </c>
      <c r="J77" s="193">
        <v>0.08</v>
      </c>
      <c r="K77">
        <f>RANK(0.08,J:J,0)</f>
        <v>37</v>
      </c>
      <c r="L77" s="62">
        <f>RANK(10.55,M:M,0)</f>
        <v>76</v>
      </c>
      <c r="M77" s="304">
        <v>8.7799999999999994</v>
      </c>
      <c r="N77" s="301">
        <f>VLOOKUP(4987,季財報!A:N,8,0)</f>
        <v>2</v>
      </c>
      <c r="P77" s="46"/>
      <c r="AC77" s="46"/>
      <c r="AF77" s="46"/>
      <c r="AH77" s="46"/>
    </row>
    <row r="78" spans="1:34">
      <c r="A78" s="187">
        <v>3030</v>
      </c>
      <c r="C78">
        <v>426</v>
      </c>
      <c r="D78">
        <v>3540</v>
      </c>
      <c r="E78">
        <v>2223</v>
      </c>
      <c r="F78">
        <v>5676</v>
      </c>
      <c r="G78">
        <v>0</v>
      </c>
      <c r="H78" s="200">
        <v>7.0000000000000007E-2</v>
      </c>
      <c r="I78">
        <f>RANK(0.07,H:H,0)</f>
        <v>107</v>
      </c>
      <c r="J78" s="193">
        <v>0.08</v>
      </c>
      <c r="K78">
        <f>RANK(0.08,J:J,0)</f>
        <v>37</v>
      </c>
      <c r="L78" s="62">
        <f>RANK(10.55,M:M,0)</f>
        <v>76</v>
      </c>
      <c r="M78" s="304">
        <v>8.39</v>
      </c>
      <c r="N78" s="301">
        <f>VLOOKUP(3030,季財報!A:N,8,0)</f>
        <v>1</v>
      </c>
      <c r="P78" s="46"/>
      <c r="AC78" s="46"/>
      <c r="AF78" s="46"/>
      <c r="AH78" s="46"/>
    </row>
    <row r="79" spans="1:34">
      <c r="A79" s="187">
        <v>5225</v>
      </c>
      <c r="C79">
        <v>157</v>
      </c>
      <c r="D79">
        <v>499</v>
      </c>
      <c r="E79">
        <v>1201</v>
      </c>
      <c r="F79">
        <v>1691</v>
      </c>
      <c r="G79">
        <v>1019</v>
      </c>
      <c r="H79" s="200">
        <v>0.09</v>
      </c>
      <c r="I79">
        <f>RANK(0.09,H:H,0)</f>
        <v>63</v>
      </c>
      <c r="J79" s="193">
        <v>0.06</v>
      </c>
      <c r="K79">
        <f>RANK(0.06,J:J,0)</f>
        <v>84</v>
      </c>
      <c r="L79" s="62">
        <f>RANK(10.33,M:M,0)</f>
        <v>78</v>
      </c>
      <c r="M79" s="304">
        <v>8.39</v>
      </c>
      <c r="N79" s="301">
        <f>VLOOKUP(5225,季財報!A:N,8,0)</f>
        <v>4</v>
      </c>
      <c r="P79" s="46"/>
      <c r="AC79" s="46"/>
      <c r="AF79" s="46"/>
      <c r="AH79" s="46"/>
    </row>
    <row r="80" spans="1:34">
      <c r="A80" s="187">
        <v>2404</v>
      </c>
      <c r="C80">
        <v>351</v>
      </c>
      <c r="D80">
        <v>3197</v>
      </c>
      <c r="E80">
        <v>581</v>
      </c>
      <c r="F80">
        <v>6059</v>
      </c>
      <c r="G80">
        <v>0</v>
      </c>
      <c r="H80" s="200">
        <v>0.09</v>
      </c>
      <c r="I80">
        <f>RANK(0.09,H:H,0)</f>
        <v>63</v>
      </c>
      <c r="J80" s="193">
        <v>0.06</v>
      </c>
      <c r="K80">
        <f>RANK(0.06,J:J,0)</f>
        <v>84</v>
      </c>
      <c r="L80" s="62">
        <f>RANK(10.33,M:M,0)</f>
        <v>78</v>
      </c>
      <c r="M80" s="304">
        <v>8.39</v>
      </c>
      <c r="N80" s="301">
        <f>VLOOKUP(2404,季財報!A:N,8,0)</f>
        <v>3</v>
      </c>
      <c r="P80" s="46"/>
      <c r="AC80" s="46"/>
      <c r="AF80" s="46"/>
      <c r="AH80" s="46"/>
    </row>
    <row r="81" spans="1:34">
      <c r="A81" s="187">
        <v>6803</v>
      </c>
      <c r="C81">
        <v>246</v>
      </c>
      <c r="D81">
        <v>1709</v>
      </c>
      <c r="E81">
        <v>51</v>
      </c>
      <c r="F81">
        <v>4734</v>
      </c>
      <c r="G81">
        <v>162</v>
      </c>
      <c r="H81" s="200">
        <v>0.14000000000000001</v>
      </c>
      <c r="I81">
        <f>RANK(0.14,H:H,0)</f>
        <v>20</v>
      </c>
      <c r="J81" s="193">
        <v>0.05</v>
      </c>
      <c r="K81">
        <f>RANK(0.05,J:J,0)</f>
        <v>135</v>
      </c>
      <c r="L81" s="62">
        <f>RANK(9.8,M:M,0)</f>
        <v>80</v>
      </c>
      <c r="M81" s="304">
        <v>7.91</v>
      </c>
      <c r="N81" s="301">
        <f>VLOOKUP(6803,季財報!A:N,8,0)</f>
        <v>3</v>
      </c>
      <c r="P81" s="46"/>
      <c r="AC81" s="46"/>
      <c r="AF81" s="46"/>
      <c r="AH81" s="46"/>
    </row>
    <row r="82" spans="1:34">
      <c r="A82" s="187">
        <v>2059</v>
      </c>
      <c r="C82">
        <v>529</v>
      </c>
      <c r="D82">
        <v>6246</v>
      </c>
      <c r="E82">
        <v>1430</v>
      </c>
      <c r="F82">
        <v>7611</v>
      </c>
      <c r="G82">
        <v>0</v>
      </c>
      <c r="H82" s="200">
        <v>7.0000000000000007E-2</v>
      </c>
      <c r="I82">
        <f t="shared" ref="I82:I87" si="6">RANK(0.07,H:H,0)</f>
        <v>107</v>
      </c>
      <c r="J82" s="193">
        <v>7.0000000000000007E-2</v>
      </c>
      <c r="K82">
        <f t="shared" ref="K82:K87" si="7">RANK(0.07,J:J,0)</f>
        <v>57</v>
      </c>
      <c r="L82" s="62">
        <f t="shared" ref="L82:L92" si="8">RANK(9.26,M:M,0)</f>
        <v>81</v>
      </c>
      <c r="M82" s="304">
        <v>7.95</v>
      </c>
      <c r="N82" s="301">
        <f>VLOOKUP(2059,季財報!A:N,8,0)</f>
        <v>4</v>
      </c>
      <c r="P82" s="46"/>
      <c r="AC82" s="46"/>
      <c r="AF82" s="46"/>
      <c r="AH82" s="46"/>
    </row>
    <row r="83" spans="1:34">
      <c r="A83" s="187">
        <v>2066</v>
      </c>
      <c r="C83">
        <v>67</v>
      </c>
      <c r="D83">
        <v>653</v>
      </c>
      <c r="E83">
        <v>306</v>
      </c>
      <c r="F83">
        <v>993</v>
      </c>
      <c r="G83">
        <v>0</v>
      </c>
      <c r="H83" s="200">
        <v>7.0000000000000007E-2</v>
      </c>
      <c r="I83">
        <f t="shared" si="6"/>
        <v>107</v>
      </c>
      <c r="J83" s="193">
        <v>7.0000000000000007E-2</v>
      </c>
      <c r="K83">
        <f t="shared" si="7"/>
        <v>57</v>
      </c>
      <c r="L83" s="62">
        <f t="shared" si="8"/>
        <v>81</v>
      </c>
      <c r="M83" s="304">
        <v>7.95</v>
      </c>
      <c r="N83" s="301">
        <f>VLOOKUP(2066,季財報!A:N,8,0)</f>
        <v>3</v>
      </c>
      <c r="P83" s="46"/>
      <c r="AC83" s="46"/>
      <c r="AF83" s="46"/>
      <c r="AH83" s="46"/>
    </row>
    <row r="84" spans="1:34">
      <c r="A84" s="187">
        <v>2228</v>
      </c>
      <c r="C84">
        <v>212</v>
      </c>
      <c r="D84">
        <v>1853</v>
      </c>
      <c r="E84">
        <v>1257</v>
      </c>
      <c r="F84">
        <v>3037</v>
      </c>
      <c r="G84">
        <v>0</v>
      </c>
      <c r="H84" s="200">
        <v>7.0000000000000007E-2</v>
      </c>
      <c r="I84">
        <f t="shared" si="6"/>
        <v>107</v>
      </c>
      <c r="J84" s="193">
        <v>7.0000000000000007E-2</v>
      </c>
      <c r="K84">
        <f t="shared" si="7"/>
        <v>57</v>
      </c>
      <c r="L84" s="62">
        <f t="shared" si="8"/>
        <v>81</v>
      </c>
      <c r="M84" s="304">
        <v>7.95</v>
      </c>
      <c r="N84" s="301">
        <f>VLOOKUP(2228,季財報!A:N,8,0)</f>
        <v>4</v>
      </c>
      <c r="P84" s="46"/>
      <c r="AC84" s="46"/>
      <c r="AF84" s="46"/>
      <c r="AH84" s="46"/>
    </row>
    <row r="85" spans="1:34">
      <c r="A85" s="187">
        <v>2926</v>
      </c>
      <c r="C85">
        <v>106</v>
      </c>
      <c r="D85">
        <v>411</v>
      </c>
      <c r="E85">
        <v>1034</v>
      </c>
      <c r="F85">
        <v>1454</v>
      </c>
      <c r="G85">
        <v>119</v>
      </c>
      <c r="H85" s="200">
        <v>7.0000000000000007E-2</v>
      </c>
      <c r="I85">
        <f t="shared" si="6"/>
        <v>107</v>
      </c>
      <c r="J85" s="193">
        <v>7.0000000000000007E-2</v>
      </c>
      <c r="K85">
        <f t="shared" si="7"/>
        <v>57</v>
      </c>
      <c r="L85" s="62">
        <f t="shared" si="8"/>
        <v>81</v>
      </c>
      <c r="M85" s="304">
        <v>7.95</v>
      </c>
      <c r="N85" s="301">
        <f>VLOOKUP(2926,季財報!A:N,8,0)</f>
        <v>2</v>
      </c>
      <c r="P85" s="46"/>
      <c r="AC85" s="46"/>
      <c r="AF85" s="46"/>
      <c r="AH85" s="46"/>
    </row>
    <row r="86" spans="1:34">
      <c r="A86" s="187">
        <v>3130</v>
      </c>
      <c r="C86">
        <v>98</v>
      </c>
      <c r="D86">
        <v>1133</v>
      </c>
      <c r="E86">
        <v>190</v>
      </c>
      <c r="F86">
        <v>1368</v>
      </c>
      <c r="G86">
        <v>0</v>
      </c>
      <c r="H86" s="200">
        <v>7.0000000000000007E-2</v>
      </c>
      <c r="I86">
        <f t="shared" si="6"/>
        <v>107</v>
      </c>
      <c r="J86" s="193">
        <v>7.0000000000000007E-2</v>
      </c>
      <c r="K86">
        <f t="shared" si="7"/>
        <v>57</v>
      </c>
      <c r="L86" s="62">
        <f t="shared" si="8"/>
        <v>81</v>
      </c>
      <c r="M86" s="304">
        <v>7.95</v>
      </c>
      <c r="N86" s="301">
        <f>VLOOKUP(3130,季財報!A:N,8,0)</f>
        <v>2</v>
      </c>
      <c r="P86" s="46"/>
      <c r="AC86" s="46"/>
      <c r="AF86" s="46"/>
      <c r="AH86" s="46"/>
    </row>
    <row r="87" spans="1:34">
      <c r="A87" s="187">
        <v>3623</v>
      </c>
      <c r="C87">
        <v>63</v>
      </c>
      <c r="D87">
        <v>712</v>
      </c>
      <c r="E87">
        <v>133</v>
      </c>
      <c r="F87">
        <v>855</v>
      </c>
      <c r="G87">
        <v>0</v>
      </c>
      <c r="H87" s="200">
        <v>7.0000000000000007E-2</v>
      </c>
      <c r="I87">
        <f t="shared" si="6"/>
        <v>107</v>
      </c>
      <c r="J87" s="193">
        <v>7.0000000000000007E-2</v>
      </c>
      <c r="K87">
        <f t="shared" si="7"/>
        <v>57</v>
      </c>
      <c r="L87" s="62">
        <f t="shared" si="8"/>
        <v>81</v>
      </c>
      <c r="M87" s="304">
        <v>7.95</v>
      </c>
      <c r="N87" s="301">
        <f>VLOOKUP(3623,季財報!A:N,8,0)</f>
        <v>3</v>
      </c>
      <c r="P87" s="46"/>
      <c r="AC87" s="46"/>
      <c r="AF87" s="46"/>
      <c r="AH87" s="46"/>
    </row>
    <row r="88" spans="1:34">
      <c r="A88" s="187">
        <v>1817</v>
      </c>
      <c r="C88">
        <v>93</v>
      </c>
      <c r="D88">
        <v>577</v>
      </c>
      <c r="E88">
        <v>589</v>
      </c>
      <c r="F88">
        <v>1420</v>
      </c>
      <c r="G88">
        <v>50</v>
      </c>
      <c r="H88" s="200">
        <v>0.08</v>
      </c>
      <c r="I88">
        <f>RANK(0.08,H:H,0)</f>
        <v>80</v>
      </c>
      <c r="J88" s="193">
        <v>0.06</v>
      </c>
      <c r="K88">
        <f>RANK(0.06,J:J,0)</f>
        <v>84</v>
      </c>
      <c r="L88" s="62">
        <f t="shared" si="8"/>
        <v>81</v>
      </c>
      <c r="M88" s="304">
        <v>7.95</v>
      </c>
      <c r="N88" s="301">
        <f>VLOOKUP(1817,季財報!A:N,8,0)</f>
        <v>3</v>
      </c>
      <c r="P88" s="46"/>
      <c r="AC88" s="46"/>
      <c r="AF88" s="46"/>
      <c r="AH88" s="46"/>
    </row>
    <row r="89" spans="1:34">
      <c r="A89" s="187">
        <v>2420</v>
      </c>
      <c r="C89">
        <v>179</v>
      </c>
      <c r="D89">
        <v>826</v>
      </c>
      <c r="E89">
        <v>1466</v>
      </c>
      <c r="F89">
        <v>2681</v>
      </c>
      <c r="G89">
        <v>408</v>
      </c>
      <c r="H89" s="200">
        <v>0.08</v>
      </c>
      <c r="I89">
        <f>RANK(0.08,H:H,0)</f>
        <v>80</v>
      </c>
      <c r="J89" s="193">
        <v>0.06</v>
      </c>
      <c r="K89">
        <f>RANK(0.06,J:J,0)</f>
        <v>84</v>
      </c>
      <c r="L89" s="62">
        <f t="shared" si="8"/>
        <v>81</v>
      </c>
      <c r="M89" s="304">
        <v>7.95</v>
      </c>
      <c r="N89" s="301">
        <f>VLOOKUP(2420,季財報!A:N,8,0)</f>
        <v>3</v>
      </c>
      <c r="P89" s="46"/>
      <c r="AC89" s="46"/>
      <c r="AF89" s="46"/>
      <c r="AH89" s="46"/>
    </row>
    <row r="90" spans="1:34">
      <c r="A90" s="187">
        <v>6224</v>
      </c>
      <c r="C90">
        <v>131</v>
      </c>
      <c r="D90">
        <v>1127</v>
      </c>
      <c r="E90">
        <v>747</v>
      </c>
      <c r="F90">
        <v>1979</v>
      </c>
      <c r="G90">
        <v>0</v>
      </c>
      <c r="H90" s="200">
        <v>7.0000000000000007E-2</v>
      </c>
      <c r="I90">
        <f>RANK(0.07,H:H,0)</f>
        <v>107</v>
      </c>
      <c r="J90" s="193">
        <v>7.0000000000000007E-2</v>
      </c>
      <c r="K90">
        <f>RANK(0.07,J:J,0)</f>
        <v>57</v>
      </c>
      <c r="L90" s="62">
        <f t="shared" si="8"/>
        <v>81</v>
      </c>
      <c r="M90" s="304">
        <v>7.95</v>
      </c>
      <c r="N90" s="301">
        <f>VLOOKUP(6224,季財報!A:N,8,0)</f>
        <v>2</v>
      </c>
    </row>
    <row r="91" spans="1:34">
      <c r="A91" s="187">
        <v>3413</v>
      </c>
      <c r="C91">
        <v>134</v>
      </c>
      <c r="D91">
        <v>975</v>
      </c>
      <c r="E91">
        <v>632</v>
      </c>
      <c r="F91">
        <v>1964</v>
      </c>
      <c r="G91">
        <v>363</v>
      </c>
      <c r="H91" s="200">
        <v>0.08</v>
      </c>
      <c r="I91">
        <f>RANK(0.08,H:H,0)</f>
        <v>80</v>
      </c>
      <c r="J91" s="193">
        <v>0.06</v>
      </c>
      <c r="K91">
        <f>RANK(0.06,J:J,0)</f>
        <v>84</v>
      </c>
      <c r="L91" s="62">
        <f t="shared" si="8"/>
        <v>81</v>
      </c>
      <c r="M91" s="304">
        <v>7.95</v>
      </c>
      <c r="N91" s="301">
        <f>VLOOKUP(3413,季財報!A:N,8,0)</f>
        <v>2</v>
      </c>
    </row>
    <row r="92" spans="1:34">
      <c r="A92" s="187">
        <v>3498</v>
      </c>
      <c r="C92">
        <v>196</v>
      </c>
      <c r="D92">
        <v>1769</v>
      </c>
      <c r="E92">
        <v>762</v>
      </c>
      <c r="F92">
        <v>2729</v>
      </c>
      <c r="G92">
        <v>507</v>
      </c>
      <c r="H92" s="200">
        <v>0.08</v>
      </c>
      <c r="I92">
        <f>RANK(0.08,H:H,0)</f>
        <v>80</v>
      </c>
      <c r="J92" s="193">
        <v>0.06</v>
      </c>
      <c r="K92">
        <f>RANK(0.06,J:J,0)</f>
        <v>84</v>
      </c>
      <c r="L92" s="62">
        <f t="shared" si="8"/>
        <v>81</v>
      </c>
      <c r="M92" s="304">
        <v>7.95</v>
      </c>
      <c r="N92" s="301">
        <f>VLOOKUP(3498,季財報!A:N,8,0)</f>
        <v>4</v>
      </c>
    </row>
    <row r="93" spans="1:34">
      <c r="A93" s="187">
        <v>9917</v>
      </c>
      <c r="C93">
        <v>657</v>
      </c>
      <c r="D93">
        <v>0</v>
      </c>
      <c r="E93">
        <v>6062</v>
      </c>
      <c r="F93">
        <v>10631</v>
      </c>
      <c r="G93">
        <v>3357</v>
      </c>
      <c r="H93" s="200">
        <v>0.11</v>
      </c>
      <c r="I93">
        <f>RANK(0.11,H:H,0)</f>
        <v>38</v>
      </c>
      <c r="J93" s="193">
        <v>0.05</v>
      </c>
      <c r="K93">
        <f>RANK(0.05,J:J,0)</f>
        <v>135</v>
      </c>
      <c r="L93" s="62">
        <f>RANK(8.78,M:M,0)</f>
        <v>92</v>
      </c>
      <c r="M93" s="304">
        <v>7.95</v>
      </c>
      <c r="N93" s="301">
        <f>VLOOKUP(9917,季財報!A:N,8,0)</f>
        <v>2</v>
      </c>
    </row>
    <row r="94" spans="1:34">
      <c r="A94" s="187">
        <v>3045</v>
      </c>
      <c r="C94">
        <v>5339</v>
      </c>
      <c r="D94">
        <v>0</v>
      </c>
      <c r="E94">
        <v>47848</v>
      </c>
      <c r="F94">
        <v>61617</v>
      </c>
      <c r="G94">
        <v>42370</v>
      </c>
      <c r="H94" s="200">
        <v>0.11</v>
      </c>
      <c r="I94">
        <f>RANK(0.11,H:H,0)</f>
        <v>38</v>
      </c>
      <c r="J94" s="193">
        <v>0.05</v>
      </c>
      <c r="K94">
        <f>RANK(0.05,J:J,0)</f>
        <v>135</v>
      </c>
      <c r="L94" s="62">
        <f>RANK(8.78,M:M,0)</f>
        <v>92</v>
      </c>
      <c r="M94" s="304">
        <v>7.95</v>
      </c>
      <c r="N94" s="301">
        <f>VLOOKUP(3045,季財報!A:N,8,0)</f>
        <v>4</v>
      </c>
    </row>
    <row r="95" spans="1:34">
      <c r="A95" s="187">
        <v>5206</v>
      </c>
      <c r="C95">
        <v>193</v>
      </c>
      <c r="D95">
        <v>1879</v>
      </c>
      <c r="E95">
        <v>11</v>
      </c>
      <c r="F95">
        <v>1915</v>
      </c>
      <c r="G95">
        <v>1925</v>
      </c>
      <c r="H95" s="200">
        <v>0.1</v>
      </c>
      <c r="I95">
        <f>RANK(0.1,H:H,0)</f>
        <v>46</v>
      </c>
      <c r="J95" s="193">
        <v>0.05</v>
      </c>
      <c r="K95">
        <f>RANK(0.05,J:J,0)</f>
        <v>135</v>
      </c>
      <c r="L95" s="62">
        <f>RANK(8.39,M:M,0)</f>
        <v>94</v>
      </c>
      <c r="M95" s="304">
        <v>7.17</v>
      </c>
      <c r="N95" s="301">
        <f>VLOOKUP(5206,季財報!A:N,8,0)</f>
        <v>5</v>
      </c>
    </row>
    <row r="96" spans="1:34">
      <c r="A96" s="187">
        <v>4966</v>
      </c>
      <c r="C96">
        <v>297</v>
      </c>
      <c r="D96">
        <v>2932</v>
      </c>
      <c r="E96">
        <v>169</v>
      </c>
      <c r="F96">
        <v>6181</v>
      </c>
      <c r="G96">
        <v>0</v>
      </c>
      <c r="H96" s="200">
        <v>0.1</v>
      </c>
      <c r="I96">
        <f>RANK(0.1,H:H,0)</f>
        <v>46</v>
      </c>
      <c r="J96" s="193">
        <v>0.05</v>
      </c>
      <c r="K96">
        <f>RANK(0.05,J:J,0)</f>
        <v>135</v>
      </c>
      <c r="L96" s="62">
        <f>RANK(8.39,M:M,0)</f>
        <v>94</v>
      </c>
      <c r="M96" s="304">
        <v>7.17</v>
      </c>
      <c r="N96" s="301">
        <f>VLOOKUP(4966,季財報!A:N,8,0)</f>
        <v>2</v>
      </c>
    </row>
    <row r="97" spans="1:14">
      <c r="A97" s="187">
        <v>3528</v>
      </c>
      <c r="C97">
        <v>86</v>
      </c>
      <c r="D97">
        <v>831</v>
      </c>
      <c r="E97">
        <v>16</v>
      </c>
      <c r="F97">
        <v>1171</v>
      </c>
      <c r="G97">
        <v>706</v>
      </c>
      <c r="H97" s="200">
        <v>0.1</v>
      </c>
      <c r="I97">
        <f>RANK(0.1,H:H,0)</f>
        <v>46</v>
      </c>
      <c r="J97" s="193">
        <v>0.05</v>
      </c>
      <c r="K97">
        <f>RANK(0.05,J:J,0)</f>
        <v>135</v>
      </c>
      <c r="L97" s="62">
        <f>RANK(8.39,M:M,0)</f>
        <v>94</v>
      </c>
      <c r="M97" s="304">
        <v>7.17</v>
      </c>
      <c r="N97" s="301">
        <f>VLOOKUP(3528,季財報!A:N,8,0)</f>
        <v>1</v>
      </c>
    </row>
    <row r="98" spans="1:14">
      <c r="A98" s="187">
        <v>6286</v>
      </c>
      <c r="C98">
        <v>473</v>
      </c>
      <c r="D98">
        <v>3925</v>
      </c>
      <c r="E98">
        <v>2884</v>
      </c>
      <c r="F98">
        <v>7294</v>
      </c>
      <c r="G98">
        <v>35</v>
      </c>
      <c r="H98" s="200">
        <v>7.0000000000000007E-2</v>
      </c>
      <c r="I98">
        <f t="shared" ref="I98:I112" si="9">RANK(0.07,H:H,0)</f>
        <v>107</v>
      </c>
      <c r="J98" s="193">
        <v>0.06</v>
      </c>
      <c r="K98">
        <f t="shared" ref="K98:K112" si="10">RANK(0.06,J:J,0)</f>
        <v>84</v>
      </c>
      <c r="L98" s="62">
        <f t="shared" ref="L98:L112" si="11">RANK(7.95,M:M,0)</f>
        <v>97</v>
      </c>
      <c r="M98" s="304">
        <v>7.07</v>
      </c>
      <c r="N98" s="301">
        <f>VLOOKUP(6286,季財報!A:N,8,0)</f>
        <v>6</v>
      </c>
    </row>
    <row r="99" spans="1:14">
      <c r="A99" s="187">
        <v>6452</v>
      </c>
      <c r="C99">
        <v>306</v>
      </c>
      <c r="D99">
        <v>2948</v>
      </c>
      <c r="E99">
        <v>1696</v>
      </c>
      <c r="F99">
        <v>5038</v>
      </c>
      <c r="G99">
        <v>0</v>
      </c>
      <c r="H99" s="200">
        <v>7.0000000000000007E-2</v>
      </c>
      <c r="I99">
        <f t="shared" si="9"/>
        <v>107</v>
      </c>
      <c r="J99" s="193">
        <v>0.06</v>
      </c>
      <c r="K99">
        <f t="shared" si="10"/>
        <v>84</v>
      </c>
      <c r="L99" s="62">
        <f t="shared" si="11"/>
        <v>97</v>
      </c>
      <c r="M99" s="304">
        <v>7.07</v>
      </c>
      <c r="N99" s="301">
        <f>VLOOKUP(6452,季財報!A:N,8,0)</f>
        <v>2</v>
      </c>
    </row>
    <row r="100" spans="1:14">
      <c r="A100" s="187">
        <v>6504</v>
      </c>
      <c r="C100">
        <v>189</v>
      </c>
      <c r="D100">
        <v>826</v>
      </c>
      <c r="E100">
        <v>1826</v>
      </c>
      <c r="F100">
        <v>2629</v>
      </c>
      <c r="G100">
        <v>618</v>
      </c>
      <c r="H100" s="200">
        <v>7.0000000000000007E-2</v>
      </c>
      <c r="I100">
        <f t="shared" si="9"/>
        <v>107</v>
      </c>
      <c r="J100" s="193">
        <v>0.06</v>
      </c>
      <c r="K100">
        <f t="shared" si="10"/>
        <v>84</v>
      </c>
      <c r="L100" s="62">
        <f t="shared" si="11"/>
        <v>97</v>
      </c>
      <c r="M100" s="304">
        <v>6.28</v>
      </c>
      <c r="N100" s="301">
        <f>VLOOKUP(6504,季財報!A:N,8,0)</f>
        <v>2</v>
      </c>
    </row>
    <row r="101" spans="1:14">
      <c r="A101" s="187">
        <v>6202</v>
      </c>
      <c r="C101">
        <v>217</v>
      </c>
      <c r="D101">
        <v>2797</v>
      </c>
      <c r="E101">
        <v>481</v>
      </c>
      <c r="F101">
        <v>3887</v>
      </c>
      <c r="G101">
        <v>0</v>
      </c>
      <c r="H101" s="200">
        <v>7.0000000000000007E-2</v>
      </c>
      <c r="I101">
        <f t="shared" si="9"/>
        <v>107</v>
      </c>
      <c r="J101" s="193">
        <v>0.06</v>
      </c>
      <c r="K101">
        <f t="shared" si="10"/>
        <v>84</v>
      </c>
      <c r="L101" s="62">
        <f t="shared" si="11"/>
        <v>97</v>
      </c>
      <c r="M101" s="304">
        <v>6.28</v>
      </c>
      <c r="N101" s="301">
        <f>VLOOKUP(6202,季財報!A:N,8,0)</f>
        <v>4</v>
      </c>
    </row>
    <row r="102" spans="1:14">
      <c r="A102" s="187">
        <v>6415</v>
      </c>
      <c r="C102">
        <v>247</v>
      </c>
      <c r="D102">
        <v>3240</v>
      </c>
      <c r="E102">
        <v>97</v>
      </c>
      <c r="F102">
        <v>4172</v>
      </c>
      <c r="G102">
        <v>0</v>
      </c>
      <c r="H102" s="200">
        <v>7.0000000000000007E-2</v>
      </c>
      <c r="I102">
        <f t="shared" si="9"/>
        <v>107</v>
      </c>
      <c r="J102" s="193">
        <v>0.06</v>
      </c>
      <c r="K102">
        <f t="shared" si="10"/>
        <v>84</v>
      </c>
      <c r="L102" s="62">
        <f t="shared" si="11"/>
        <v>97</v>
      </c>
      <c r="M102" s="304">
        <v>6.28</v>
      </c>
      <c r="N102" s="301">
        <f>VLOOKUP(6415,季財報!A:N,8,0)</f>
        <v>2</v>
      </c>
    </row>
    <row r="103" spans="1:14">
      <c r="A103" s="187">
        <v>5288</v>
      </c>
      <c r="C103">
        <v>147</v>
      </c>
      <c r="D103">
        <v>1502</v>
      </c>
      <c r="E103">
        <v>678</v>
      </c>
      <c r="F103">
        <v>2343</v>
      </c>
      <c r="G103">
        <v>64</v>
      </c>
      <c r="H103" s="200">
        <v>7.0000000000000007E-2</v>
      </c>
      <c r="I103">
        <f t="shared" si="9"/>
        <v>107</v>
      </c>
      <c r="J103" s="193">
        <v>0.06</v>
      </c>
      <c r="K103">
        <f t="shared" si="10"/>
        <v>84</v>
      </c>
      <c r="L103" s="62">
        <f t="shared" si="11"/>
        <v>97</v>
      </c>
      <c r="M103" s="304">
        <v>6.28</v>
      </c>
      <c r="N103" s="301">
        <f>VLOOKUP(5288,季財報!A:N,8,0)</f>
        <v>4</v>
      </c>
    </row>
    <row r="104" spans="1:14">
      <c r="A104" s="187">
        <v>1507</v>
      </c>
      <c r="C104">
        <v>686</v>
      </c>
      <c r="D104">
        <v>3878</v>
      </c>
      <c r="E104">
        <v>5854</v>
      </c>
      <c r="F104">
        <v>12122</v>
      </c>
      <c r="G104">
        <v>0</v>
      </c>
      <c r="H104" s="200">
        <v>7.0000000000000007E-2</v>
      </c>
      <c r="I104">
        <f t="shared" si="9"/>
        <v>107</v>
      </c>
      <c r="J104" s="193">
        <v>0.06</v>
      </c>
      <c r="K104">
        <f t="shared" si="10"/>
        <v>84</v>
      </c>
      <c r="L104" s="62">
        <f t="shared" si="11"/>
        <v>97</v>
      </c>
      <c r="M104" s="304">
        <v>6.28</v>
      </c>
      <c r="N104" s="301">
        <f>VLOOKUP(1507,季財報!A:N,8,0)</f>
        <v>2</v>
      </c>
    </row>
    <row r="105" spans="1:14">
      <c r="A105" s="187">
        <v>1539</v>
      </c>
      <c r="C105">
        <v>84</v>
      </c>
      <c r="D105">
        <v>423</v>
      </c>
      <c r="E105">
        <v>729</v>
      </c>
      <c r="F105">
        <v>971</v>
      </c>
      <c r="G105">
        <v>540</v>
      </c>
      <c r="H105" s="200">
        <v>7.0000000000000007E-2</v>
      </c>
      <c r="I105">
        <f t="shared" si="9"/>
        <v>107</v>
      </c>
      <c r="J105" s="193">
        <v>0.06</v>
      </c>
      <c r="K105">
        <f t="shared" si="10"/>
        <v>84</v>
      </c>
      <c r="L105" s="62">
        <f t="shared" si="11"/>
        <v>97</v>
      </c>
      <c r="M105" s="304">
        <v>6.28</v>
      </c>
      <c r="N105" s="301">
        <f>VLOOKUP(1539,季財報!A:N,8,0)</f>
        <v>4</v>
      </c>
    </row>
    <row r="106" spans="1:14">
      <c r="A106" s="187">
        <v>2395</v>
      </c>
      <c r="C106">
        <v>1326</v>
      </c>
      <c r="D106">
        <v>9961</v>
      </c>
      <c r="E106">
        <v>9519</v>
      </c>
      <c r="F106">
        <v>22301</v>
      </c>
      <c r="G106">
        <v>84</v>
      </c>
      <c r="H106" s="200">
        <v>7.0000000000000007E-2</v>
      </c>
      <c r="I106">
        <f t="shared" si="9"/>
        <v>107</v>
      </c>
      <c r="J106" s="193">
        <v>0.06</v>
      </c>
      <c r="K106">
        <f t="shared" si="10"/>
        <v>84</v>
      </c>
      <c r="L106" s="62">
        <f t="shared" si="11"/>
        <v>97</v>
      </c>
      <c r="M106" s="304">
        <v>6.28</v>
      </c>
      <c r="N106" s="301">
        <f>VLOOKUP(2395,季財報!A:N,8,0)</f>
        <v>1</v>
      </c>
    </row>
    <row r="107" spans="1:14">
      <c r="A107" s="187">
        <v>2474</v>
      </c>
      <c r="C107">
        <v>7667</v>
      </c>
      <c r="D107">
        <v>50898</v>
      </c>
      <c r="E107">
        <v>58185</v>
      </c>
      <c r="F107">
        <v>110742</v>
      </c>
      <c r="G107">
        <v>21849</v>
      </c>
      <c r="H107" s="200">
        <v>7.0000000000000007E-2</v>
      </c>
      <c r="I107">
        <f t="shared" si="9"/>
        <v>107</v>
      </c>
      <c r="J107" s="193">
        <v>0.06</v>
      </c>
      <c r="K107">
        <f t="shared" si="10"/>
        <v>84</v>
      </c>
      <c r="L107" s="62">
        <f t="shared" si="11"/>
        <v>97</v>
      </c>
      <c r="M107" s="304">
        <v>6.36</v>
      </c>
      <c r="N107" s="301">
        <f>VLOOKUP(2474,季財報!A:N,8,0)</f>
        <v>3</v>
      </c>
    </row>
    <row r="108" spans="1:14">
      <c r="A108" s="187">
        <v>3428</v>
      </c>
      <c r="C108">
        <v>162</v>
      </c>
      <c r="D108">
        <v>737</v>
      </c>
      <c r="E108">
        <v>1463</v>
      </c>
      <c r="F108">
        <v>2335</v>
      </c>
      <c r="G108">
        <v>380</v>
      </c>
      <c r="H108" s="200">
        <v>7.0000000000000007E-2</v>
      </c>
      <c r="I108">
        <f t="shared" si="9"/>
        <v>107</v>
      </c>
      <c r="J108" s="193">
        <v>0.06</v>
      </c>
      <c r="K108">
        <f t="shared" si="10"/>
        <v>84</v>
      </c>
      <c r="L108" s="62">
        <f t="shared" si="11"/>
        <v>97</v>
      </c>
      <c r="M108" s="304">
        <v>6.36</v>
      </c>
      <c r="N108" s="301">
        <f>VLOOKUP(3428,季財報!A:N,8,0)</f>
        <v>5</v>
      </c>
    </row>
    <row r="109" spans="1:14">
      <c r="A109" s="187">
        <v>3479</v>
      </c>
      <c r="C109">
        <v>131</v>
      </c>
      <c r="D109">
        <v>1231</v>
      </c>
      <c r="E109">
        <v>704</v>
      </c>
      <c r="F109">
        <v>2057</v>
      </c>
      <c r="G109">
        <v>0</v>
      </c>
      <c r="H109" s="200">
        <v>7.0000000000000007E-2</v>
      </c>
      <c r="I109">
        <f t="shared" si="9"/>
        <v>107</v>
      </c>
      <c r="J109" s="193">
        <v>0.06</v>
      </c>
      <c r="K109">
        <f t="shared" si="10"/>
        <v>84</v>
      </c>
      <c r="L109" s="62">
        <f t="shared" si="11"/>
        <v>97</v>
      </c>
      <c r="M109" s="304">
        <v>6.36</v>
      </c>
      <c r="N109" s="301">
        <f>VLOOKUP(3479,季財報!A:N,8,0)</f>
        <v>6</v>
      </c>
    </row>
    <row r="110" spans="1:14">
      <c r="A110" s="187">
        <v>3529</v>
      </c>
      <c r="C110">
        <v>107</v>
      </c>
      <c r="D110">
        <v>1055</v>
      </c>
      <c r="E110">
        <v>490</v>
      </c>
      <c r="F110">
        <v>1692</v>
      </c>
      <c r="G110">
        <v>0</v>
      </c>
      <c r="H110" s="200">
        <v>7.0000000000000007E-2</v>
      </c>
      <c r="I110">
        <f t="shared" si="9"/>
        <v>107</v>
      </c>
      <c r="J110" s="193">
        <v>0.06</v>
      </c>
      <c r="K110">
        <f t="shared" si="10"/>
        <v>84</v>
      </c>
      <c r="L110" s="62">
        <f t="shared" si="11"/>
        <v>97</v>
      </c>
      <c r="M110" s="304">
        <v>6.36</v>
      </c>
      <c r="N110" s="301">
        <f>VLOOKUP(3529,季財報!A:N,8,0)</f>
        <v>2</v>
      </c>
    </row>
    <row r="111" spans="1:14">
      <c r="A111" s="187">
        <v>6277</v>
      </c>
      <c r="C111">
        <v>227</v>
      </c>
      <c r="D111">
        <v>1253</v>
      </c>
      <c r="E111">
        <v>2065</v>
      </c>
      <c r="F111">
        <v>3402</v>
      </c>
      <c r="G111">
        <v>698</v>
      </c>
      <c r="H111" s="200">
        <v>7.0000000000000007E-2</v>
      </c>
      <c r="I111">
        <f t="shared" si="9"/>
        <v>107</v>
      </c>
      <c r="J111" s="193">
        <v>0.06</v>
      </c>
      <c r="K111">
        <f t="shared" si="10"/>
        <v>84</v>
      </c>
      <c r="L111" s="62">
        <f t="shared" si="11"/>
        <v>97</v>
      </c>
      <c r="M111" s="304">
        <v>6.36</v>
      </c>
      <c r="N111" s="301">
        <f>VLOOKUP(6277,季財報!A:N,8,0)</f>
        <v>2</v>
      </c>
    </row>
    <row r="112" spans="1:14">
      <c r="A112" s="187">
        <v>3617</v>
      </c>
      <c r="C112">
        <v>230</v>
      </c>
      <c r="D112">
        <v>2950</v>
      </c>
      <c r="E112">
        <v>269</v>
      </c>
      <c r="F112">
        <v>3646</v>
      </c>
      <c r="G112">
        <v>300</v>
      </c>
      <c r="H112" s="200">
        <v>7.0000000000000007E-2</v>
      </c>
      <c r="I112">
        <f t="shared" si="9"/>
        <v>107</v>
      </c>
      <c r="J112" s="193">
        <v>0.06</v>
      </c>
      <c r="K112">
        <f t="shared" si="10"/>
        <v>84</v>
      </c>
      <c r="L112" s="62">
        <f t="shared" si="11"/>
        <v>97</v>
      </c>
      <c r="M112" s="304">
        <v>6.36</v>
      </c>
      <c r="N112" s="301">
        <f>VLOOKUP(3617,季財報!A:N,8,0)</f>
        <v>3</v>
      </c>
    </row>
    <row r="113" spans="1:14">
      <c r="A113" s="187">
        <v>5903</v>
      </c>
      <c r="C113">
        <v>494</v>
      </c>
      <c r="D113">
        <v>0</v>
      </c>
      <c r="E113">
        <v>8578</v>
      </c>
      <c r="F113">
        <v>4763</v>
      </c>
      <c r="G113">
        <v>1621</v>
      </c>
      <c r="H113" s="200">
        <v>0.06</v>
      </c>
      <c r="I113">
        <f>RANK(0.06,H:H,0)</f>
        <v>155</v>
      </c>
      <c r="J113" s="193">
        <v>0.08</v>
      </c>
      <c r="K113">
        <f>RANK(0.08,J:J,0)</f>
        <v>37</v>
      </c>
      <c r="L113" s="62">
        <f>RANK(7.91,M:M,0)</f>
        <v>112</v>
      </c>
      <c r="M113" s="304">
        <v>6.36</v>
      </c>
      <c r="N113" s="301">
        <f>VLOOKUP(5903,季財報!A:N,8,0)</f>
        <v>2</v>
      </c>
    </row>
    <row r="114" spans="1:14">
      <c r="A114" s="187">
        <v>2235</v>
      </c>
      <c r="C114">
        <v>58</v>
      </c>
      <c r="D114">
        <v>0</v>
      </c>
      <c r="E114">
        <v>645</v>
      </c>
      <c r="F114">
        <v>936</v>
      </c>
      <c r="G114">
        <v>334</v>
      </c>
      <c r="H114" s="200">
        <v>0.09</v>
      </c>
      <c r="I114">
        <f>RANK(0.09,H:H,0)</f>
        <v>63</v>
      </c>
      <c r="J114" s="193">
        <v>0.05</v>
      </c>
      <c r="K114">
        <f>RANK(0.05,J:J,0)</f>
        <v>135</v>
      </c>
      <c r="L114" s="62">
        <f>RANK(7.67,M:M,0)</f>
        <v>113</v>
      </c>
      <c r="M114" s="304">
        <v>6.36</v>
      </c>
      <c r="N114" s="301">
        <f>VLOOKUP(2235,季財報!A:N,8,0)</f>
        <v>3</v>
      </c>
    </row>
    <row r="115" spans="1:14">
      <c r="A115" s="187">
        <v>6179</v>
      </c>
      <c r="C115">
        <v>46</v>
      </c>
      <c r="D115">
        <v>705</v>
      </c>
      <c r="E115">
        <v>4</v>
      </c>
      <c r="F115">
        <v>634</v>
      </c>
      <c r="G115">
        <v>0</v>
      </c>
      <c r="H115" s="200">
        <v>0.06</v>
      </c>
      <c r="I115">
        <f>RANK(0.06,H:H,0)</f>
        <v>155</v>
      </c>
      <c r="J115" s="193">
        <v>7.0000000000000007E-2</v>
      </c>
      <c r="K115">
        <f>RANK(0.07,J:J,0)</f>
        <v>57</v>
      </c>
      <c r="L115" s="62">
        <f>RANK(7.17,M:M,0)</f>
        <v>114</v>
      </c>
      <c r="M115" s="304">
        <v>6.36</v>
      </c>
      <c r="N115" s="301">
        <f>VLOOKUP(6179,季財報!A:N,8,0)</f>
        <v>1</v>
      </c>
    </row>
    <row r="116" spans="1:14">
      <c r="A116" s="187">
        <v>1536</v>
      </c>
      <c r="C116">
        <v>318</v>
      </c>
      <c r="D116">
        <v>1280</v>
      </c>
      <c r="E116">
        <v>4344</v>
      </c>
      <c r="F116">
        <v>3608</v>
      </c>
      <c r="G116">
        <v>863</v>
      </c>
      <c r="H116" s="200">
        <v>0.06</v>
      </c>
      <c r="I116">
        <f>RANK(0.06,H:H,0)</f>
        <v>155</v>
      </c>
      <c r="J116" s="193">
        <v>7.0000000000000007E-2</v>
      </c>
      <c r="K116">
        <f>RANK(0.07,J:J,0)</f>
        <v>57</v>
      </c>
      <c r="L116" s="62">
        <f>RANK(7.17,M:M,0)</f>
        <v>114</v>
      </c>
      <c r="M116" s="304">
        <v>6.36</v>
      </c>
      <c r="N116" s="301">
        <f>VLOOKUP(1536,季財報!A:N,8,0)</f>
        <v>4</v>
      </c>
    </row>
    <row r="117" spans="1:14">
      <c r="A117" s="187">
        <v>2330</v>
      </c>
      <c r="C117">
        <v>79183</v>
      </c>
      <c r="D117">
        <v>491972</v>
      </c>
      <c r="E117">
        <v>830825</v>
      </c>
      <c r="F117">
        <v>1150995</v>
      </c>
      <c r="G117">
        <v>57080</v>
      </c>
      <c r="H117" s="200">
        <v>0.06</v>
      </c>
      <c r="I117">
        <f>RANK(0.06,H:H,0)</f>
        <v>155</v>
      </c>
      <c r="J117" s="193">
        <v>7.0000000000000007E-2</v>
      </c>
      <c r="K117">
        <f>RANK(0.07,J:J,0)</f>
        <v>57</v>
      </c>
      <c r="L117" s="62">
        <f>RANK(7.17,M:M,0)</f>
        <v>114</v>
      </c>
      <c r="M117" s="304">
        <v>6.36</v>
      </c>
      <c r="N117" s="301">
        <f>VLOOKUP(2330,季財報!A:N,8,0)</f>
        <v>2</v>
      </c>
    </row>
    <row r="118" spans="1:14">
      <c r="A118" s="187">
        <v>8016</v>
      </c>
      <c r="C118">
        <v>248</v>
      </c>
      <c r="D118">
        <v>2452</v>
      </c>
      <c r="E118">
        <v>677</v>
      </c>
      <c r="F118">
        <v>4130</v>
      </c>
      <c r="G118">
        <v>554</v>
      </c>
      <c r="H118" s="200">
        <v>0.08</v>
      </c>
      <c r="I118">
        <f>RANK(0.08,H:H,0)</f>
        <v>80</v>
      </c>
      <c r="J118" s="193">
        <v>0.05</v>
      </c>
      <c r="K118">
        <f>RANK(0.05,J:J,0)</f>
        <v>135</v>
      </c>
      <c r="L118" s="62">
        <f>RANK(7.07,M:M,0)</f>
        <v>117</v>
      </c>
      <c r="M118" s="304">
        <v>6.36</v>
      </c>
      <c r="N118" s="301">
        <f>VLOOKUP(8016,季財報!A:N,8,0)</f>
        <v>3</v>
      </c>
    </row>
    <row r="119" spans="1:14">
      <c r="A119" s="187">
        <v>4904</v>
      </c>
      <c r="C119">
        <v>4238</v>
      </c>
      <c r="D119">
        <v>0</v>
      </c>
      <c r="E119">
        <v>51833</v>
      </c>
      <c r="F119">
        <v>70577</v>
      </c>
      <c r="G119">
        <v>12507</v>
      </c>
      <c r="H119" s="200">
        <v>0.08</v>
      </c>
      <c r="I119">
        <f>RANK(0.08,H:H,0)</f>
        <v>80</v>
      </c>
      <c r="J119" s="193">
        <v>0.05</v>
      </c>
      <c r="K119">
        <f>RANK(0.05,J:J,0)</f>
        <v>135</v>
      </c>
      <c r="L119" s="62">
        <f>RANK(7.07,M:M,0)</f>
        <v>117</v>
      </c>
      <c r="M119" s="304">
        <v>6.36</v>
      </c>
      <c r="N119" s="301">
        <f>VLOOKUP(4904,季財報!A:N,8,0)</f>
        <v>3</v>
      </c>
    </row>
    <row r="120" spans="1:14">
      <c r="A120" s="187">
        <v>5266</v>
      </c>
      <c r="C120">
        <v>103</v>
      </c>
      <c r="D120">
        <v>1168</v>
      </c>
      <c r="E120">
        <v>93</v>
      </c>
      <c r="F120">
        <v>1310</v>
      </c>
      <c r="G120">
        <v>604</v>
      </c>
      <c r="H120" s="200">
        <v>0.08</v>
      </c>
      <c r="I120">
        <f>RANK(0.08,H:H,0)</f>
        <v>80</v>
      </c>
      <c r="J120" s="193">
        <v>0.05</v>
      </c>
      <c r="K120">
        <f>RANK(0.05,J:J,0)</f>
        <v>135</v>
      </c>
      <c r="L120" s="62">
        <f>RANK(7.07,M:M,0)</f>
        <v>117</v>
      </c>
      <c r="M120" s="304">
        <v>6.36</v>
      </c>
      <c r="N120" s="301">
        <f>VLOOKUP(5266,季財報!A:N,8,0)</f>
        <v>3</v>
      </c>
    </row>
    <row r="121" spans="1:14">
      <c r="A121" s="187">
        <v>3552</v>
      </c>
      <c r="C121">
        <v>254</v>
      </c>
      <c r="D121">
        <v>1887</v>
      </c>
      <c r="E121">
        <v>1362</v>
      </c>
      <c r="F121">
        <v>3551</v>
      </c>
      <c r="G121">
        <v>1832</v>
      </c>
      <c r="H121" s="200">
        <v>0.08</v>
      </c>
      <c r="I121">
        <f>RANK(0.08,H:H,0)</f>
        <v>80</v>
      </c>
      <c r="J121" s="193">
        <v>0.05</v>
      </c>
      <c r="K121">
        <f>RANK(0.05,J:J,0)</f>
        <v>135</v>
      </c>
      <c r="L121" s="62">
        <f>RANK(7.07,M:M,0)</f>
        <v>117</v>
      </c>
      <c r="M121" s="304">
        <v>6.03</v>
      </c>
      <c r="N121" s="301">
        <f>VLOOKUP(3552,季財報!A:N,8,0)</f>
        <v>3</v>
      </c>
    </row>
    <row r="122" spans="1:14">
      <c r="A122" s="187">
        <v>6263</v>
      </c>
      <c r="C122">
        <v>70</v>
      </c>
      <c r="D122">
        <v>1073</v>
      </c>
      <c r="E122">
        <v>17</v>
      </c>
      <c r="F122">
        <v>1103</v>
      </c>
      <c r="G122">
        <v>0</v>
      </c>
      <c r="H122" s="200">
        <v>0.06</v>
      </c>
      <c r="I122">
        <f t="shared" ref="I122:I141" si="12">RANK(0.06,H:H,0)</f>
        <v>155</v>
      </c>
      <c r="J122" s="193">
        <v>0.06</v>
      </c>
      <c r="K122">
        <f t="shared" ref="K122:K141" si="13">RANK(0.06,J:J,0)</f>
        <v>84</v>
      </c>
      <c r="L122" s="62">
        <f t="shared" ref="L122:L141" si="14">RANK(6.36,M:M,0)</f>
        <v>121</v>
      </c>
      <c r="M122" s="304">
        <v>5.24</v>
      </c>
      <c r="N122" s="301">
        <f>VLOOKUP(6263,季財報!A:N,8,0)</f>
        <v>2</v>
      </c>
    </row>
    <row r="123" spans="1:14">
      <c r="A123" s="187">
        <v>6206</v>
      </c>
      <c r="C123">
        <v>281</v>
      </c>
      <c r="D123">
        <v>3407</v>
      </c>
      <c r="E123">
        <v>1137</v>
      </c>
      <c r="F123">
        <v>4773</v>
      </c>
      <c r="G123">
        <v>0</v>
      </c>
      <c r="H123" s="200">
        <v>0.06</v>
      </c>
      <c r="I123">
        <f t="shared" si="12"/>
        <v>155</v>
      </c>
      <c r="J123" s="193">
        <v>0.06</v>
      </c>
      <c r="K123">
        <f t="shared" si="13"/>
        <v>84</v>
      </c>
      <c r="L123" s="62">
        <f t="shared" si="14"/>
        <v>121</v>
      </c>
      <c r="M123" s="304">
        <v>5.24</v>
      </c>
      <c r="N123" s="301">
        <f>VLOOKUP(6206,季財報!A:N,8,0)</f>
        <v>2</v>
      </c>
    </row>
    <row r="124" spans="1:14">
      <c r="A124" s="187">
        <v>6210</v>
      </c>
      <c r="C124">
        <v>45</v>
      </c>
      <c r="D124">
        <v>489</v>
      </c>
      <c r="E124">
        <v>326</v>
      </c>
      <c r="F124">
        <v>747</v>
      </c>
      <c r="G124">
        <v>20</v>
      </c>
      <c r="H124" s="200">
        <v>0.06</v>
      </c>
      <c r="I124">
        <f t="shared" si="12"/>
        <v>155</v>
      </c>
      <c r="J124" s="193">
        <v>0.06</v>
      </c>
      <c r="K124">
        <f t="shared" si="13"/>
        <v>84</v>
      </c>
      <c r="L124" s="62">
        <f t="shared" si="14"/>
        <v>121</v>
      </c>
      <c r="M124" s="304">
        <v>5.24</v>
      </c>
      <c r="N124" s="301">
        <f>VLOOKUP(6210,季財報!A:N,8,0)</f>
        <v>2</v>
      </c>
    </row>
    <row r="125" spans="1:14">
      <c r="A125" s="187">
        <v>6230</v>
      </c>
      <c r="C125">
        <v>208</v>
      </c>
      <c r="D125">
        <v>2287</v>
      </c>
      <c r="E125">
        <v>1000</v>
      </c>
      <c r="F125">
        <v>3349</v>
      </c>
      <c r="G125">
        <v>413</v>
      </c>
      <c r="H125" s="200">
        <v>0.06</v>
      </c>
      <c r="I125">
        <f t="shared" si="12"/>
        <v>155</v>
      </c>
      <c r="J125" s="193">
        <v>0.06</v>
      </c>
      <c r="K125">
        <f t="shared" si="13"/>
        <v>84</v>
      </c>
      <c r="L125" s="62">
        <f t="shared" si="14"/>
        <v>121</v>
      </c>
      <c r="M125" s="304">
        <v>5.24</v>
      </c>
      <c r="N125" s="301">
        <f>VLOOKUP(6230,季財報!A:N,8,0)</f>
        <v>4</v>
      </c>
    </row>
    <row r="126" spans="1:14">
      <c r="A126" s="187">
        <v>4205</v>
      </c>
      <c r="C126">
        <v>70</v>
      </c>
      <c r="D126">
        <v>557</v>
      </c>
      <c r="E126">
        <v>680</v>
      </c>
      <c r="F126">
        <v>1186</v>
      </c>
      <c r="G126">
        <v>0</v>
      </c>
      <c r="H126" s="200">
        <v>0.06</v>
      </c>
      <c r="I126">
        <f t="shared" si="12"/>
        <v>155</v>
      </c>
      <c r="J126" s="193">
        <v>0.06</v>
      </c>
      <c r="K126">
        <f t="shared" si="13"/>
        <v>84</v>
      </c>
      <c r="L126" s="62">
        <f t="shared" si="14"/>
        <v>121</v>
      </c>
      <c r="M126" s="304">
        <v>5.24</v>
      </c>
      <c r="N126" s="301">
        <f>VLOOKUP(4205,季財報!A:N,8,0)</f>
        <v>4</v>
      </c>
    </row>
    <row r="127" spans="1:14">
      <c r="A127" s="187">
        <v>4927</v>
      </c>
      <c r="C127">
        <v>402</v>
      </c>
      <c r="D127">
        <v>0</v>
      </c>
      <c r="E127">
        <v>6199</v>
      </c>
      <c r="F127">
        <v>3939</v>
      </c>
      <c r="G127">
        <v>2797</v>
      </c>
      <c r="H127" s="200">
        <v>0.06</v>
      </c>
      <c r="I127">
        <f t="shared" si="12"/>
        <v>155</v>
      </c>
      <c r="J127" s="193">
        <v>0.06</v>
      </c>
      <c r="K127">
        <f t="shared" si="13"/>
        <v>84</v>
      </c>
      <c r="L127" s="62">
        <f t="shared" si="14"/>
        <v>121</v>
      </c>
      <c r="M127" s="304">
        <v>5.24</v>
      </c>
      <c r="N127" s="301">
        <f>VLOOKUP(4927,季財報!A:N,8,0)</f>
        <v>3</v>
      </c>
    </row>
    <row r="128" spans="1:14">
      <c r="A128" s="187">
        <v>4952</v>
      </c>
      <c r="C128">
        <v>135</v>
      </c>
      <c r="D128">
        <v>1439</v>
      </c>
      <c r="E128">
        <v>667</v>
      </c>
      <c r="F128">
        <v>2079</v>
      </c>
      <c r="G128">
        <v>216</v>
      </c>
      <c r="H128" s="200">
        <v>0.06</v>
      </c>
      <c r="I128">
        <f t="shared" si="12"/>
        <v>155</v>
      </c>
      <c r="J128" s="193">
        <v>0.06</v>
      </c>
      <c r="K128">
        <f t="shared" si="13"/>
        <v>84</v>
      </c>
      <c r="L128" s="62">
        <f t="shared" si="14"/>
        <v>121</v>
      </c>
      <c r="M128" s="304">
        <v>5.24</v>
      </c>
      <c r="N128" s="301">
        <f>VLOOKUP(4952,季財報!A:N,8,0)</f>
        <v>3</v>
      </c>
    </row>
    <row r="129" spans="1:14">
      <c r="A129" s="187">
        <v>1570</v>
      </c>
      <c r="C129">
        <v>34</v>
      </c>
      <c r="D129">
        <v>360</v>
      </c>
      <c r="E129">
        <v>234</v>
      </c>
      <c r="F129">
        <v>606</v>
      </c>
      <c r="G129">
        <v>0</v>
      </c>
      <c r="H129" s="200">
        <v>0.06</v>
      </c>
      <c r="I129">
        <f t="shared" si="12"/>
        <v>155</v>
      </c>
      <c r="J129" s="193">
        <v>0.06</v>
      </c>
      <c r="K129">
        <f t="shared" si="13"/>
        <v>84</v>
      </c>
      <c r="L129" s="62">
        <f t="shared" si="14"/>
        <v>121</v>
      </c>
      <c r="M129" s="304">
        <v>5.24</v>
      </c>
      <c r="N129" s="301">
        <f>VLOOKUP(1570,季財報!A:N,8,0)</f>
        <v>5</v>
      </c>
    </row>
    <row r="130" spans="1:14">
      <c r="A130" s="187">
        <v>1582</v>
      </c>
      <c r="C130">
        <v>358</v>
      </c>
      <c r="D130">
        <v>5239</v>
      </c>
      <c r="E130">
        <v>754</v>
      </c>
      <c r="F130">
        <v>5536</v>
      </c>
      <c r="G130">
        <v>59</v>
      </c>
      <c r="H130" s="200">
        <v>0.06</v>
      </c>
      <c r="I130">
        <f t="shared" si="12"/>
        <v>155</v>
      </c>
      <c r="J130" s="193">
        <v>0.06</v>
      </c>
      <c r="K130">
        <f t="shared" si="13"/>
        <v>84</v>
      </c>
      <c r="L130" s="62">
        <f t="shared" si="14"/>
        <v>121</v>
      </c>
      <c r="M130" s="304">
        <v>5.24</v>
      </c>
      <c r="N130" s="301">
        <f>VLOOKUP(1582,季財報!A:N,8,0)</f>
        <v>3</v>
      </c>
    </row>
    <row r="131" spans="1:14">
      <c r="A131" s="187">
        <v>2108</v>
      </c>
      <c r="C131">
        <v>409</v>
      </c>
      <c r="D131">
        <v>3630</v>
      </c>
      <c r="E131">
        <v>3097</v>
      </c>
      <c r="F131">
        <v>6972</v>
      </c>
      <c r="G131">
        <v>149</v>
      </c>
      <c r="H131" s="200">
        <v>0.06</v>
      </c>
      <c r="I131">
        <f t="shared" si="12"/>
        <v>155</v>
      </c>
      <c r="J131" s="193">
        <v>0.06</v>
      </c>
      <c r="K131">
        <f t="shared" si="13"/>
        <v>84</v>
      </c>
      <c r="L131" s="62">
        <f t="shared" si="14"/>
        <v>121</v>
      </c>
      <c r="M131" s="304">
        <v>5.24</v>
      </c>
      <c r="N131" s="301">
        <f>VLOOKUP(2108,季財報!A:N,8,0)</f>
        <v>3</v>
      </c>
    </row>
    <row r="132" spans="1:14">
      <c r="A132" s="187">
        <v>2345</v>
      </c>
      <c r="C132">
        <v>452</v>
      </c>
      <c r="D132">
        <v>5931</v>
      </c>
      <c r="E132">
        <v>1111</v>
      </c>
      <c r="F132">
        <v>7802</v>
      </c>
      <c r="G132">
        <v>0</v>
      </c>
      <c r="H132" s="200">
        <v>0.06</v>
      </c>
      <c r="I132">
        <f t="shared" si="12"/>
        <v>155</v>
      </c>
      <c r="J132" s="193">
        <v>0.06</v>
      </c>
      <c r="K132">
        <f t="shared" si="13"/>
        <v>84</v>
      </c>
      <c r="L132" s="62">
        <f t="shared" si="14"/>
        <v>121</v>
      </c>
      <c r="M132" s="304">
        <v>5.24</v>
      </c>
      <c r="N132" s="301">
        <f>VLOOKUP(2345,季財報!A:N,8,0)</f>
        <v>4</v>
      </c>
    </row>
    <row r="133" spans="1:14">
      <c r="A133" s="187">
        <v>2929</v>
      </c>
      <c r="C133">
        <v>191</v>
      </c>
      <c r="D133">
        <v>2874</v>
      </c>
      <c r="E133">
        <v>442</v>
      </c>
      <c r="F133">
        <v>3323</v>
      </c>
      <c r="G133">
        <v>0</v>
      </c>
      <c r="H133" s="200">
        <v>0.06</v>
      </c>
      <c r="I133">
        <f t="shared" si="12"/>
        <v>155</v>
      </c>
      <c r="J133" s="193">
        <v>0.06</v>
      </c>
      <c r="K133">
        <f t="shared" si="13"/>
        <v>84</v>
      </c>
      <c r="L133" s="62">
        <f t="shared" si="14"/>
        <v>121</v>
      </c>
      <c r="M133" s="304">
        <v>5.24</v>
      </c>
      <c r="N133" s="301">
        <f>VLOOKUP(2929,季財報!A:N,8,0)</f>
        <v>1</v>
      </c>
    </row>
    <row r="134" spans="1:14">
      <c r="A134" s="187">
        <v>3285</v>
      </c>
      <c r="C134">
        <v>36</v>
      </c>
      <c r="D134">
        <v>537</v>
      </c>
      <c r="E134">
        <v>109</v>
      </c>
      <c r="F134">
        <v>648</v>
      </c>
      <c r="G134">
        <v>0</v>
      </c>
      <c r="H134" s="200">
        <v>0.06</v>
      </c>
      <c r="I134">
        <f t="shared" si="12"/>
        <v>155</v>
      </c>
      <c r="J134" s="193">
        <v>0.06</v>
      </c>
      <c r="K134">
        <f t="shared" si="13"/>
        <v>84</v>
      </c>
      <c r="L134" s="62">
        <f t="shared" si="14"/>
        <v>121</v>
      </c>
      <c r="M134" s="304">
        <v>5.24</v>
      </c>
      <c r="N134" s="301">
        <f>VLOOKUP(3285,季財報!A:N,8,0)</f>
        <v>4</v>
      </c>
    </row>
    <row r="135" spans="1:14">
      <c r="A135" s="187">
        <v>3587</v>
      </c>
      <c r="C135">
        <v>69</v>
      </c>
      <c r="D135">
        <v>341</v>
      </c>
      <c r="E135">
        <v>806</v>
      </c>
      <c r="F135">
        <v>1189</v>
      </c>
      <c r="G135">
        <v>0</v>
      </c>
      <c r="H135" s="200">
        <v>0.06</v>
      </c>
      <c r="I135">
        <f t="shared" si="12"/>
        <v>155</v>
      </c>
      <c r="J135" s="193">
        <v>0.06</v>
      </c>
      <c r="K135">
        <f t="shared" si="13"/>
        <v>84</v>
      </c>
      <c r="L135" s="62">
        <f t="shared" si="14"/>
        <v>121</v>
      </c>
      <c r="M135" s="304">
        <v>5.24</v>
      </c>
      <c r="N135" s="301">
        <f>VLOOKUP(3587,季財報!A:N,8,0)</f>
        <v>4</v>
      </c>
    </row>
    <row r="136" spans="1:14">
      <c r="A136" s="187">
        <v>6422</v>
      </c>
      <c r="C136">
        <v>77</v>
      </c>
      <c r="D136">
        <v>1030</v>
      </c>
      <c r="E136">
        <v>274</v>
      </c>
      <c r="F136">
        <v>1292</v>
      </c>
      <c r="G136">
        <v>1</v>
      </c>
      <c r="H136" s="200">
        <v>0.06</v>
      </c>
      <c r="I136">
        <f t="shared" si="12"/>
        <v>155</v>
      </c>
      <c r="J136" s="193">
        <v>0.06</v>
      </c>
      <c r="K136">
        <f t="shared" si="13"/>
        <v>84</v>
      </c>
      <c r="L136" s="62">
        <f t="shared" si="14"/>
        <v>121</v>
      </c>
      <c r="M136" s="304">
        <v>5.24</v>
      </c>
      <c r="N136" s="301">
        <f>VLOOKUP(6422,季財報!A:N,8,0)</f>
        <v>1</v>
      </c>
    </row>
    <row r="137" spans="1:14">
      <c r="A137" s="187">
        <v>6248</v>
      </c>
      <c r="C137">
        <v>19</v>
      </c>
      <c r="D137">
        <v>303</v>
      </c>
      <c r="E137">
        <v>5</v>
      </c>
      <c r="F137">
        <v>316</v>
      </c>
      <c r="G137">
        <v>0</v>
      </c>
      <c r="H137" s="200">
        <v>0.06</v>
      </c>
      <c r="I137">
        <f t="shared" si="12"/>
        <v>155</v>
      </c>
      <c r="J137" s="193">
        <v>0.06</v>
      </c>
      <c r="K137">
        <f t="shared" si="13"/>
        <v>84</v>
      </c>
      <c r="L137" s="62">
        <f t="shared" si="14"/>
        <v>121</v>
      </c>
      <c r="M137" s="304">
        <v>5.24</v>
      </c>
      <c r="N137" s="301">
        <f>VLOOKUP(6248,季財報!A:N,8,0)</f>
        <v>2</v>
      </c>
    </row>
    <row r="138" spans="1:14">
      <c r="A138" s="187">
        <v>5284</v>
      </c>
      <c r="C138">
        <v>61</v>
      </c>
      <c r="D138">
        <v>315</v>
      </c>
      <c r="E138">
        <v>741</v>
      </c>
      <c r="F138">
        <v>1014</v>
      </c>
      <c r="G138">
        <v>94</v>
      </c>
      <c r="H138" s="200">
        <v>0.06</v>
      </c>
      <c r="I138">
        <f t="shared" si="12"/>
        <v>155</v>
      </c>
      <c r="J138" s="193">
        <v>0.06</v>
      </c>
      <c r="K138">
        <f t="shared" si="13"/>
        <v>84</v>
      </c>
      <c r="L138" s="62">
        <f t="shared" si="14"/>
        <v>121</v>
      </c>
      <c r="M138" s="304">
        <v>5.24</v>
      </c>
      <c r="N138" s="301">
        <f>VLOOKUP(5284,季財報!A:N,8,0)</f>
        <v>4</v>
      </c>
    </row>
    <row r="139" spans="1:14">
      <c r="A139" s="187">
        <v>4557</v>
      </c>
      <c r="C139">
        <v>64</v>
      </c>
      <c r="D139">
        <v>447</v>
      </c>
      <c r="E139">
        <v>576</v>
      </c>
      <c r="F139">
        <v>1059</v>
      </c>
      <c r="G139">
        <v>0</v>
      </c>
      <c r="H139" s="200">
        <v>0.06</v>
      </c>
      <c r="I139">
        <f t="shared" si="12"/>
        <v>155</v>
      </c>
      <c r="J139" s="193">
        <v>0.06</v>
      </c>
      <c r="K139">
        <f t="shared" si="13"/>
        <v>84</v>
      </c>
      <c r="L139" s="62">
        <f t="shared" si="14"/>
        <v>121</v>
      </c>
      <c r="M139" s="304">
        <v>5.24</v>
      </c>
      <c r="N139" s="301">
        <f>VLOOKUP(4557,季財報!A:N,8,0)</f>
        <v>0</v>
      </c>
    </row>
    <row r="140" spans="1:14">
      <c r="A140" s="187">
        <v>1702</v>
      </c>
      <c r="C140">
        <v>588</v>
      </c>
      <c r="D140">
        <v>2279</v>
      </c>
      <c r="E140">
        <v>7942</v>
      </c>
      <c r="F140">
        <v>5542</v>
      </c>
      <c r="G140">
        <v>4723</v>
      </c>
      <c r="H140" s="200">
        <v>0.06</v>
      </c>
      <c r="I140">
        <f t="shared" si="12"/>
        <v>155</v>
      </c>
      <c r="J140" s="193">
        <v>0.06</v>
      </c>
      <c r="K140">
        <f t="shared" si="13"/>
        <v>84</v>
      </c>
      <c r="L140" s="62">
        <f t="shared" si="14"/>
        <v>121</v>
      </c>
      <c r="M140" s="304">
        <v>5.24</v>
      </c>
      <c r="N140" s="301">
        <f>VLOOKUP(1702,季財報!A:N,8,0)</f>
        <v>2</v>
      </c>
    </row>
    <row r="141" spans="1:14">
      <c r="A141" s="187">
        <v>4126</v>
      </c>
      <c r="C141">
        <v>113</v>
      </c>
      <c r="D141">
        <v>719</v>
      </c>
      <c r="E141">
        <v>1238</v>
      </c>
      <c r="F141">
        <v>1915</v>
      </c>
      <c r="G141">
        <v>0</v>
      </c>
      <c r="H141" s="200">
        <v>0.06</v>
      </c>
      <c r="I141">
        <f t="shared" si="12"/>
        <v>155</v>
      </c>
      <c r="J141" s="193">
        <v>0.06</v>
      </c>
      <c r="K141">
        <f t="shared" si="13"/>
        <v>84</v>
      </c>
      <c r="L141" s="62">
        <f t="shared" si="14"/>
        <v>121</v>
      </c>
      <c r="M141" s="304">
        <v>5.24</v>
      </c>
      <c r="N141" s="301">
        <f>VLOOKUP(4126,季財報!A:N,8,0)</f>
        <v>4</v>
      </c>
    </row>
    <row r="142" spans="1:14">
      <c r="A142" s="187">
        <v>5264</v>
      </c>
      <c r="C142">
        <v>1773</v>
      </c>
      <c r="D142">
        <v>11826</v>
      </c>
      <c r="E142">
        <v>15427</v>
      </c>
      <c r="F142">
        <v>29442</v>
      </c>
      <c r="G142">
        <v>4409</v>
      </c>
      <c r="H142" s="200">
        <v>7.0000000000000007E-2</v>
      </c>
      <c r="I142">
        <f t="shared" ref="I142:I151" si="15">RANK(0.07,H:H,0)</f>
        <v>107</v>
      </c>
      <c r="J142" s="193">
        <v>0.05</v>
      </c>
      <c r="K142">
        <f t="shared" ref="K142:K151" si="16">RANK(0.05,J:J,0)</f>
        <v>135</v>
      </c>
      <c r="L142" s="62">
        <f t="shared" ref="L142:L151" si="17">RANK(6.28,M:M,0)</f>
        <v>141</v>
      </c>
      <c r="M142" s="304">
        <v>5.0599999999999996</v>
      </c>
      <c r="N142" s="301">
        <f>VLOOKUP(5264,季財報!A:N,8,0)</f>
        <v>3</v>
      </c>
    </row>
    <row r="143" spans="1:14">
      <c r="A143" s="187">
        <v>5706</v>
      </c>
      <c r="C143">
        <v>56</v>
      </c>
      <c r="D143">
        <v>535</v>
      </c>
      <c r="E143">
        <v>291</v>
      </c>
      <c r="F143">
        <v>1193</v>
      </c>
      <c r="G143">
        <v>0</v>
      </c>
      <c r="H143" s="200">
        <v>7.0000000000000007E-2</v>
      </c>
      <c r="I143">
        <f t="shared" si="15"/>
        <v>107</v>
      </c>
      <c r="J143" s="193">
        <v>0.05</v>
      </c>
      <c r="K143">
        <f t="shared" si="16"/>
        <v>135</v>
      </c>
      <c r="L143" s="62">
        <f t="shared" si="17"/>
        <v>141</v>
      </c>
      <c r="M143" s="304">
        <v>4.82</v>
      </c>
      <c r="N143" s="301">
        <f>VLOOKUP(5706,季財報!A:N,8,0)</f>
        <v>4</v>
      </c>
    </row>
    <row r="144" spans="1:14">
      <c r="A144" s="187">
        <v>4401</v>
      </c>
      <c r="C144">
        <v>185</v>
      </c>
      <c r="D144">
        <v>346</v>
      </c>
      <c r="E144">
        <v>2415</v>
      </c>
      <c r="F144">
        <v>2443</v>
      </c>
      <c r="G144">
        <v>1036</v>
      </c>
      <c r="H144" s="200">
        <v>7.0000000000000007E-2</v>
      </c>
      <c r="I144">
        <f t="shared" si="15"/>
        <v>107</v>
      </c>
      <c r="J144" s="193">
        <v>0.05</v>
      </c>
      <c r="K144">
        <f t="shared" si="16"/>
        <v>135</v>
      </c>
      <c r="L144" s="62">
        <f t="shared" si="17"/>
        <v>141</v>
      </c>
      <c r="M144" s="304">
        <v>4.82</v>
      </c>
      <c r="N144" s="301">
        <f>VLOOKUP(4401,季財報!A:N,8,0)</f>
        <v>2</v>
      </c>
    </row>
    <row r="145" spans="1:14">
      <c r="A145" s="187">
        <v>2308</v>
      </c>
      <c r="C145">
        <v>6297</v>
      </c>
      <c r="D145">
        <v>50813</v>
      </c>
      <c r="E145">
        <v>41852</v>
      </c>
      <c r="F145">
        <v>100489</v>
      </c>
      <c r="G145">
        <v>18887</v>
      </c>
      <c r="H145" s="200">
        <v>7.0000000000000007E-2</v>
      </c>
      <c r="I145">
        <f t="shared" si="15"/>
        <v>107</v>
      </c>
      <c r="J145" s="193">
        <v>0.05</v>
      </c>
      <c r="K145">
        <f t="shared" si="16"/>
        <v>135</v>
      </c>
      <c r="L145" s="62">
        <f t="shared" si="17"/>
        <v>141</v>
      </c>
      <c r="M145" s="304">
        <v>4.6500000000000004</v>
      </c>
      <c r="N145" s="301">
        <f>VLOOKUP(2308,季財報!A:N,8,0)</f>
        <v>4</v>
      </c>
    </row>
    <row r="146" spans="1:14">
      <c r="A146" s="187">
        <v>3034</v>
      </c>
      <c r="C146">
        <v>1695</v>
      </c>
      <c r="D146">
        <v>21151</v>
      </c>
      <c r="E146">
        <v>2051</v>
      </c>
      <c r="F146">
        <v>27033</v>
      </c>
      <c r="G146">
        <v>4799</v>
      </c>
      <c r="H146" s="200">
        <v>7.0000000000000007E-2</v>
      </c>
      <c r="I146">
        <f t="shared" si="15"/>
        <v>107</v>
      </c>
      <c r="J146" s="193">
        <v>0.05</v>
      </c>
      <c r="K146">
        <f t="shared" si="16"/>
        <v>135</v>
      </c>
      <c r="L146" s="62">
        <f t="shared" si="17"/>
        <v>141</v>
      </c>
      <c r="M146" s="304">
        <v>4.6500000000000004</v>
      </c>
      <c r="N146" s="301">
        <f>VLOOKUP(3034,季財報!A:N,8,0)</f>
        <v>3</v>
      </c>
    </row>
    <row r="147" spans="1:14">
      <c r="A147" s="187">
        <v>3092</v>
      </c>
      <c r="C147">
        <v>84</v>
      </c>
      <c r="D147">
        <v>558</v>
      </c>
      <c r="E147">
        <v>593</v>
      </c>
      <c r="F147">
        <v>1210</v>
      </c>
      <c r="G147">
        <v>640</v>
      </c>
      <c r="H147" s="200">
        <v>7.0000000000000007E-2</v>
      </c>
      <c r="I147">
        <f t="shared" si="15"/>
        <v>107</v>
      </c>
      <c r="J147" s="193">
        <v>0.05</v>
      </c>
      <c r="K147">
        <f t="shared" si="16"/>
        <v>135</v>
      </c>
      <c r="L147" s="62">
        <f t="shared" si="17"/>
        <v>141</v>
      </c>
      <c r="M147" s="304">
        <v>4.6500000000000004</v>
      </c>
      <c r="N147" s="301">
        <f>VLOOKUP(3092,季財報!A:N,8,0)</f>
        <v>2</v>
      </c>
    </row>
    <row r="148" spans="1:14">
      <c r="A148" s="187">
        <v>3492</v>
      </c>
      <c r="C148">
        <v>28</v>
      </c>
      <c r="D148">
        <v>241</v>
      </c>
      <c r="E148">
        <v>159</v>
      </c>
      <c r="F148">
        <v>488</v>
      </c>
      <c r="G148">
        <v>53</v>
      </c>
      <c r="H148" s="200">
        <v>7.0000000000000007E-2</v>
      </c>
      <c r="I148">
        <f t="shared" si="15"/>
        <v>107</v>
      </c>
      <c r="J148" s="193">
        <v>0.05</v>
      </c>
      <c r="K148">
        <f t="shared" si="16"/>
        <v>135</v>
      </c>
      <c r="L148" s="62">
        <f t="shared" si="17"/>
        <v>141</v>
      </c>
      <c r="M148" s="304">
        <v>4.6500000000000004</v>
      </c>
      <c r="N148" s="301">
        <f>VLOOKUP(3492,季財報!A:N,8,0)</f>
        <v>4</v>
      </c>
    </row>
    <row r="149" spans="1:14">
      <c r="A149" s="187">
        <v>8383</v>
      </c>
      <c r="C149">
        <v>135</v>
      </c>
      <c r="D149">
        <v>1118</v>
      </c>
      <c r="E149">
        <v>934</v>
      </c>
      <c r="F149">
        <v>2899</v>
      </c>
      <c r="G149">
        <v>0</v>
      </c>
      <c r="H149" s="200">
        <v>7.0000000000000007E-2</v>
      </c>
      <c r="I149">
        <f t="shared" si="15"/>
        <v>107</v>
      </c>
      <c r="J149" s="193">
        <v>0.05</v>
      </c>
      <c r="K149">
        <f t="shared" si="16"/>
        <v>135</v>
      </c>
      <c r="L149" s="62">
        <f t="shared" si="17"/>
        <v>141</v>
      </c>
      <c r="M149" s="304">
        <v>4.6500000000000004</v>
      </c>
      <c r="N149" s="301">
        <f>VLOOKUP(8383,季財報!A:N,8,0)</f>
        <v>3</v>
      </c>
    </row>
    <row r="150" spans="1:14">
      <c r="A150" s="187">
        <v>4506</v>
      </c>
      <c r="C150">
        <v>179</v>
      </c>
      <c r="D150">
        <v>1545</v>
      </c>
      <c r="E150">
        <v>1133</v>
      </c>
      <c r="F150">
        <v>3391</v>
      </c>
      <c r="G150">
        <v>135</v>
      </c>
      <c r="H150" s="200">
        <v>7.0000000000000007E-2</v>
      </c>
      <c r="I150">
        <f t="shared" si="15"/>
        <v>107</v>
      </c>
      <c r="J150" s="193">
        <v>0.05</v>
      </c>
      <c r="K150">
        <f t="shared" si="16"/>
        <v>135</v>
      </c>
      <c r="L150" s="62">
        <f t="shared" si="17"/>
        <v>141</v>
      </c>
      <c r="M150" s="304">
        <v>4.6500000000000004</v>
      </c>
      <c r="N150" s="301">
        <f>VLOOKUP(4506,季財報!A:N,8,0)</f>
        <v>6</v>
      </c>
    </row>
    <row r="151" spans="1:14">
      <c r="A151" s="187">
        <v>2438</v>
      </c>
      <c r="C151">
        <v>42</v>
      </c>
      <c r="D151">
        <v>70</v>
      </c>
      <c r="E151">
        <v>546</v>
      </c>
      <c r="F151">
        <v>677</v>
      </c>
      <c r="G151">
        <v>140</v>
      </c>
      <c r="H151" s="200">
        <v>7.0000000000000007E-2</v>
      </c>
      <c r="I151">
        <f t="shared" si="15"/>
        <v>107</v>
      </c>
      <c r="J151" s="193">
        <v>0.05</v>
      </c>
      <c r="K151">
        <f t="shared" si="16"/>
        <v>135</v>
      </c>
      <c r="L151" s="62">
        <f t="shared" si="17"/>
        <v>141</v>
      </c>
      <c r="M151" s="304">
        <v>4.6500000000000004</v>
      </c>
      <c r="N151" s="301">
        <f>VLOOKUP(2438,季財報!A:N,8,0)</f>
        <v>2</v>
      </c>
    </row>
    <row r="152" spans="1:14">
      <c r="A152" s="187">
        <v>4144</v>
      </c>
      <c r="C152">
        <v>160</v>
      </c>
      <c r="D152">
        <v>1044</v>
      </c>
      <c r="E152">
        <v>236</v>
      </c>
      <c r="F152">
        <v>3420</v>
      </c>
      <c r="G152">
        <v>328</v>
      </c>
      <c r="H152" s="200">
        <v>0.12</v>
      </c>
      <c r="I152">
        <f>RANK(0.12,H:H,0)</f>
        <v>32</v>
      </c>
      <c r="J152" s="193">
        <v>0.04</v>
      </c>
      <c r="K152">
        <f>RANK(0.04,J:J,0)</f>
        <v>220</v>
      </c>
      <c r="L152" s="62">
        <f>RANK(6.03,M:M,0)</f>
        <v>151</v>
      </c>
      <c r="M152" s="304">
        <v>4.1500000000000004</v>
      </c>
      <c r="N152" s="301">
        <f>VLOOKUP(4144,季財報!A:N,8,0)</f>
        <v>3</v>
      </c>
    </row>
    <row r="153" spans="1:14">
      <c r="A153" s="187">
        <v>4105</v>
      </c>
      <c r="C153">
        <v>287</v>
      </c>
      <c r="D153">
        <v>563</v>
      </c>
      <c r="E153">
        <v>2295</v>
      </c>
      <c r="F153">
        <v>4757</v>
      </c>
      <c r="G153">
        <v>2000</v>
      </c>
      <c r="H153" s="200">
        <v>0.1</v>
      </c>
      <c r="I153">
        <f>RANK(0.1,H:H,0)</f>
        <v>46</v>
      </c>
      <c r="J153" s="193">
        <v>0.04</v>
      </c>
      <c r="K153">
        <f>RANK(0.04,J:J,0)</f>
        <v>220</v>
      </c>
      <c r="L153" s="62">
        <f>RANK(5.71,M:M,0)</f>
        <v>152</v>
      </c>
      <c r="M153" s="304">
        <v>4.1500000000000004</v>
      </c>
      <c r="N153" s="301">
        <f>VLOOKUP(4105,季財報!A:N,8,0)</f>
        <v>3</v>
      </c>
    </row>
    <row r="154" spans="1:14">
      <c r="A154" s="187">
        <v>9930</v>
      </c>
      <c r="C154">
        <v>246</v>
      </c>
      <c r="D154">
        <v>0</v>
      </c>
      <c r="E154">
        <v>4029</v>
      </c>
      <c r="F154">
        <v>4264</v>
      </c>
      <c r="G154">
        <v>833</v>
      </c>
      <c r="H154" s="200">
        <v>0.06</v>
      </c>
      <c r="I154">
        <f t="shared" ref="I154:I178" si="18">RANK(0.06,H:H,0)</f>
        <v>155</v>
      </c>
      <c r="J154" s="193">
        <v>0.05</v>
      </c>
      <c r="K154">
        <f t="shared" ref="K154:K178" si="19">RANK(0.05,J:J,0)</f>
        <v>135</v>
      </c>
      <c r="L154" s="62">
        <f t="shared" ref="L154:L178" si="20">RANK(5.24,M:M,0)</f>
        <v>153</v>
      </c>
      <c r="M154" s="304">
        <v>4.1500000000000004</v>
      </c>
      <c r="N154" s="301">
        <f>VLOOKUP(9930,季財報!A:N,8,0)</f>
        <v>3</v>
      </c>
    </row>
    <row r="155" spans="1:14">
      <c r="A155" s="187">
        <v>9924</v>
      </c>
      <c r="C155">
        <v>231</v>
      </c>
      <c r="D155">
        <v>2431</v>
      </c>
      <c r="E155">
        <v>1743</v>
      </c>
      <c r="F155">
        <v>4985</v>
      </c>
      <c r="G155">
        <v>0</v>
      </c>
      <c r="H155" s="200">
        <v>0.06</v>
      </c>
      <c r="I155">
        <f t="shared" si="18"/>
        <v>155</v>
      </c>
      <c r="J155" s="193">
        <v>0.05</v>
      </c>
      <c r="K155">
        <f t="shared" si="19"/>
        <v>135</v>
      </c>
      <c r="L155" s="62">
        <f t="shared" si="20"/>
        <v>153</v>
      </c>
      <c r="M155" s="304">
        <v>4.1500000000000004</v>
      </c>
      <c r="N155" s="301">
        <f>VLOOKUP(9924,季財報!A:N,8,0)</f>
        <v>4</v>
      </c>
    </row>
    <row r="156" spans="1:14">
      <c r="A156" s="187">
        <v>8299</v>
      </c>
      <c r="C156">
        <v>1101</v>
      </c>
      <c r="D156">
        <v>15947</v>
      </c>
      <c r="E156">
        <v>1625</v>
      </c>
      <c r="F156">
        <v>19386</v>
      </c>
      <c r="G156">
        <v>723</v>
      </c>
      <c r="H156" s="200">
        <v>0.06</v>
      </c>
      <c r="I156">
        <f t="shared" si="18"/>
        <v>155</v>
      </c>
      <c r="J156" s="193">
        <v>0.05</v>
      </c>
      <c r="K156">
        <f t="shared" si="19"/>
        <v>135</v>
      </c>
      <c r="L156" s="62">
        <f t="shared" si="20"/>
        <v>153</v>
      </c>
      <c r="M156" s="304">
        <v>4.1500000000000004</v>
      </c>
      <c r="N156" s="301">
        <f>VLOOKUP(8299,季財報!A:N,8,0)</f>
        <v>4</v>
      </c>
    </row>
    <row r="157" spans="1:14">
      <c r="A157" s="187">
        <v>8426</v>
      </c>
      <c r="C157">
        <v>54</v>
      </c>
      <c r="D157">
        <v>323</v>
      </c>
      <c r="E157">
        <v>522</v>
      </c>
      <c r="F157">
        <v>882</v>
      </c>
      <c r="G157">
        <v>107</v>
      </c>
      <c r="H157" s="200">
        <v>0.06</v>
      </c>
      <c r="I157">
        <f t="shared" si="18"/>
        <v>155</v>
      </c>
      <c r="J157" s="193">
        <v>0.05</v>
      </c>
      <c r="K157">
        <f t="shared" si="19"/>
        <v>135</v>
      </c>
      <c r="L157" s="62">
        <f t="shared" si="20"/>
        <v>153</v>
      </c>
      <c r="M157" s="304">
        <v>4.1500000000000004</v>
      </c>
      <c r="N157" s="301">
        <f>VLOOKUP(8426,季財報!A:N,8,0)</f>
        <v>4</v>
      </c>
    </row>
    <row r="158" spans="1:14">
      <c r="A158" s="187">
        <v>8429</v>
      </c>
      <c r="C158">
        <v>380</v>
      </c>
      <c r="D158">
        <v>5369</v>
      </c>
      <c r="E158">
        <v>578</v>
      </c>
      <c r="F158">
        <v>5776</v>
      </c>
      <c r="G158">
        <v>1170</v>
      </c>
      <c r="H158" s="200">
        <v>0.06</v>
      </c>
      <c r="I158">
        <f t="shared" si="18"/>
        <v>155</v>
      </c>
      <c r="J158" s="193">
        <v>0.05</v>
      </c>
      <c r="K158">
        <f t="shared" si="19"/>
        <v>135</v>
      </c>
      <c r="L158" s="62">
        <f t="shared" si="20"/>
        <v>153</v>
      </c>
      <c r="M158" s="304">
        <v>4.1500000000000004</v>
      </c>
      <c r="N158" s="301">
        <f>VLOOKUP(8429,季財報!A:N,8,0)</f>
        <v>1</v>
      </c>
    </row>
    <row r="159" spans="1:14">
      <c r="A159" s="187">
        <v>8050</v>
      </c>
      <c r="C159">
        <v>148</v>
      </c>
      <c r="D159">
        <v>1369</v>
      </c>
      <c r="E159">
        <v>1071</v>
      </c>
      <c r="F159">
        <v>2680</v>
      </c>
      <c r="G159">
        <v>358</v>
      </c>
      <c r="H159" s="200">
        <v>0.06</v>
      </c>
      <c r="I159">
        <f t="shared" si="18"/>
        <v>155</v>
      </c>
      <c r="J159" s="193">
        <v>0.05</v>
      </c>
      <c r="K159">
        <f t="shared" si="19"/>
        <v>135</v>
      </c>
      <c r="L159" s="62">
        <f t="shared" si="20"/>
        <v>153</v>
      </c>
      <c r="M159" s="304">
        <v>4.1500000000000004</v>
      </c>
      <c r="N159" s="301">
        <f>VLOOKUP(8050,季財報!A:N,8,0)</f>
        <v>2</v>
      </c>
    </row>
    <row r="160" spans="1:14">
      <c r="A160" s="187">
        <v>6269</v>
      </c>
      <c r="C160">
        <v>824</v>
      </c>
      <c r="D160">
        <v>8793</v>
      </c>
      <c r="E160">
        <v>5503</v>
      </c>
      <c r="F160">
        <v>14102</v>
      </c>
      <c r="G160">
        <v>974</v>
      </c>
      <c r="H160" s="200">
        <v>0.06</v>
      </c>
      <c r="I160">
        <f t="shared" si="18"/>
        <v>155</v>
      </c>
      <c r="J160" s="193">
        <v>0.05</v>
      </c>
      <c r="K160">
        <f t="shared" si="19"/>
        <v>135</v>
      </c>
      <c r="L160" s="62">
        <f t="shared" si="20"/>
        <v>153</v>
      </c>
      <c r="M160" s="304">
        <v>4.1500000000000004</v>
      </c>
      <c r="N160" s="301">
        <f>VLOOKUP(6269,季財報!A:N,8,0)</f>
        <v>2</v>
      </c>
    </row>
    <row r="161" spans="1:14">
      <c r="A161" s="187">
        <v>5269</v>
      </c>
      <c r="C161">
        <v>64</v>
      </c>
      <c r="D161">
        <v>1046</v>
      </c>
      <c r="E161">
        <v>110</v>
      </c>
      <c r="F161">
        <v>1258</v>
      </c>
      <c r="G161">
        <v>0</v>
      </c>
      <c r="H161" s="200">
        <v>0.06</v>
      </c>
      <c r="I161">
        <f t="shared" si="18"/>
        <v>155</v>
      </c>
      <c r="J161" s="193">
        <v>0.05</v>
      </c>
      <c r="K161">
        <f t="shared" si="19"/>
        <v>135</v>
      </c>
      <c r="L161" s="62">
        <f t="shared" si="20"/>
        <v>153</v>
      </c>
      <c r="M161" s="304">
        <v>4.1500000000000004</v>
      </c>
      <c r="N161" s="301">
        <f>VLOOKUP(5269,季財報!A:N,8,0)</f>
        <v>6</v>
      </c>
    </row>
    <row r="162" spans="1:14">
      <c r="A162" s="187">
        <v>5434</v>
      </c>
      <c r="C162">
        <v>308</v>
      </c>
      <c r="D162">
        <v>2374</v>
      </c>
      <c r="E162">
        <v>2510</v>
      </c>
      <c r="F162">
        <v>5701</v>
      </c>
      <c r="G162">
        <v>608</v>
      </c>
      <c r="H162" s="200">
        <v>0.06</v>
      </c>
      <c r="I162">
        <f t="shared" si="18"/>
        <v>155</v>
      </c>
      <c r="J162" s="193">
        <v>0.05</v>
      </c>
      <c r="K162">
        <f t="shared" si="19"/>
        <v>135</v>
      </c>
      <c r="L162" s="62">
        <f t="shared" si="20"/>
        <v>153</v>
      </c>
      <c r="M162" s="304">
        <v>4.1500000000000004</v>
      </c>
      <c r="N162" s="301">
        <f>VLOOKUP(5434,季財報!A:N,8,0)</f>
        <v>3</v>
      </c>
    </row>
    <row r="163" spans="1:14">
      <c r="A163" s="187">
        <v>5489</v>
      </c>
      <c r="C163">
        <v>112</v>
      </c>
      <c r="D163">
        <v>1287</v>
      </c>
      <c r="E163">
        <v>707</v>
      </c>
      <c r="F163">
        <v>2029</v>
      </c>
      <c r="G163">
        <v>23</v>
      </c>
      <c r="H163" s="200">
        <v>0.06</v>
      </c>
      <c r="I163">
        <f t="shared" si="18"/>
        <v>155</v>
      </c>
      <c r="J163" s="193">
        <v>0.05</v>
      </c>
      <c r="K163">
        <f t="shared" si="19"/>
        <v>135</v>
      </c>
      <c r="L163" s="62">
        <f t="shared" si="20"/>
        <v>153</v>
      </c>
      <c r="M163" s="304">
        <v>4.1500000000000004</v>
      </c>
      <c r="N163" s="301">
        <f>VLOOKUP(5489,季財報!A:N,8,0)</f>
        <v>2</v>
      </c>
    </row>
    <row r="164" spans="1:14">
      <c r="A164" s="187">
        <v>4903</v>
      </c>
      <c r="C164">
        <v>53</v>
      </c>
      <c r="D164">
        <v>776</v>
      </c>
      <c r="E164">
        <v>170</v>
      </c>
      <c r="F164">
        <v>1058</v>
      </c>
      <c r="G164">
        <v>8</v>
      </c>
      <c r="H164" s="200">
        <v>0.06</v>
      </c>
      <c r="I164">
        <f t="shared" si="18"/>
        <v>155</v>
      </c>
      <c r="J164" s="193">
        <v>0.05</v>
      </c>
      <c r="K164">
        <f t="shared" si="19"/>
        <v>135</v>
      </c>
      <c r="L164" s="62">
        <f t="shared" si="20"/>
        <v>153</v>
      </c>
      <c r="M164" s="304">
        <v>4.1500000000000004</v>
      </c>
      <c r="N164" s="301">
        <f>VLOOKUP(4903,季財報!A:N,8,0)</f>
        <v>2</v>
      </c>
    </row>
    <row r="165" spans="1:14">
      <c r="A165" s="187">
        <v>4938</v>
      </c>
      <c r="C165">
        <v>12087</v>
      </c>
      <c r="D165">
        <v>116309</v>
      </c>
      <c r="E165">
        <v>71439</v>
      </c>
      <c r="F165">
        <v>185738</v>
      </c>
      <c r="G165">
        <v>67260</v>
      </c>
      <c r="H165" s="200">
        <v>0.06</v>
      </c>
      <c r="I165">
        <f t="shared" si="18"/>
        <v>155</v>
      </c>
      <c r="J165" s="193">
        <v>0.05</v>
      </c>
      <c r="K165">
        <f t="shared" si="19"/>
        <v>135</v>
      </c>
      <c r="L165" s="62">
        <f t="shared" si="20"/>
        <v>153</v>
      </c>
      <c r="M165" s="304">
        <v>4.1500000000000004</v>
      </c>
      <c r="N165" s="301">
        <f>VLOOKUP(4938,季財報!A:N,8,0)</f>
        <v>1</v>
      </c>
    </row>
    <row r="166" spans="1:14">
      <c r="A166" s="187">
        <v>4958</v>
      </c>
      <c r="C166">
        <v>2935</v>
      </c>
      <c r="D166">
        <v>13108</v>
      </c>
      <c r="E166">
        <v>32811</v>
      </c>
      <c r="F166">
        <v>40583</v>
      </c>
      <c r="G166">
        <v>13572</v>
      </c>
      <c r="H166" s="200">
        <v>0.06</v>
      </c>
      <c r="I166">
        <f t="shared" si="18"/>
        <v>155</v>
      </c>
      <c r="J166" s="193">
        <v>0.05</v>
      </c>
      <c r="K166">
        <f t="shared" si="19"/>
        <v>135</v>
      </c>
      <c r="L166" s="62">
        <f t="shared" si="20"/>
        <v>153</v>
      </c>
      <c r="M166" s="304">
        <v>4.1500000000000004</v>
      </c>
      <c r="N166" s="301">
        <f>VLOOKUP(4958,季財報!A:N,8,0)</f>
        <v>2</v>
      </c>
    </row>
    <row r="167" spans="1:14">
      <c r="A167" s="187">
        <v>1262</v>
      </c>
      <c r="C167">
        <v>488</v>
      </c>
      <c r="D167">
        <v>2177</v>
      </c>
      <c r="E167">
        <v>6521</v>
      </c>
      <c r="F167">
        <v>9911</v>
      </c>
      <c r="G167">
        <v>705</v>
      </c>
      <c r="H167" s="200">
        <v>0.06</v>
      </c>
      <c r="I167">
        <f t="shared" si="18"/>
        <v>155</v>
      </c>
      <c r="J167" s="193">
        <v>0.05</v>
      </c>
      <c r="K167">
        <f t="shared" si="19"/>
        <v>135</v>
      </c>
      <c r="L167" s="62">
        <f t="shared" si="20"/>
        <v>153</v>
      </c>
      <c r="M167" s="304">
        <v>4.1500000000000004</v>
      </c>
      <c r="N167" s="301">
        <f>VLOOKUP(1262,季財報!A:N,8,0)</f>
        <v>3</v>
      </c>
    </row>
    <row r="168" spans="1:14">
      <c r="A168" s="187">
        <v>2114</v>
      </c>
      <c r="C168">
        <v>114</v>
      </c>
      <c r="D168">
        <v>957</v>
      </c>
      <c r="E168">
        <v>1024</v>
      </c>
      <c r="F168">
        <v>2124</v>
      </c>
      <c r="G168">
        <v>0</v>
      </c>
      <c r="H168" s="200">
        <v>0.06</v>
      </c>
      <c r="I168">
        <f t="shared" si="18"/>
        <v>155</v>
      </c>
      <c r="J168" s="193">
        <v>0.05</v>
      </c>
      <c r="K168">
        <f t="shared" si="19"/>
        <v>135</v>
      </c>
      <c r="L168" s="62">
        <f t="shared" si="20"/>
        <v>153</v>
      </c>
      <c r="M168" s="304">
        <v>4.1500000000000004</v>
      </c>
      <c r="N168" s="301">
        <f>VLOOKUP(2114,季財報!A:N,8,0)</f>
        <v>4</v>
      </c>
    </row>
    <row r="169" spans="1:14">
      <c r="A169" s="187">
        <v>2546</v>
      </c>
      <c r="C169">
        <v>103</v>
      </c>
      <c r="D169">
        <v>1634</v>
      </c>
      <c r="E169">
        <v>65</v>
      </c>
      <c r="F169">
        <v>2048</v>
      </c>
      <c r="G169">
        <v>0</v>
      </c>
      <c r="H169" s="200">
        <v>0.06</v>
      </c>
      <c r="I169">
        <f t="shared" si="18"/>
        <v>155</v>
      </c>
      <c r="J169" s="193">
        <v>0.05</v>
      </c>
      <c r="K169">
        <f t="shared" si="19"/>
        <v>135</v>
      </c>
      <c r="L169" s="62">
        <f t="shared" si="20"/>
        <v>153</v>
      </c>
      <c r="M169" s="304">
        <v>4.1500000000000004</v>
      </c>
      <c r="N169" s="301">
        <f>VLOOKUP(2546,季財報!A:N,8,0)</f>
        <v>3</v>
      </c>
    </row>
    <row r="170" spans="1:14">
      <c r="A170" s="187">
        <v>3226</v>
      </c>
      <c r="C170">
        <v>44</v>
      </c>
      <c r="D170">
        <v>683</v>
      </c>
      <c r="E170">
        <v>104</v>
      </c>
      <c r="F170">
        <v>826</v>
      </c>
      <c r="G170">
        <v>0</v>
      </c>
      <c r="H170" s="200">
        <v>0.06</v>
      </c>
      <c r="I170">
        <f t="shared" si="18"/>
        <v>155</v>
      </c>
      <c r="J170" s="193">
        <v>0.05</v>
      </c>
      <c r="K170">
        <f t="shared" si="19"/>
        <v>135</v>
      </c>
      <c r="L170" s="62">
        <f t="shared" si="20"/>
        <v>153</v>
      </c>
      <c r="M170" s="304">
        <v>4.1500000000000004</v>
      </c>
      <c r="N170" s="301">
        <f>VLOOKUP(3226,季財報!A:N,8,0)</f>
        <v>3</v>
      </c>
    </row>
    <row r="171" spans="1:14">
      <c r="A171" s="187">
        <v>3491</v>
      </c>
      <c r="C171">
        <v>85</v>
      </c>
      <c r="D171">
        <v>696</v>
      </c>
      <c r="E171">
        <v>704</v>
      </c>
      <c r="F171">
        <v>1703</v>
      </c>
      <c r="G171">
        <v>150</v>
      </c>
      <c r="H171" s="200">
        <v>0.06</v>
      </c>
      <c r="I171">
        <f t="shared" si="18"/>
        <v>155</v>
      </c>
      <c r="J171" s="193">
        <v>0.05</v>
      </c>
      <c r="K171">
        <f t="shared" si="19"/>
        <v>135</v>
      </c>
      <c r="L171" s="62">
        <f t="shared" si="20"/>
        <v>153</v>
      </c>
      <c r="M171" s="304">
        <v>4.1500000000000004</v>
      </c>
      <c r="N171" s="301">
        <f>VLOOKUP(3491,季財報!A:N,8,0)</f>
        <v>5</v>
      </c>
    </row>
    <row r="172" spans="1:14">
      <c r="A172" s="187">
        <v>3570</v>
      </c>
      <c r="C172">
        <v>28</v>
      </c>
      <c r="D172">
        <v>485</v>
      </c>
      <c r="E172">
        <v>22</v>
      </c>
      <c r="F172">
        <v>534</v>
      </c>
      <c r="G172">
        <v>0</v>
      </c>
      <c r="H172" s="200">
        <v>0.06</v>
      </c>
      <c r="I172">
        <f t="shared" si="18"/>
        <v>155</v>
      </c>
      <c r="J172" s="193">
        <v>0.05</v>
      </c>
      <c r="K172">
        <f t="shared" si="19"/>
        <v>135</v>
      </c>
      <c r="L172" s="62">
        <f t="shared" si="20"/>
        <v>153</v>
      </c>
      <c r="M172" s="304">
        <v>4.1500000000000004</v>
      </c>
      <c r="N172" s="301">
        <f>VLOOKUP(3570,季財報!A:N,8,0)</f>
        <v>2</v>
      </c>
    </row>
    <row r="173" spans="1:14">
      <c r="A173" s="187">
        <v>3672</v>
      </c>
      <c r="C173">
        <v>25</v>
      </c>
      <c r="D173">
        <v>321</v>
      </c>
      <c r="E173">
        <v>129</v>
      </c>
      <c r="F173">
        <v>495</v>
      </c>
      <c r="G173">
        <v>6</v>
      </c>
      <c r="H173" s="200">
        <v>0.06</v>
      </c>
      <c r="I173">
        <f t="shared" si="18"/>
        <v>155</v>
      </c>
      <c r="J173" s="193">
        <v>0.05</v>
      </c>
      <c r="K173">
        <f t="shared" si="19"/>
        <v>135</v>
      </c>
      <c r="L173" s="62">
        <f t="shared" si="20"/>
        <v>153</v>
      </c>
      <c r="M173" s="304">
        <v>4.1500000000000004</v>
      </c>
      <c r="N173" s="301">
        <f>VLOOKUP(3672,季財報!A:N,8,0)</f>
        <v>3</v>
      </c>
    </row>
    <row r="174" spans="1:14">
      <c r="A174" s="187">
        <v>6417</v>
      </c>
      <c r="C174">
        <v>29</v>
      </c>
      <c r="D174">
        <v>342</v>
      </c>
      <c r="E174">
        <v>176</v>
      </c>
      <c r="F174">
        <v>532</v>
      </c>
      <c r="G174">
        <v>8</v>
      </c>
      <c r="H174" s="200">
        <v>0.06</v>
      </c>
      <c r="I174">
        <f t="shared" si="18"/>
        <v>155</v>
      </c>
      <c r="J174" s="193">
        <v>0.05</v>
      </c>
      <c r="K174">
        <f t="shared" si="19"/>
        <v>135</v>
      </c>
      <c r="L174" s="62">
        <f t="shared" si="20"/>
        <v>153</v>
      </c>
      <c r="M174" s="304">
        <v>4.1500000000000004</v>
      </c>
      <c r="N174" s="301">
        <f>VLOOKUP(6417,季財報!A:N,8,0)</f>
        <v>3</v>
      </c>
    </row>
    <row r="175" spans="1:14">
      <c r="A175" s="187">
        <v>5443</v>
      </c>
      <c r="C175">
        <v>148</v>
      </c>
      <c r="D175">
        <v>1942</v>
      </c>
      <c r="E175">
        <v>499</v>
      </c>
      <c r="F175">
        <v>2579</v>
      </c>
      <c r="G175">
        <v>518</v>
      </c>
      <c r="H175" s="200">
        <v>0.06</v>
      </c>
      <c r="I175">
        <f t="shared" si="18"/>
        <v>155</v>
      </c>
      <c r="J175" s="193">
        <v>0.05</v>
      </c>
      <c r="K175">
        <f t="shared" si="19"/>
        <v>135</v>
      </c>
      <c r="L175" s="62">
        <f t="shared" si="20"/>
        <v>153</v>
      </c>
      <c r="M175" s="304">
        <v>4.1500000000000004</v>
      </c>
      <c r="N175" s="301">
        <f>VLOOKUP(5443,季財報!A:N,8,0)</f>
        <v>4</v>
      </c>
    </row>
    <row r="176" spans="1:14">
      <c r="A176" s="187">
        <v>1264</v>
      </c>
      <c r="C176">
        <v>127</v>
      </c>
      <c r="D176">
        <v>1322</v>
      </c>
      <c r="E176">
        <v>632</v>
      </c>
      <c r="F176">
        <v>2178</v>
      </c>
      <c r="G176">
        <v>192</v>
      </c>
      <c r="H176" s="200">
        <v>0.06</v>
      </c>
      <c r="I176">
        <f t="shared" si="18"/>
        <v>155</v>
      </c>
      <c r="J176" s="193">
        <v>0.05</v>
      </c>
      <c r="K176">
        <f t="shared" si="19"/>
        <v>135</v>
      </c>
      <c r="L176" s="62">
        <f t="shared" si="20"/>
        <v>153</v>
      </c>
      <c r="M176" s="304">
        <v>4.1500000000000004</v>
      </c>
      <c r="N176" s="301">
        <f>VLOOKUP(1264,季財報!A:N,8,0)</f>
        <v>2</v>
      </c>
    </row>
    <row r="177" spans="1:14">
      <c r="A177" s="187">
        <v>1521</v>
      </c>
      <c r="C177">
        <v>90</v>
      </c>
      <c r="D177">
        <v>512</v>
      </c>
      <c r="E177">
        <v>986</v>
      </c>
      <c r="F177">
        <v>1729</v>
      </c>
      <c r="G177">
        <v>69</v>
      </c>
      <c r="H177" s="200">
        <v>0.06</v>
      </c>
      <c r="I177">
        <f t="shared" si="18"/>
        <v>155</v>
      </c>
      <c r="J177" s="193">
        <v>0.05</v>
      </c>
      <c r="K177">
        <f t="shared" si="19"/>
        <v>135</v>
      </c>
      <c r="L177" s="62">
        <f t="shared" si="20"/>
        <v>153</v>
      </c>
      <c r="M177" s="304">
        <v>4.1500000000000004</v>
      </c>
      <c r="N177" s="301">
        <f>VLOOKUP(1521,季財報!A:N,8,0)</f>
        <v>2</v>
      </c>
    </row>
    <row r="178" spans="1:14">
      <c r="A178" s="187">
        <v>3105</v>
      </c>
      <c r="C178">
        <v>829</v>
      </c>
      <c r="D178">
        <v>3142</v>
      </c>
      <c r="E178">
        <v>10832</v>
      </c>
      <c r="F178">
        <v>16318</v>
      </c>
      <c r="G178">
        <v>743</v>
      </c>
      <c r="H178" s="200">
        <v>0.06</v>
      </c>
      <c r="I178">
        <f t="shared" si="18"/>
        <v>155</v>
      </c>
      <c r="J178" s="193">
        <v>0.05</v>
      </c>
      <c r="K178">
        <f t="shared" si="19"/>
        <v>135</v>
      </c>
      <c r="L178" s="62">
        <f t="shared" si="20"/>
        <v>153</v>
      </c>
      <c r="M178" s="304">
        <v>4.1500000000000004</v>
      </c>
      <c r="N178" s="301">
        <f>VLOOKUP(3105,季財報!A:N,8,0)</f>
        <v>4</v>
      </c>
    </row>
    <row r="179" spans="1:14">
      <c r="A179" s="187">
        <v>9943</v>
      </c>
      <c r="C179">
        <v>136</v>
      </c>
      <c r="D179">
        <v>894</v>
      </c>
      <c r="E179">
        <v>763</v>
      </c>
      <c r="F179">
        <v>3524</v>
      </c>
      <c r="G179">
        <v>70</v>
      </c>
      <c r="H179" s="200">
        <v>0.08</v>
      </c>
      <c r="I179">
        <f>RANK(0.08,H:H,0)</f>
        <v>80</v>
      </c>
      <c r="J179" s="193">
        <v>0.04</v>
      </c>
      <c r="K179">
        <f>RANK(0.04,J:J,0)</f>
        <v>220</v>
      </c>
      <c r="L179" s="62">
        <f>RANK(5.06,M:M,0)</f>
        <v>178</v>
      </c>
      <c r="M179" s="304">
        <v>4.05</v>
      </c>
      <c r="N179" s="301">
        <f>VLOOKUP(9943,季財報!A:N,8,0)</f>
        <v>2</v>
      </c>
    </row>
    <row r="180" spans="1:14">
      <c r="A180" s="187">
        <v>4991</v>
      </c>
      <c r="C180">
        <v>91</v>
      </c>
      <c r="D180">
        <v>1494</v>
      </c>
      <c r="E180">
        <v>428</v>
      </c>
      <c r="F180">
        <v>1521</v>
      </c>
      <c r="G180">
        <v>31</v>
      </c>
      <c r="H180" s="200">
        <v>0.05</v>
      </c>
      <c r="I180">
        <f>RANK(0.05,H:H,0)</f>
        <v>231</v>
      </c>
      <c r="J180" s="193">
        <v>0.06</v>
      </c>
      <c r="K180">
        <f>RANK(0.06,J:J,0)</f>
        <v>84</v>
      </c>
      <c r="L180" s="62">
        <f>RANK(4.82,M:M,0)</f>
        <v>179</v>
      </c>
      <c r="M180" s="304">
        <v>4.05</v>
      </c>
      <c r="N180" s="301">
        <f>VLOOKUP(4991,季財報!A:N,8,0)</f>
        <v>4</v>
      </c>
    </row>
    <row r="181" spans="1:14">
      <c r="A181" s="187">
        <v>2726</v>
      </c>
      <c r="C181">
        <v>38</v>
      </c>
      <c r="D181">
        <v>516</v>
      </c>
      <c r="E181">
        <v>178</v>
      </c>
      <c r="F181">
        <v>532</v>
      </c>
      <c r="G181">
        <v>147</v>
      </c>
      <c r="H181" s="200">
        <v>0.05</v>
      </c>
      <c r="I181">
        <f>RANK(0.05,H:H,0)</f>
        <v>231</v>
      </c>
      <c r="J181" s="193">
        <v>0.06</v>
      </c>
      <c r="K181">
        <f>RANK(0.06,J:J,0)</f>
        <v>84</v>
      </c>
      <c r="L181" s="62">
        <f>RANK(4.82,M:M,0)</f>
        <v>179</v>
      </c>
      <c r="M181" s="304">
        <v>4.05</v>
      </c>
      <c r="N181" s="301">
        <f>VLOOKUP(2726,季財報!A:N,8,0)</f>
        <v>5</v>
      </c>
    </row>
    <row r="182" spans="1:14">
      <c r="A182" s="187">
        <v>9921</v>
      </c>
      <c r="C182">
        <v>1338</v>
      </c>
      <c r="D182">
        <v>11314</v>
      </c>
      <c r="E182">
        <v>7724</v>
      </c>
      <c r="F182">
        <v>20091</v>
      </c>
      <c r="G182">
        <v>11422</v>
      </c>
      <c r="H182" s="200">
        <v>7.0000000000000007E-2</v>
      </c>
      <c r="I182">
        <f t="shared" ref="I182:I189" si="21">RANK(0.07,H:H,0)</f>
        <v>107</v>
      </c>
      <c r="J182" s="193">
        <v>0.04</v>
      </c>
      <c r="K182">
        <f t="shared" ref="K182:K189" si="22">RANK(0.04,J:J,0)</f>
        <v>220</v>
      </c>
      <c r="L182" s="62">
        <f t="shared" ref="L182:L189" si="23">RANK(4.65,M:M,0)</f>
        <v>181</v>
      </c>
      <c r="M182" s="304">
        <v>4.05</v>
      </c>
      <c r="N182" s="301">
        <f>VLOOKUP(9921,季財報!A:N,8,0)</f>
        <v>3</v>
      </c>
    </row>
    <row r="183" spans="1:14">
      <c r="A183" s="187">
        <v>8406</v>
      </c>
      <c r="C183">
        <v>592</v>
      </c>
      <c r="D183">
        <v>4715</v>
      </c>
      <c r="E183">
        <v>4349</v>
      </c>
      <c r="F183">
        <v>9961</v>
      </c>
      <c r="G183">
        <v>4559</v>
      </c>
      <c r="H183" s="200">
        <v>7.0000000000000007E-2</v>
      </c>
      <c r="I183">
        <f t="shared" si="21"/>
        <v>107</v>
      </c>
      <c r="J183" s="193">
        <v>0.04</v>
      </c>
      <c r="K183">
        <f t="shared" si="22"/>
        <v>220</v>
      </c>
      <c r="L183" s="62">
        <f t="shared" si="23"/>
        <v>181</v>
      </c>
      <c r="M183" s="304">
        <v>4.05</v>
      </c>
      <c r="N183" s="301">
        <f>VLOOKUP(8406,季財報!A:N,8,0)</f>
        <v>1</v>
      </c>
    </row>
    <row r="184" spans="1:14">
      <c r="A184" s="187">
        <v>4915</v>
      </c>
      <c r="C184">
        <v>726</v>
      </c>
      <c r="D184">
        <v>4065</v>
      </c>
      <c r="E184">
        <v>6129</v>
      </c>
      <c r="F184">
        <v>12292</v>
      </c>
      <c r="G184">
        <v>4871</v>
      </c>
      <c r="H184" s="200">
        <v>7.0000000000000007E-2</v>
      </c>
      <c r="I184">
        <f t="shared" si="21"/>
        <v>107</v>
      </c>
      <c r="J184" s="193">
        <v>0.04</v>
      </c>
      <c r="K184">
        <f t="shared" si="22"/>
        <v>220</v>
      </c>
      <c r="L184" s="62">
        <f t="shared" si="23"/>
        <v>181</v>
      </c>
      <c r="M184" s="304">
        <v>4.05</v>
      </c>
      <c r="N184" s="301">
        <f>VLOOKUP(4915,季財報!A:N,8,0)</f>
        <v>5</v>
      </c>
    </row>
    <row r="185" spans="1:14">
      <c r="A185" s="187">
        <v>1215</v>
      </c>
      <c r="C185">
        <v>269</v>
      </c>
      <c r="D185">
        <v>517</v>
      </c>
      <c r="E185">
        <v>3376</v>
      </c>
      <c r="F185">
        <v>5116</v>
      </c>
      <c r="G185">
        <v>2174</v>
      </c>
      <c r="H185" s="200">
        <v>7.0000000000000007E-2</v>
      </c>
      <c r="I185">
        <f t="shared" si="21"/>
        <v>107</v>
      </c>
      <c r="J185" s="193">
        <v>0.04</v>
      </c>
      <c r="K185">
        <f t="shared" si="22"/>
        <v>220</v>
      </c>
      <c r="L185" s="62">
        <f t="shared" si="23"/>
        <v>181</v>
      </c>
      <c r="M185" s="304">
        <v>4.05</v>
      </c>
      <c r="N185" s="301">
        <f>VLOOKUP(1215,季財報!A:N,8,0)</f>
        <v>3</v>
      </c>
    </row>
    <row r="186" spans="1:14">
      <c r="A186" s="187">
        <v>2385</v>
      </c>
      <c r="C186">
        <v>1253</v>
      </c>
      <c r="D186">
        <v>4302</v>
      </c>
      <c r="E186">
        <v>14875</v>
      </c>
      <c r="F186">
        <v>24529</v>
      </c>
      <c r="G186">
        <v>6331</v>
      </c>
      <c r="H186" s="200">
        <v>7.0000000000000007E-2</v>
      </c>
      <c r="I186">
        <f t="shared" si="21"/>
        <v>107</v>
      </c>
      <c r="J186" s="193">
        <v>0.04</v>
      </c>
      <c r="K186">
        <f t="shared" si="22"/>
        <v>220</v>
      </c>
      <c r="L186" s="62">
        <f t="shared" si="23"/>
        <v>181</v>
      </c>
      <c r="M186" s="304">
        <v>4.05</v>
      </c>
      <c r="N186" s="301">
        <f>VLOOKUP(2385,季財報!A:N,8,0)</f>
        <v>1</v>
      </c>
    </row>
    <row r="187" spans="1:14">
      <c r="A187" s="187">
        <v>3023</v>
      </c>
      <c r="C187">
        <v>302</v>
      </c>
      <c r="D187">
        <v>3272</v>
      </c>
      <c r="E187">
        <v>1288</v>
      </c>
      <c r="F187">
        <v>5467</v>
      </c>
      <c r="G187">
        <v>1417</v>
      </c>
      <c r="H187" s="200">
        <v>7.0000000000000007E-2</v>
      </c>
      <c r="I187">
        <f t="shared" si="21"/>
        <v>107</v>
      </c>
      <c r="J187" s="193">
        <v>0.04</v>
      </c>
      <c r="K187">
        <f t="shared" si="22"/>
        <v>220</v>
      </c>
      <c r="L187" s="62">
        <f t="shared" si="23"/>
        <v>181</v>
      </c>
      <c r="M187" s="304">
        <v>3.67</v>
      </c>
      <c r="N187" s="301">
        <f>VLOOKUP(3023,季財報!A:N,8,0)</f>
        <v>3</v>
      </c>
    </row>
    <row r="188" spans="1:14">
      <c r="A188" s="187">
        <v>3048</v>
      </c>
      <c r="C188">
        <v>286</v>
      </c>
      <c r="D188">
        <v>3492</v>
      </c>
      <c r="E188">
        <v>491</v>
      </c>
      <c r="F188">
        <v>3195</v>
      </c>
      <c r="G188">
        <v>3199</v>
      </c>
      <c r="H188" s="200">
        <v>7.0000000000000007E-2</v>
      </c>
      <c r="I188">
        <f t="shared" si="21"/>
        <v>107</v>
      </c>
      <c r="J188" s="193">
        <v>0.04</v>
      </c>
      <c r="K188">
        <f t="shared" si="22"/>
        <v>220</v>
      </c>
      <c r="L188" s="62">
        <f t="shared" si="23"/>
        <v>181</v>
      </c>
      <c r="M188" s="304">
        <v>3.67</v>
      </c>
      <c r="N188" s="301">
        <f>VLOOKUP(3048,季財報!A:N,8,0)</f>
        <v>2</v>
      </c>
    </row>
    <row r="189" spans="1:14">
      <c r="A189" s="187">
        <v>8109</v>
      </c>
      <c r="C189">
        <v>84</v>
      </c>
      <c r="D189">
        <v>966</v>
      </c>
      <c r="E189">
        <v>205</v>
      </c>
      <c r="F189">
        <v>1142</v>
      </c>
      <c r="G189">
        <v>970</v>
      </c>
      <c r="H189" s="200">
        <v>7.0000000000000007E-2</v>
      </c>
      <c r="I189">
        <f t="shared" si="21"/>
        <v>107</v>
      </c>
      <c r="J189" s="193">
        <v>0.04</v>
      </c>
      <c r="K189">
        <f t="shared" si="22"/>
        <v>220</v>
      </c>
      <c r="L189" s="62">
        <f t="shared" si="23"/>
        <v>181</v>
      </c>
      <c r="M189" s="304">
        <v>3.44</v>
      </c>
      <c r="N189" s="301">
        <f>VLOOKUP(8109,季財報!A:N,8,0)</f>
        <v>5</v>
      </c>
    </row>
    <row r="190" spans="1:14">
      <c r="A190" s="187">
        <v>4141</v>
      </c>
      <c r="C190">
        <v>341</v>
      </c>
      <c r="D190">
        <v>0</v>
      </c>
      <c r="E190">
        <v>579</v>
      </c>
      <c r="F190">
        <v>5997</v>
      </c>
      <c r="G190">
        <v>7358</v>
      </c>
      <c r="H190" s="200">
        <v>0.59</v>
      </c>
      <c r="I190">
        <f>RANK(0.59,H:H,0)</f>
        <v>2</v>
      </c>
      <c r="J190" s="193">
        <v>0.03</v>
      </c>
      <c r="K190">
        <f>RANK(0.03,J:J,0)</f>
        <v>334</v>
      </c>
      <c r="L190" s="62">
        <f>RANK(4.52,M:M,0)</f>
        <v>189</v>
      </c>
      <c r="M190" s="304">
        <v>3.37</v>
      </c>
      <c r="N190" s="301">
        <f>VLOOKUP(4141,季財報!A:N,8,0)</f>
        <v>1</v>
      </c>
    </row>
    <row r="191" spans="1:14">
      <c r="A191" s="187">
        <v>8435</v>
      </c>
      <c r="C191">
        <v>35</v>
      </c>
      <c r="D191">
        <v>521</v>
      </c>
      <c r="E191">
        <v>204</v>
      </c>
      <c r="F191">
        <v>738</v>
      </c>
      <c r="G191">
        <v>0</v>
      </c>
      <c r="H191" s="200">
        <v>0.05</v>
      </c>
      <c r="I191">
        <f t="shared" ref="I191:I220" si="24">RANK(0.05,H:H,0)</f>
        <v>231</v>
      </c>
      <c r="J191" s="193">
        <v>0.05</v>
      </c>
      <c r="K191">
        <f t="shared" ref="K191:K220" si="25">RANK(0.05,J:J,0)</f>
        <v>135</v>
      </c>
      <c r="L191" s="62">
        <f t="shared" ref="L191:L220" si="26">RANK(4.15,M:M,0)</f>
        <v>190</v>
      </c>
      <c r="M191" s="304">
        <v>3.37</v>
      </c>
      <c r="N191" s="301">
        <f>VLOOKUP(8435,季財報!A:N,8,0)</f>
        <v>2</v>
      </c>
    </row>
    <row r="192" spans="1:14">
      <c r="A192" s="187">
        <v>8416</v>
      </c>
      <c r="C192">
        <v>34</v>
      </c>
      <c r="D192">
        <v>458</v>
      </c>
      <c r="E192">
        <v>212</v>
      </c>
      <c r="F192">
        <v>692</v>
      </c>
      <c r="G192">
        <v>0</v>
      </c>
      <c r="H192" s="200">
        <v>0.05</v>
      </c>
      <c r="I192">
        <f t="shared" si="24"/>
        <v>231</v>
      </c>
      <c r="J192" s="193">
        <v>0.05</v>
      </c>
      <c r="K192">
        <f t="shared" si="25"/>
        <v>135</v>
      </c>
      <c r="L192" s="62">
        <f t="shared" si="26"/>
        <v>190</v>
      </c>
      <c r="M192" s="304">
        <v>3.37</v>
      </c>
      <c r="N192" s="301">
        <f>VLOOKUP(8416,季財報!A:N,8,0)</f>
        <v>1</v>
      </c>
    </row>
    <row r="193" spans="1:14">
      <c r="A193" s="187">
        <v>6245</v>
      </c>
      <c r="C193">
        <v>115</v>
      </c>
      <c r="D193">
        <v>1088</v>
      </c>
      <c r="E193">
        <v>1111</v>
      </c>
      <c r="F193">
        <v>2222</v>
      </c>
      <c r="G193">
        <v>277</v>
      </c>
      <c r="H193" s="200">
        <v>0.05</v>
      </c>
      <c r="I193">
        <f t="shared" si="24"/>
        <v>231</v>
      </c>
      <c r="J193" s="193">
        <v>0.05</v>
      </c>
      <c r="K193">
        <f t="shared" si="25"/>
        <v>135</v>
      </c>
      <c r="L193" s="62">
        <f t="shared" si="26"/>
        <v>190</v>
      </c>
      <c r="M193" s="304">
        <v>3.37</v>
      </c>
      <c r="N193" s="301">
        <f>VLOOKUP(6245,季財報!A:N,8,0)</f>
        <v>2</v>
      </c>
    </row>
    <row r="194" spans="1:14">
      <c r="A194" s="187">
        <v>6274</v>
      </c>
      <c r="C194">
        <v>320</v>
      </c>
      <c r="D194">
        <v>3928</v>
      </c>
      <c r="E194">
        <v>3052</v>
      </c>
      <c r="F194">
        <v>6194</v>
      </c>
      <c r="G194">
        <v>243</v>
      </c>
      <c r="H194" s="200">
        <v>0.05</v>
      </c>
      <c r="I194">
        <f t="shared" si="24"/>
        <v>231</v>
      </c>
      <c r="J194" s="193">
        <v>0.05</v>
      </c>
      <c r="K194">
        <f t="shared" si="25"/>
        <v>135</v>
      </c>
      <c r="L194" s="62">
        <f t="shared" si="26"/>
        <v>190</v>
      </c>
      <c r="M194" s="304">
        <v>3.37</v>
      </c>
      <c r="N194" s="301">
        <f>VLOOKUP(6274,季財報!A:N,8,0)</f>
        <v>3</v>
      </c>
    </row>
    <row r="195" spans="1:14">
      <c r="A195" s="187">
        <v>6281</v>
      </c>
      <c r="C195">
        <v>100</v>
      </c>
      <c r="D195">
        <v>1794</v>
      </c>
      <c r="E195">
        <v>299</v>
      </c>
      <c r="F195">
        <v>2215</v>
      </c>
      <c r="G195">
        <v>0</v>
      </c>
      <c r="H195" s="200">
        <v>0.05</v>
      </c>
      <c r="I195">
        <f t="shared" si="24"/>
        <v>231</v>
      </c>
      <c r="J195" s="193">
        <v>0.05</v>
      </c>
      <c r="K195">
        <f t="shared" si="25"/>
        <v>135</v>
      </c>
      <c r="L195" s="62">
        <f t="shared" si="26"/>
        <v>190</v>
      </c>
      <c r="M195" s="304">
        <v>3.37</v>
      </c>
      <c r="N195" s="301">
        <f>VLOOKUP(6281,季財報!A:N,8,0)</f>
        <v>0</v>
      </c>
    </row>
    <row r="196" spans="1:14">
      <c r="A196" s="187">
        <v>6217</v>
      </c>
      <c r="C196">
        <v>65</v>
      </c>
      <c r="D196">
        <v>1018</v>
      </c>
      <c r="E196">
        <v>304</v>
      </c>
      <c r="F196">
        <v>1380</v>
      </c>
      <c r="G196">
        <v>0</v>
      </c>
      <c r="H196" s="200">
        <v>0.05</v>
      </c>
      <c r="I196">
        <f t="shared" si="24"/>
        <v>231</v>
      </c>
      <c r="J196" s="193">
        <v>0.05</v>
      </c>
      <c r="K196">
        <f t="shared" si="25"/>
        <v>135</v>
      </c>
      <c r="L196" s="62">
        <f t="shared" si="26"/>
        <v>190</v>
      </c>
      <c r="M196" s="304">
        <v>3.37</v>
      </c>
      <c r="N196" s="301">
        <f>VLOOKUP(6217,季財報!A:N,8,0)</f>
        <v>5</v>
      </c>
    </row>
    <row r="197" spans="1:14">
      <c r="A197" s="187">
        <v>5212</v>
      </c>
      <c r="C197">
        <v>19</v>
      </c>
      <c r="D197">
        <v>264</v>
      </c>
      <c r="E197">
        <v>90</v>
      </c>
      <c r="F197">
        <v>375</v>
      </c>
      <c r="G197">
        <v>33</v>
      </c>
      <c r="H197" s="200">
        <v>0.05</v>
      </c>
      <c r="I197">
        <f t="shared" si="24"/>
        <v>231</v>
      </c>
      <c r="J197" s="193">
        <v>0.05</v>
      </c>
      <c r="K197">
        <f t="shared" si="25"/>
        <v>135</v>
      </c>
      <c r="L197" s="62">
        <f t="shared" si="26"/>
        <v>190</v>
      </c>
      <c r="M197" s="304">
        <v>3.37</v>
      </c>
      <c r="N197" s="301">
        <f>VLOOKUP(5212,季財報!A:N,8,0)</f>
        <v>2</v>
      </c>
    </row>
    <row r="198" spans="1:14">
      <c r="A198" s="187">
        <v>5490</v>
      </c>
      <c r="C198">
        <v>89</v>
      </c>
      <c r="D198">
        <v>1704</v>
      </c>
      <c r="E198">
        <v>105</v>
      </c>
      <c r="F198">
        <v>1722</v>
      </c>
      <c r="G198">
        <v>0</v>
      </c>
      <c r="H198" s="200">
        <v>0.05</v>
      </c>
      <c r="I198">
        <f t="shared" si="24"/>
        <v>231</v>
      </c>
      <c r="J198" s="193">
        <v>0.05</v>
      </c>
      <c r="K198">
        <f t="shared" si="25"/>
        <v>135</v>
      </c>
      <c r="L198" s="62">
        <f t="shared" si="26"/>
        <v>190</v>
      </c>
      <c r="M198" s="304">
        <v>3.37</v>
      </c>
      <c r="N198" s="301">
        <f>VLOOKUP(5490,季財報!A:N,8,0)</f>
        <v>3</v>
      </c>
    </row>
    <row r="199" spans="1:14">
      <c r="A199" s="187">
        <v>4736</v>
      </c>
      <c r="C199">
        <v>152</v>
      </c>
      <c r="D199">
        <v>1658</v>
      </c>
      <c r="E199">
        <v>1242</v>
      </c>
      <c r="F199">
        <v>2689</v>
      </c>
      <c r="G199">
        <v>322</v>
      </c>
      <c r="H199" s="200">
        <v>0.05</v>
      </c>
      <c r="I199">
        <f t="shared" si="24"/>
        <v>231</v>
      </c>
      <c r="J199" s="193">
        <v>0.05</v>
      </c>
      <c r="K199">
        <f t="shared" si="25"/>
        <v>135</v>
      </c>
      <c r="L199" s="62">
        <f t="shared" si="26"/>
        <v>190</v>
      </c>
      <c r="M199" s="304">
        <v>3.37</v>
      </c>
      <c r="N199" s="301">
        <f>VLOOKUP(4736,季財報!A:N,8,0)</f>
        <v>5</v>
      </c>
    </row>
    <row r="200" spans="1:14">
      <c r="A200" s="187">
        <v>4919</v>
      </c>
      <c r="C200">
        <v>151</v>
      </c>
      <c r="D200">
        <v>2299</v>
      </c>
      <c r="E200">
        <v>447</v>
      </c>
      <c r="F200">
        <v>3098</v>
      </c>
      <c r="G200">
        <v>0</v>
      </c>
      <c r="H200" s="200">
        <v>0.05</v>
      </c>
      <c r="I200">
        <f t="shared" si="24"/>
        <v>231</v>
      </c>
      <c r="J200" s="193">
        <v>0.05</v>
      </c>
      <c r="K200">
        <f t="shared" si="25"/>
        <v>135</v>
      </c>
      <c r="L200" s="62">
        <f t="shared" si="26"/>
        <v>190</v>
      </c>
      <c r="M200" s="304">
        <v>3.37</v>
      </c>
      <c r="N200" s="301">
        <f>VLOOKUP(4919,季財報!A:N,8,0)</f>
        <v>1</v>
      </c>
    </row>
    <row r="201" spans="1:14">
      <c r="A201" s="187">
        <v>4971</v>
      </c>
      <c r="C201">
        <v>70</v>
      </c>
      <c r="D201">
        <v>731</v>
      </c>
      <c r="E201">
        <v>597</v>
      </c>
      <c r="F201">
        <v>1437</v>
      </c>
      <c r="G201">
        <v>0</v>
      </c>
      <c r="H201" s="200">
        <v>0.05</v>
      </c>
      <c r="I201">
        <f t="shared" si="24"/>
        <v>231</v>
      </c>
      <c r="J201" s="193">
        <v>0.05</v>
      </c>
      <c r="K201">
        <f t="shared" si="25"/>
        <v>135</v>
      </c>
      <c r="L201" s="62">
        <f t="shared" si="26"/>
        <v>190</v>
      </c>
      <c r="M201" s="304">
        <v>3.37</v>
      </c>
      <c r="N201" s="301">
        <f>VLOOKUP(4971,季財報!A:N,8,0)</f>
        <v>1</v>
      </c>
    </row>
    <row r="202" spans="1:14">
      <c r="A202" s="187">
        <v>1777</v>
      </c>
      <c r="C202">
        <v>47</v>
      </c>
      <c r="D202">
        <v>604</v>
      </c>
      <c r="E202">
        <v>321</v>
      </c>
      <c r="F202">
        <v>936</v>
      </c>
      <c r="G202">
        <v>42</v>
      </c>
      <c r="H202" s="200">
        <v>0.05</v>
      </c>
      <c r="I202">
        <f t="shared" si="24"/>
        <v>231</v>
      </c>
      <c r="J202" s="193">
        <v>0.05</v>
      </c>
      <c r="K202">
        <f t="shared" si="25"/>
        <v>135</v>
      </c>
      <c r="L202" s="62">
        <f t="shared" si="26"/>
        <v>190</v>
      </c>
      <c r="M202" s="304">
        <v>3.37</v>
      </c>
      <c r="N202" s="301">
        <f>VLOOKUP(1777,季財報!A:N,8,0)</f>
        <v>5</v>
      </c>
    </row>
    <row r="203" spans="1:14">
      <c r="A203" s="187">
        <v>2377</v>
      </c>
      <c r="C203">
        <v>1230</v>
      </c>
      <c r="D203">
        <v>17619</v>
      </c>
      <c r="E203">
        <v>5622</v>
      </c>
      <c r="F203">
        <v>24849</v>
      </c>
      <c r="G203">
        <v>164</v>
      </c>
      <c r="H203" s="200">
        <v>0.05</v>
      </c>
      <c r="I203">
        <f t="shared" si="24"/>
        <v>231</v>
      </c>
      <c r="J203" s="193">
        <v>0.05</v>
      </c>
      <c r="K203">
        <f t="shared" si="25"/>
        <v>135</v>
      </c>
      <c r="L203" s="62">
        <f t="shared" si="26"/>
        <v>190</v>
      </c>
      <c r="M203" s="304">
        <v>3.37</v>
      </c>
      <c r="N203" s="301">
        <f>VLOOKUP(2377,季財報!A:N,8,0)</f>
        <v>5</v>
      </c>
    </row>
    <row r="204" spans="1:14">
      <c r="A204" s="187">
        <v>2428</v>
      </c>
      <c r="C204">
        <v>257</v>
      </c>
      <c r="D204">
        <v>3511</v>
      </c>
      <c r="E204">
        <v>1255</v>
      </c>
      <c r="F204">
        <v>4657</v>
      </c>
      <c r="G204">
        <v>329</v>
      </c>
      <c r="H204" s="200">
        <v>0.05</v>
      </c>
      <c r="I204">
        <f t="shared" si="24"/>
        <v>231</v>
      </c>
      <c r="J204" s="193">
        <v>0.05</v>
      </c>
      <c r="K204">
        <f t="shared" si="25"/>
        <v>135</v>
      </c>
      <c r="L204" s="62">
        <f t="shared" si="26"/>
        <v>190</v>
      </c>
      <c r="M204" s="304">
        <v>3.37</v>
      </c>
      <c r="N204" s="301">
        <f>VLOOKUP(2428,季財報!A:N,8,0)</f>
        <v>3</v>
      </c>
    </row>
    <row r="205" spans="1:14">
      <c r="A205" s="187">
        <v>2464</v>
      </c>
      <c r="C205">
        <v>183</v>
      </c>
      <c r="D205">
        <v>1807</v>
      </c>
      <c r="E205">
        <v>1592</v>
      </c>
      <c r="F205">
        <v>3537</v>
      </c>
      <c r="G205">
        <v>283</v>
      </c>
      <c r="H205" s="200">
        <v>0.05</v>
      </c>
      <c r="I205">
        <f t="shared" si="24"/>
        <v>231</v>
      </c>
      <c r="J205" s="193">
        <v>0.05</v>
      </c>
      <c r="K205">
        <f t="shared" si="25"/>
        <v>135</v>
      </c>
      <c r="L205" s="62">
        <f t="shared" si="26"/>
        <v>190</v>
      </c>
      <c r="M205" s="304">
        <v>3.37</v>
      </c>
      <c r="N205" s="301">
        <f>VLOOKUP(2464,季財報!A:N,8,0)</f>
        <v>3</v>
      </c>
    </row>
    <row r="206" spans="1:14">
      <c r="A206" s="187">
        <v>2488</v>
      </c>
      <c r="C206">
        <v>82</v>
      </c>
      <c r="D206">
        <v>1222</v>
      </c>
      <c r="E206">
        <v>445</v>
      </c>
      <c r="F206">
        <v>1746</v>
      </c>
      <c r="G206">
        <v>49</v>
      </c>
      <c r="H206" s="200">
        <v>0.05</v>
      </c>
      <c r="I206">
        <f t="shared" si="24"/>
        <v>231</v>
      </c>
      <c r="J206" s="193">
        <v>0.05</v>
      </c>
      <c r="K206">
        <f t="shared" si="25"/>
        <v>135</v>
      </c>
      <c r="L206" s="62">
        <f t="shared" si="26"/>
        <v>190</v>
      </c>
      <c r="M206" s="304">
        <v>3.37</v>
      </c>
      <c r="N206" s="301">
        <f>VLOOKUP(2488,季財報!A:N,8,0)</f>
        <v>4</v>
      </c>
    </row>
    <row r="207" spans="1:14">
      <c r="A207" s="187">
        <v>2493</v>
      </c>
      <c r="C207">
        <v>105</v>
      </c>
      <c r="D207">
        <v>1551</v>
      </c>
      <c r="E207">
        <v>487</v>
      </c>
      <c r="F207">
        <v>2107</v>
      </c>
      <c r="G207">
        <v>24</v>
      </c>
      <c r="H207" s="200">
        <v>0.05</v>
      </c>
      <c r="I207">
        <f t="shared" si="24"/>
        <v>231</v>
      </c>
      <c r="J207" s="193">
        <v>0.05</v>
      </c>
      <c r="K207">
        <f t="shared" si="25"/>
        <v>135</v>
      </c>
      <c r="L207" s="62">
        <f t="shared" si="26"/>
        <v>190</v>
      </c>
      <c r="M207" s="304">
        <v>3.37</v>
      </c>
      <c r="N207" s="301">
        <f>VLOOKUP(2493,季財報!A:N,8,0)</f>
        <v>3</v>
      </c>
    </row>
    <row r="208" spans="1:14">
      <c r="A208" s="187">
        <v>2729</v>
      </c>
      <c r="C208">
        <v>83</v>
      </c>
      <c r="D208">
        <v>821</v>
      </c>
      <c r="E208">
        <v>931</v>
      </c>
      <c r="F208">
        <v>1797</v>
      </c>
      <c r="G208">
        <v>0</v>
      </c>
      <c r="H208" s="200">
        <v>0.05</v>
      </c>
      <c r="I208">
        <f t="shared" si="24"/>
        <v>231</v>
      </c>
      <c r="J208" s="193">
        <v>0.05</v>
      </c>
      <c r="K208">
        <f t="shared" si="25"/>
        <v>135</v>
      </c>
      <c r="L208" s="62">
        <f t="shared" si="26"/>
        <v>190</v>
      </c>
      <c r="M208" s="304">
        <v>3.37</v>
      </c>
      <c r="N208" s="301">
        <f>VLOOKUP(2729,季財報!A:N,8,0)</f>
        <v>2</v>
      </c>
    </row>
    <row r="209" spans="1:14">
      <c r="A209" s="187">
        <v>3213</v>
      </c>
      <c r="C209">
        <v>60</v>
      </c>
      <c r="D209">
        <v>992</v>
      </c>
      <c r="E209">
        <v>163</v>
      </c>
      <c r="F209">
        <v>1228</v>
      </c>
      <c r="G209">
        <v>0</v>
      </c>
      <c r="H209" s="200">
        <v>0.05</v>
      </c>
      <c r="I209">
        <f t="shared" si="24"/>
        <v>231</v>
      </c>
      <c r="J209" s="193">
        <v>0.05</v>
      </c>
      <c r="K209">
        <f t="shared" si="25"/>
        <v>135</v>
      </c>
      <c r="L209" s="62">
        <f t="shared" si="26"/>
        <v>190</v>
      </c>
      <c r="M209" s="304">
        <v>3.37</v>
      </c>
      <c r="N209" s="301">
        <f>VLOOKUP(3213,季財報!A:N,8,0)</f>
        <v>2</v>
      </c>
    </row>
    <row r="210" spans="1:14">
      <c r="A210" s="187">
        <v>3272</v>
      </c>
      <c r="C210">
        <v>82</v>
      </c>
      <c r="D210">
        <v>1335</v>
      </c>
      <c r="E210">
        <v>214</v>
      </c>
      <c r="F210">
        <v>1418</v>
      </c>
      <c r="G210">
        <v>167</v>
      </c>
      <c r="H210" s="200">
        <v>0.05</v>
      </c>
      <c r="I210">
        <f t="shared" si="24"/>
        <v>231</v>
      </c>
      <c r="J210" s="193">
        <v>0.05</v>
      </c>
      <c r="K210">
        <f t="shared" si="25"/>
        <v>135</v>
      </c>
      <c r="L210" s="62">
        <f t="shared" si="26"/>
        <v>190</v>
      </c>
      <c r="M210" s="304">
        <v>3.37</v>
      </c>
      <c r="N210" s="301">
        <f>VLOOKUP(3272,季財報!A:N,8,0)</f>
        <v>3</v>
      </c>
    </row>
    <row r="211" spans="1:14">
      <c r="A211" s="187">
        <v>3454</v>
      </c>
      <c r="C211">
        <v>118</v>
      </c>
      <c r="D211">
        <v>1748</v>
      </c>
      <c r="E211">
        <v>455</v>
      </c>
      <c r="F211">
        <v>2607</v>
      </c>
      <c r="G211">
        <v>2</v>
      </c>
      <c r="H211" s="200">
        <v>0.05</v>
      </c>
      <c r="I211">
        <f t="shared" si="24"/>
        <v>231</v>
      </c>
      <c r="J211" s="193">
        <v>0.05</v>
      </c>
      <c r="K211">
        <f t="shared" si="25"/>
        <v>135</v>
      </c>
      <c r="L211" s="62">
        <f t="shared" si="26"/>
        <v>190</v>
      </c>
      <c r="M211" s="304">
        <v>3.37</v>
      </c>
      <c r="N211" s="301">
        <f>VLOOKUP(3454,季財報!A:N,8,0)</f>
        <v>2</v>
      </c>
    </row>
    <row r="212" spans="1:14">
      <c r="A212" s="187">
        <v>3490</v>
      </c>
      <c r="C212">
        <v>87</v>
      </c>
      <c r="D212">
        <v>962</v>
      </c>
      <c r="E212">
        <v>822</v>
      </c>
      <c r="F212">
        <v>1664</v>
      </c>
      <c r="G212">
        <v>180</v>
      </c>
      <c r="H212" s="200">
        <v>0.05</v>
      </c>
      <c r="I212">
        <f t="shared" si="24"/>
        <v>231</v>
      </c>
      <c r="J212" s="193">
        <v>0.05</v>
      </c>
      <c r="K212">
        <f t="shared" si="25"/>
        <v>135</v>
      </c>
      <c r="L212" s="62">
        <f t="shared" si="26"/>
        <v>190</v>
      </c>
      <c r="M212" s="304">
        <v>3.27</v>
      </c>
      <c r="N212" s="301">
        <f>VLOOKUP(3490,季財報!A:N,8,0)</f>
        <v>1</v>
      </c>
    </row>
    <row r="213" spans="1:14">
      <c r="A213" s="187">
        <v>3541</v>
      </c>
      <c r="C213">
        <v>43</v>
      </c>
      <c r="D213">
        <v>551</v>
      </c>
      <c r="E213">
        <v>251</v>
      </c>
      <c r="F213">
        <v>799</v>
      </c>
      <c r="G213">
        <v>89</v>
      </c>
      <c r="H213" s="200">
        <v>0.05</v>
      </c>
      <c r="I213">
        <f t="shared" si="24"/>
        <v>231</v>
      </c>
      <c r="J213" s="193">
        <v>0.05</v>
      </c>
      <c r="K213">
        <f t="shared" si="25"/>
        <v>135</v>
      </c>
      <c r="L213" s="62">
        <f t="shared" si="26"/>
        <v>190</v>
      </c>
      <c r="M213" s="304">
        <v>3.27</v>
      </c>
      <c r="N213" s="301">
        <f>VLOOKUP(3541,季財報!A:N,8,0)</f>
        <v>3</v>
      </c>
    </row>
    <row r="214" spans="1:14">
      <c r="A214" s="187">
        <v>3559</v>
      </c>
      <c r="C214">
        <v>87</v>
      </c>
      <c r="D214">
        <v>702</v>
      </c>
      <c r="E214">
        <v>1116</v>
      </c>
      <c r="F214">
        <v>1929</v>
      </c>
      <c r="G214">
        <v>0</v>
      </c>
      <c r="H214" s="200">
        <v>0.05</v>
      </c>
      <c r="I214">
        <f t="shared" si="24"/>
        <v>231</v>
      </c>
      <c r="J214" s="193">
        <v>0.05</v>
      </c>
      <c r="K214">
        <f t="shared" si="25"/>
        <v>135</v>
      </c>
      <c r="L214" s="62">
        <f t="shared" si="26"/>
        <v>190</v>
      </c>
      <c r="M214" s="304">
        <v>3.27</v>
      </c>
      <c r="N214" s="301">
        <f>VLOOKUP(3559,季財報!A:N,8,0)</f>
        <v>3</v>
      </c>
    </row>
    <row r="215" spans="1:14">
      <c r="A215" s="187">
        <v>3563</v>
      </c>
      <c r="C215">
        <v>54</v>
      </c>
      <c r="D215">
        <v>757</v>
      </c>
      <c r="E215">
        <v>225</v>
      </c>
      <c r="F215">
        <v>1028</v>
      </c>
      <c r="G215">
        <v>0</v>
      </c>
      <c r="H215" s="200">
        <v>0.05</v>
      </c>
      <c r="I215">
        <f t="shared" si="24"/>
        <v>231</v>
      </c>
      <c r="J215" s="193">
        <v>0.05</v>
      </c>
      <c r="K215">
        <f t="shared" si="25"/>
        <v>135</v>
      </c>
      <c r="L215" s="62">
        <f t="shared" si="26"/>
        <v>190</v>
      </c>
      <c r="M215" s="304">
        <v>3.27</v>
      </c>
      <c r="N215" s="301">
        <f>VLOOKUP(3563,季財報!A:N,8,0)</f>
        <v>2</v>
      </c>
    </row>
    <row r="216" spans="1:14">
      <c r="A216" s="187">
        <v>3632</v>
      </c>
      <c r="C216">
        <v>29</v>
      </c>
      <c r="D216">
        <v>367</v>
      </c>
      <c r="E216">
        <v>240</v>
      </c>
      <c r="F216">
        <v>455</v>
      </c>
      <c r="G216">
        <v>140</v>
      </c>
      <c r="H216" s="200">
        <v>0.05</v>
      </c>
      <c r="I216">
        <f t="shared" si="24"/>
        <v>231</v>
      </c>
      <c r="J216" s="193">
        <v>0.05</v>
      </c>
      <c r="K216">
        <f t="shared" si="25"/>
        <v>135</v>
      </c>
      <c r="L216" s="62">
        <f t="shared" si="26"/>
        <v>190</v>
      </c>
      <c r="M216" s="304">
        <v>3.27</v>
      </c>
      <c r="N216" s="301">
        <f>VLOOKUP(3632,季財報!A:N,8,0)</f>
        <v>4</v>
      </c>
    </row>
    <row r="217" spans="1:14">
      <c r="A217" s="187">
        <v>4107</v>
      </c>
      <c r="C217">
        <v>86</v>
      </c>
      <c r="D217">
        <v>934</v>
      </c>
      <c r="E217">
        <v>939</v>
      </c>
      <c r="F217">
        <v>1816</v>
      </c>
      <c r="G217">
        <v>78</v>
      </c>
      <c r="H217" s="200">
        <v>0.05</v>
      </c>
      <c r="I217">
        <f t="shared" si="24"/>
        <v>231</v>
      </c>
      <c r="J217" s="193">
        <v>0.05</v>
      </c>
      <c r="K217">
        <f t="shared" si="25"/>
        <v>135</v>
      </c>
      <c r="L217" s="62">
        <f t="shared" si="26"/>
        <v>190</v>
      </c>
      <c r="M217" s="304">
        <v>3.11</v>
      </c>
      <c r="N217" s="301">
        <f>VLOOKUP(4107,季財報!A:N,8,0)</f>
        <v>3</v>
      </c>
    </row>
    <row r="218" spans="1:14">
      <c r="A218" s="187">
        <v>5425</v>
      </c>
      <c r="C218">
        <v>361</v>
      </c>
      <c r="D218">
        <v>3564</v>
      </c>
      <c r="E218">
        <v>3067</v>
      </c>
      <c r="F218">
        <v>6369</v>
      </c>
      <c r="G218">
        <v>365</v>
      </c>
      <c r="H218" s="200">
        <v>0.05</v>
      </c>
      <c r="I218">
        <f t="shared" si="24"/>
        <v>231</v>
      </c>
      <c r="J218" s="193">
        <v>0.05</v>
      </c>
      <c r="K218">
        <f t="shared" si="25"/>
        <v>135</v>
      </c>
      <c r="L218" s="62">
        <f t="shared" si="26"/>
        <v>190</v>
      </c>
      <c r="M218" s="304">
        <v>3.11</v>
      </c>
      <c r="N218" s="301">
        <f>VLOOKUP(5425,季財報!A:N,8,0)</f>
        <v>3</v>
      </c>
    </row>
    <row r="219" spans="1:14">
      <c r="A219" s="187">
        <v>4432</v>
      </c>
      <c r="C219">
        <v>73</v>
      </c>
      <c r="D219">
        <v>1040</v>
      </c>
      <c r="E219">
        <v>316</v>
      </c>
      <c r="F219">
        <v>1449</v>
      </c>
      <c r="G219">
        <v>0</v>
      </c>
      <c r="H219" s="200">
        <v>0.05</v>
      </c>
      <c r="I219">
        <f t="shared" si="24"/>
        <v>231</v>
      </c>
      <c r="J219" s="193">
        <v>0.05</v>
      </c>
      <c r="K219">
        <f t="shared" si="25"/>
        <v>135</v>
      </c>
      <c r="L219" s="62">
        <f t="shared" si="26"/>
        <v>190</v>
      </c>
      <c r="M219" s="304">
        <v>3.11</v>
      </c>
      <c r="N219" s="301">
        <f>VLOOKUP(4432,季財報!A:N,8,0)</f>
        <v>3</v>
      </c>
    </row>
    <row r="220" spans="1:14">
      <c r="A220" s="187">
        <v>2406</v>
      </c>
      <c r="C220">
        <v>588</v>
      </c>
      <c r="D220">
        <v>5262</v>
      </c>
      <c r="E220">
        <v>5460</v>
      </c>
      <c r="F220">
        <v>7986</v>
      </c>
      <c r="G220">
        <v>3381</v>
      </c>
      <c r="H220" s="200">
        <v>0.05</v>
      </c>
      <c r="I220">
        <f t="shared" si="24"/>
        <v>231</v>
      </c>
      <c r="J220" s="193">
        <v>0.05</v>
      </c>
      <c r="K220">
        <f t="shared" si="25"/>
        <v>135</v>
      </c>
      <c r="L220" s="62">
        <f t="shared" si="26"/>
        <v>190</v>
      </c>
      <c r="M220" s="304">
        <v>3.11</v>
      </c>
      <c r="N220" s="301">
        <f>VLOOKUP(2406,季財報!A:N,8,0)</f>
        <v>5</v>
      </c>
    </row>
    <row r="221" spans="1:14">
      <c r="A221" s="187">
        <v>5905</v>
      </c>
      <c r="C221">
        <v>125</v>
      </c>
      <c r="D221">
        <v>15</v>
      </c>
      <c r="E221">
        <v>1109</v>
      </c>
      <c r="F221">
        <v>3125</v>
      </c>
      <c r="G221">
        <v>919</v>
      </c>
      <c r="H221" s="200">
        <v>0.11</v>
      </c>
      <c r="I221">
        <f>RANK(0.11,H:H,0)</f>
        <v>38</v>
      </c>
      <c r="J221" s="193">
        <v>0.03</v>
      </c>
      <c r="K221">
        <f>RANK(0.03,J:J,0)</f>
        <v>334</v>
      </c>
      <c r="L221" s="62">
        <f>RANK(4.08,M:M,0)</f>
        <v>220</v>
      </c>
      <c r="M221" s="304">
        <v>3.11</v>
      </c>
      <c r="N221" s="301">
        <f>VLOOKUP(5905,季財報!A:N,8,0)</f>
        <v>2</v>
      </c>
    </row>
    <row r="222" spans="1:14">
      <c r="A222" s="187">
        <v>9938</v>
      </c>
      <c r="C222">
        <v>491</v>
      </c>
      <c r="D222">
        <v>3641</v>
      </c>
      <c r="E222">
        <v>4847</v>
      </c>
      <c r="F222">
        <v>9236</v>
      </c>
      <c r="G222">
        <v>2885</v>
      </c>
      <c r="H222" s="200">
        <v>0.06</v>
      </c>
      <c r="I222">
        <f t="shared" ref="I222:I236" si="27">RANK(0.06,H:H,0)</f>
        <v>155</v>
      </c>
      <c r="J222" s="193">
        <v>0.04</v>
      </c>
      <c r="K222">
        <f t="shared" ref="K222:K236" si="28">RANK(0.04,J:J,0)</f>
        <v>220</v>
      </c>
      <c r="L222" s="62">
        <f t="shared" ref="L222:L236" si="29">RANK(4.05,M:M,0)</f>
        <v>221</v>
      </c>
      <c r="M222" s="304">
        <v>2.76</v>
      </c>
      <c r="N222" s="301">
        <f>VLOOKUP(9938,季財報!A:N,8,0)</f>
        <v>3</v>
      </c>
    </row>
    <row r="223" spans="1:14">
      <c r="A223" s="187">
        <v>6285</v>
      </c>
      <c r="C223">
        <v>638</v>
      </c>
      <c r="D223">
        <v>5718</v>
      </c>
      <c r="E223">
        <v>5822</v>
      </c>
      <c r="F223">
        <v>11992</v>
      </c>
      <c r="G223">
        <v>2295</v>
      </c>
      <c r="H223" s="200">
        <v>0.06</v>
      </c>
      <c r="I223">
        <f t="shared" si="27"/>
        <v>155</v>
      </c>
      <c r="J223" s="193">
        <v>0.04</v>
      </c>
      <c r="K223">
        <f t="shared" si="28"/>
        <v>220</v>
      </c>
      <c r="L223" s="62">
        <f t="shared" si="29"/>
        <v>221</v>
      </c>
      <c r="M223" s="304">
        <v>2.76</v>
      </c>
      <c r="N223" s="301">
        <f>VLOOKUP(6285,季財報!A:N,8,0)</f>
        <v>4</v>
      </c>
    </row>
    <row r="224" spans="1:14">
      <c r="A224" s="187">
        <v>4163</v>
      </c>
      <c r="C224">
        <v>74</v>
      </c>
      <c r="D224">
        <v>388</v>
      </c>
      <c r="E224">
        <v>867</v>
      </c>
      <c r="F224">
        <v>1302</v>
      </c>
      <c r="G224">
        <v>465</v>
      </c>
      <c r="H224" s="200">
        <v>0.06</v>
      </c>
      <c r="I224">
        <f t="shared" si="27"/>
        <v>155</v>
      </c>
      <c r="J224" s="193">
        <v>0.04</v>
      </c>
      <c r="K224">
        <f t="shared" si="28"/>
        <v>220</v>
      </c>
      <c r="L224" s="62">
        <f t="shared" si="29"/>
        <v>221</v>
      </c>
      <c r="M224" s="304">
        <v>2.76</v>
      </c>
      <c r="N224" s="301">
        <f>VLOOKUP(4163,季財報!A:N,8,0)</f>
        <v>3</v>
      </c>
    </row>
    <row r="225" spans="1:14">
      <c r="A225" s="187">
        <v>4722</v>
      </c>
      <c r="C225">
        <v>102</v>
      </c>
      <c r="D225">
        <v>876</v>
      </c>
      <c r="E225">
        <v>962</v>
      </c>
      <c r="F225">
        <v>1904</v>
      </c>
      <c r="G225">
        <v>666</v>
      </c>
      <c r="H225" s="200">
        <v>0.06</v>
      </c>
      <c r="I225">
        <f t="shared" si="27"/>
        <v>155</v>
      </c>
      <c r="J225" s="193">
        <v>0.04</v>
      </c>
      <c r="K225">
        <f t="shared" si="28"/>
        <v>220</v>
      </c>
      <c r="L225" s="62">
        <f t="shared" si="29"/>
        <v>221</v>
      </c>
      <c r="M225" s="304">
        <v>2.76</v>
      </c>
      <c r="N225" s="301">
        <f>VLOOKUP(4722,季財報!A:N,8,0)</f>
        <v>3</v>
      </c>
    </row>
    <row r="226" spans="1:14">
      <c r="A226" s="187">
        <v>6176</v>
      </c>
      <c r="C226">
        <v>1502</v>
      </c>
      <c r="D226">
        <v>17866</v>
      </c>
      <c r="E226">
        <v>9317</v>
      </c>
      <c r="F226">
        <v>23577</v>
      </c>
      <c r="G226">
        <v>12334</v>
      </c>
      <c r="H226" s="200">
        <v>0.06</v>
      </c>
      <c r="I226">
        <f t="shared" si="27"/>
        <v>155</v>
      </c>
      <c r="J226" s="193">
        <v>0.04</v>
      </c>
      <c r="K226">
        <f t="shared" si="28"/>
        <v>220</v>
      </c>
      <c r="L226" s="62">
        <f t="shared" si="29"/>
        <v>221</v>
      </c>
      <c r="M226" s="304">
        <v>2.76</v>
      </c>
      <c r="N226" s="301">
        <f>VLOOKUP(6176,季財報!A:N,8,0)</f>
        <v>3</v>
      </c>
    </row>
    <row r="227" spans="1:14">
      <c r="A227" s="187">
        <v>1730</v>
      </c>
      <c r="C227">
        <v>51</v>
      </c>
      <c r="D227">
        <v>513</v>
      </c>
      <c r="E227">
        <v>330</v>
      </c>
      <c r="F227">
        <v>1144</v>
      </c>
      <c r="G227">
        <v>177</v>
      </c>
      <c r="H227" s="200">
        <v>0.06</v>
      </c>
      <c r="I227">
        <f t="shared" si="27"/>
        <v>155</v>
      </c>
      <c r="J227" s="193">
        <v>0.04</v>
      </c>
      <c r="K227">
        <f t="shared" si="28"/>
        <v>220</v>
      </c>
      <c r="L227" s="62">
        <f t="shared" si="29"/>
        <v>221</v>
      </c>
      <c r="M227" s="304">
        <v>2.76</v>
      </c>
      <c r="N227" s="301">
        <f>VLOOKUP(1730,季財報!A:N,8,0)</f>
        <v>6</v>
      </c>
    </row>
    <row r="228" spans="1:14">
      <c r="A228" s="187">
        <v>2408</v>
      </c>
      <c r="C228">
        <v>3168</v>
      </c>
      <c r="D228">
        <v>0</v>
      </c>
      <c r="E228">
        <v>50363</v>
      </c>
      <c r="F228">
        <v>52496</v>
      </c>
      <c r="G228">
        <v>33336</v>
      </c>
      <c r="H228" s="200">
        <v>0.06</v>
      </c>
      <c r="I228">
        <f t="shared" si="27"/>
        <v>155</v>
      </c>
      <c r="J228" s="193">
        <v>0.04</v>
      </c>
      <c r="K228">
        <f t="shared" si="28"/>
        <v>220</v>
      </c>
      <c r="L228" s="62">
        <f t="shared" si="29"/>
        <v>221</v>
      </c>
      <c r="M228" s="304">
        <v>2.76</v>
      </c>
      <c r="N228" s="301">
        <f>VLOOKUP(2408,季財報!A:N,8,0)</f>
        <v>2</v>
      </c>
    </row>
    <row r="229" spans="1:14">
      <c r="A229" s="187">
        <v>2731</v>
      </c>
      <c r="C229">
        <v>79</v>
      </c>
      <c r="D229">
        <v>895</v>
      </c>
      <c r="E229">
        <v>353</v>
      </c>
      <c r="F229">
        <v>2210</v>
      </c>
      <c r="G229">
        <v>31</v>
      </c>
      <c r="H229" s="200">
        <v>0.06</v>
      </c>
      <c r="I229">
        <f t="shared" si="27"/>
        <v>155</v>
      </c>
      <c r="J229" s="193">
        <v>0.04</v>
      </c>
      <c r="K229">
        <f t="shared" si="28"/>
        <v>220</v>
      </c>
      <c r="L229" s="62">
        <f t="shared" si="29"/>
        <v>221</v>
      </c>
      <c r="M229" s="304">
        <v>2.76</v>
      </c>
      <c r="N229" s="301">
        <f>VLOOKUP(2731,季財報!A:N,8,0)</f>
        <v>1</v>
      </c>
    </row>
    <row r="230" spans="1:14">
      <c r="A230" s="187">
        <v>8424</v>
      </c>
      <c r="C230">
        <v>34</v>
      </c>
      <c r="D230">
        <v>493</v>
      </c>
      <c r="E230">
        <v>88</v>
      </c>
      <c r="F230">
        <v>847</v>
      </c>
      <c r="G230">
        <v>0</v>
      </c>
      <c r="H230" s="200">
        <v>0.06</v>
      </c>
      <c r="I230">
        <f t="shared" si="27"/>
        <v>155</v>
      </c>
      <c r="J230" s="193">
        <v>0.04</v>
      </c>
      <c r="K230">
        <f t="shared" si="28"/>
        <v>220</v>
      </c>
      <c r="L230" s="62">
        <f t="shared" si="29"/>
        <v>221</v>
      </c>
      <c r="M230" s="304">
        <v>2.76</v>
      </c>
      <c r="N230" s="301">
        <f>VLOOKUP(8424,季財報!A:N,8,0)</f>
        <v>1</v>
      </c>
    </row>
    <row r="231" spans="1:14">
      <c r="A231" s="187">
        <v>6292</v>
      </c>
      <c r="C231">
        <v>45</v>
      </c>
      <c r="D231">
        <v>628</v>
      </c>
      <c r="E231">
        <v>182</v>
      </c>
      <c r="F231">
        <v>939</v>
      </c>
      <c r="G231">
        <v>240</v>
      </c>
      <c r="H231" s="200">
        <v>0.06</v>
      </c>
      <c r="I231">
        <f t="shared" si="27"/>
        <v>155</v>
      </c>
      <c r="J231" s="193">
        <v>0.04</v>
      </c>
      <c r="K231">
        <f t="shared" si="28"/>
        <v>220</v>
      </c>
      <c r="L231" s="62">
        <f t="shared" si="29"/>
        <v>221</v>
      </c>
      <c r="M231" s="304">
        <v>2.76</v>
      </c>
      <c r="N231" s="301">
        <f>VLOOKUP(6292,季財報!A:N,8,0)</f>
        <v>2</v>
      </c>
    </row>
    <row r="232" spans="1:14">
      <c r="A232" s="187">
        <v>6189</v>
      </c>
      <c r="C232">
        <v>200</v>
      </c>
      <c r="D232">
        <v>3127</v>
      </c>
      <c r="E232">
        <v>417</v>
      </c>
      <c r="F232">
        <v>3440</v>
      </c>
      <c r="G232">
        <v>1680</v>
      </c>
      <c r="H232" s="200">
        <v>0.06</v>
      </c>
      <c r="I232">
        <f t="shared" si="27"/>
        <v>155</v>
      </c>
      <c r="J232" s="193">
        <v>0.04</v>
      </c>
      <c r="K232">
        <f t="shared" si="28"/>
        <v>220</v>
      </c>
      <c r="L232" s="62">
        <f t="shared" si="29"/>
        <v>221</v>
      </c>
      <c r="M232" s="304">
        <v>2.76</v>
      </c>
      <c r="N232" s="301">
        <f>VLOOKUP(6189,季財報!A:N,8,0)</f>
        <v>4</v>
      </c>
    </row>
    <row r="233" spans="1:14">
      <c r="A233" s="187">
        <v>5878</v>
      </c>
      <c r="C233">
        <v>18</v>
      </c>
      <c r="D233">
        <v>257</v>
      </c>
      <c r="E233">
        <v>50</v>
      </c>
      <c r="F233">
        <v>428</v>
      </c>
      <c r="G233">
        <v>0</v>
      </c>
      <c r="H233" s="200">
        <v>0.06</v>
      </c>
      <c r="I233">
        <f t="shared" si="27"/>
        <v>155</v>
      </c>
      <c r="J233" s="193">
        <v>0.04</v>
      </c>
      <c r="K233">
        <f t="shared" si="28"/>
        <v>220</v>
      </c>
      <c r="L233" s="62">
        <f t="shared" si="29"/>
        <v>221</v>
      </c>
      <c r="M233" s="304">
        <v>2.76</v>
      </c>
      <c r="N233" s="301">
        <f>VLOOKUP(5878,季財報!A:N,8,0)</f>
        <v>1</v>
      </c>
    </row>
    <row r="234" spans="1:14">
      <c r="A234" s="187">
        <v>6220</v>
      </c>
      <c r="C234">
        <v>161</v>
      </c>
      <c r="D234">
        <v>1418</v>
      </c>
      <c r="E234">
        <v>1251</v>
      </c>
      <c r="F234">
        <v>2465</v>
      </c>
      <c r="G234">
        <v>1392</v>
      </c>
      <c r="H234" s="200">
        <v>0.06</v>
      </c>
      <c r="I234">
        <f t="shared" si="27"/>
        <v>155</v>
      </c>
      <c r="J234" s="193">
        <v>0.04</v>
      </c>
      <c r="K234">
        <f t="shared" si="28"/>
        <v>220</v>
      </c>
      <c r="L234" s="62">
        <f t="shared" si="29"/>
        <v>221</v>
      </c>
      <c r="M234" s="304">
        <v>2.76</v>
      </c>
      <c r="N234" s="301">
        <f>VLOOKUP(6220,季財報!A:N,8,0)</f>
        <v>5</v>
      </c>
    </row>
    <row r="235" spans="1:14">
      <c r="A235" s="187">
        <v>4609</v>
      </c>
      <c r="C235">
        <v>26</v>
      </c>
      <c r="D235">
        <v>246</v>
      </c>
      <c r="E235">
        <v>215</v>
      </c>
      <c r="F235">
        <v>474</v>
      </c>
      <c r="G235">
        <v>171</v>
      </c>
      <c r="H235" s="200">
        <v>0.06</v>
      </c>
      <c r="I235">
        <f t="shared" si="27"/>
        <v>155</v>
      </c>
      <c r="J235" s="193">
        <v>0.04</v>
      </c>
      <c r="K235">
        <f t="shared" si="28"/>
        <v>220</v>
      </c>
      <c r="L235" s="62">
        <f t="shared" si="29"/>
        <v>221</v>
      </c>
      <c r="M235" s="304">
        <v>2.76</v>
      </c>
      <c r="N235" s="301">
        <f>VLOOKUP(4609,季財報!A:N,8,0)</f>
        <v>4</v>
      </c>
    </row>
    <row r="236" spans="1:14">
      <c r="A236" s="187">
        <v>3512</v>
      </c>
      <c r="C236">
        <v>49</v>
      </c>
      <c r="D236">
        <v>494</v>
      </c>
      <c r="E236">
        <v>313</v>
      </c>
      <c r="F236">
        <v>818</v>
      </c>
      <c r="G236">
        <v>334</v>
      </c>
      <c r="H236" s="200">
        <v>0.06</v>
      </c>
      <c r="I236">
        <f t="shared" si="27"/>
        <v>155</v>
      </c>
      <c r="J236" s="193">
        <v>0.04</v>
      </c>
      <c r="K236">
        <f t="shared" si="28"/>
        <v>220</v>
      </c>
      <c r="L236" s="62">
        <f t="shared" si="29"/>
        <v>221</v>
      </c>
      <c r="M236" s="304">
        <v>2.76</v>
      </c>
      <c r="N236" s="301">
        <f>VLOOKUP(3512,季財報!A:N,8,0)</f>
        <v>4</v>
      </c>
    </row>
    <row r="237" spans="1:14">
      <c r="A237" s="187">
        <v>2640</v>
      </c>
      <c r="C237">
        <v>76</v>
      </c>
      <c r="D237">
        <v>0</v>
      </c>
      <c r="E237">
        <v>865</v>
      </c>
      <c r="F237">
        <v>1184</v>
      </c>
      <c r="G237">
        <v>995</v>
      </c>
      <c r="H237" s="200">
        <v>0.09</v>
      </c>
      <c r="I237">
        <f>RANK(0.09,H:H,0)</f>
        <v>63</v>
      </c>
      <c r="J237" s="193">
        <v>0.03</v>
      </c>
      <c r="K237">
        <f>RANK(0.03,J:J,0)</f>
        <v>334</v>
      </c>
      <c r="L237" s="62">
        <f>RANK(3.83,M:M,0)</f>
        <v>236</v>
      </c>
      <c r="M237" s="304">
        <v>2.76</v>
      </c>
      <c r="N237" s="301">
        <f>VLOOKUP(2640,季財報!A:N,8,0)</f>
        <v>0</v>
      </c>
    </row>
    <row r="238" spans="1:14">
      <c r="A238" s="187">
        <v>3558</v>
      </c>
      <c r="C238">
        <v>215</v>
      </c>
      <c r="D238">
        <v>602</v>
      </c>
      <c r="E238">
        <v>5493</v>
      </c>
      <c r="F238">
        <v>3774</v>
      </c>
      <c r="G238">
        <v>21</v>
      </c>
      <c r="H238" s="200">
        <v>0.04</v>
      </c>
      <c r="I238">
        <f>RANK(0.04,H:H,0)</f>
        <v>330</v>
      </c>
      <c r="J238" s="193">
        <v>0.06</v>
      </c>
      <c r="K238">
        <f>RANK(0.06,J:J,0)</f>
        <v>84</v>
      </c>
      <c r="L238" s="62">
        <f>RANK(3.67,M:M,0)</f>
        <v>237</v>
      </c>
      <c r="M238" s="304">
        <v>2.76</v>
      </c>
      <c r="N238" s="301">
        <f>VLOOKUP(3558,季財報!A:N,8,0)</f>
        <v>6</v>
      </c>
    </row>
    <row r="239" spans="1:14">
      <c r="A239" s="187">
        <v>2313</v>
      </c>
      <c r="C239">
        <v>1336</v>
      </c>
      <c r="D239">
        <v>9458</v>
      </c>
      <c r="E239">
        <v>22917</v>
      </c>
      <c r="F239">
        <v>20135</v>
      </c>
      <c r="G239">
        <v>3313</v>
      </c>
      <c r="H239" s="200">
        <v>0.04</v>
      </c>
      <c r="I239">
        <f>RANK(0.04,H:H,0)</f>
        <v>330</v>
      </c>
      <c r="J239" s="193">
        <v>0.06</v>
      </c>
      <c r="K239">
        <f>RANK(0.06,J:J,0)</f>
        <v>84</v>
      </c>
      <c r="L239" s="62">
        <f>RANK(3.67,M:M,0)</f>
        <v>237</v>
      </c>
      <c r="M239" s="304">
        <v>2.76</v>
      </c>
      <c r="N239" s="301">
        <f>VLOOKUP(2313,季財報!A:N,8,0)</f>
        <v>6</v>
      </c>
    </row>
    <row r="240" spans="1:14">
      <c r="A240" s="187">
        <v>1723</v>
      </c>
      <c r="C240">
        <v>247</v>
      </c>
      <c r="D240">
        <v>1776</v>
      </c>
      <c r="E240">
        <v>1396</v>
      </c>
      <c r="F240">
        <v>6331</v>
      </c>
      <c r="G240">
        <v>899</v>
      </c>
      <c r="H240" s="200">
        <v>0.08</v>
      </c>
      <c r="I240">
        <f>RANK(0.08,H:H,0)</f>
        <v>80</v>
      </c>
      <c r="J240" s="193">
        <v>0.03</v>
      </c>
      <c r="K240">
        <f>RANK(0.03,J:J,0)</f>
        <v>334</v>
      </c>
      <c r="L240" s="62">
        <f>RANK(3.67,M:M,0)</f>
        <v>237</v>
      </c>
      <c r="M240" s="304">
        <v>2.76</v>
      </c>
      <c r="N240" s="301">
        <f>VLOOKUP(1723,季財報!A:N,8,0)</f>
        <v>1</v>
      </c>
    </row>
    <row r="241" spans="1:14">
      <c r="A241" s="187">
        <v>6195</v>
      </c>
      <c r="C241">
        <v>45</v>
      </c>
      <c r="D241">
        <v>259</v>
      </c>
      <c r="E241">
        <v>795</v>
      </c>
      <c r="F241">
        <v>745</v>
      </c>
      <c r="G241">
        <v>49</v>
      </c>
      <c r="H241" s="200">
        <v>0.04</v>
      </c>
      <c r="I241">
        <f>RANK(0.04,H:H,0)</f>
        <v>330</v>
      </c>
      <c r="J241" s="193">
        <v>0.06</v>
      </c>
      <c r="K241">
        <f>RANK(0.06,J:J,0)</f>
        <v>84</v>
      </c>
      <c r="L241" s="62">
        <f>RANK(3.67,M:M,0)</f>
        <v>237</v>
      </c>
      <c r="M241" s="304">
        <v>2.76</v>
      </c>
      <c r="N241" s="301">
        <f>VLOOKUP(6195,季財報!A:N,8,0)</f>
        <v>0</v>
      </c>
    </row>
    <row r="242" spans="1:14">
      <c r="A242" s="187">
        <v>6412</v>
      </c>
      <c r="C242">
        <v>318</v>
      </c>
      <c r="D242">
        <v>1414</v>
      </c>
      <c r="E242">
        <v>2716</v>
      </c>
      <c r="F242">
        <v>6098</v>
      </c>
      <c r="G242">
        <v>3292</v>
      </c>
      <c r="H242" s="200">
        <v>0.08</v>
      </c>
      <c r="I242">
        <f>RANK(0.08,H:H,0)</f>
        <v>80</v>
      </c>
      <c r="J242" s="193">
        <v>0.03</v>
      </c>
      <c r="K242">
        <f>RANK(0.03,J:J,0)</f>
        <v>334</v>
      </c>
      <c r="L242" s="62">
        <f>RANK(3.67,M:M,0)</f>
        <v>237</v>
      </c>
      <c r="M242" s="304">
        <v>2.76</v>
      </c>
      <c r="N242" s="301">
        <f>VLOOKUP(6412,季財報!A:N,8,0)</f>
        <v>1</v>
      </c>
    </row>
    <row r="243" spans="1:14">
      <c r="A243" s="187">
        <v>8403</v>
      </c>
      <c r="C243">
        <v>56</v>
      </c>
      <c r="D243">
        <v>489</v>
      </c>
      <c r="E243">
        <v>279</v>
      </c>
      <c r="F243">
        <v>1513</v>
      </c>
      <c r="G243">
        <v>475</v>
      </c>
      <c r="H243" s="200">
        <v>7.0000000000000007E-2</v>
      </c>
      <c r="I243">
        <f>RANK(0.07,H:H,0)</f>
        <v>107</v>
      </c>
      <c r="J243" s="193">
        <v>0.03</v>
      </c>
      <c r="K243">
        <f>RANK(0.03,J:J,0)</f>
        <v>334</v>
      </c>
      <c r="L243" s="62">
        <f>RANK(3.44,M:M,0)</f>
        <v>242</v>
      </c>
      <c r="M243" s="304">
        <v>2.76</v>
      </c>
      <c r="N243" s="301">
        <f>VLOOKUP(8403,季財報!A:N,8,0)</f>
        <v>1</v>
      </c>
    </row>
    <row r="244" spans="1:14">
      <c r="A244" s="187">
        <v>6107</v>
      </c>
      <c r="C244">
        <v>72</v>
      </c>
      <c r="D244">
        <v>927</v>
      </c>
      <c r="E244">
        <v>111</v>
      </c>
      <c r="F244">
        <v>1105</v>
      </c>
      <c r="G244">
        <v>1599</v>
      </c>
      <c r="H244" s="200">
        <v>7.0000000000000007E-2</v>
      </c>
      <c r="I244">
        <f>RANK(0.07,H:H,0)</f>
        <v>107</v>
      </c>
      <c r="J244" s="193">
        <v>0.03</v>
      </c>
      <c r="K244">
        <f>RANK(0.03,J:J,0)</f>
        <v>334</v>
      </c>
      <c r="L244" s="62">
        <f>RANK(3.44,M:M,0)</f>
        <v>242</v>
      </c>
      <c r="M244" s="304">
        <v>2.76</v>
      </c>
      <c r="N244" s="301">
        <f>VLOOKUP(6107,季財報!A:N,8,0)</f>
        <v>1</v>
      </c>
    </row>
    <row r="245" spans="1:14">
      <c r="A245" s="187">
        <v>8454</v>
      </c>
      <c r="C245">
        <v>244</v>
      </c>
      <c r="D245">
        <v>2382</v>
      </c>
      <c r="E245">
        <v>2210</v>
      </c>
      <c r="F245">
        <v>5826</v>
      </c>
      <c r="G245">
        <v>0</v>
      </c>
      <c r="H245" s="200">
        <v>0.05</v>
      </c>
      <c r="I245">
        <f t="shared" ref="I245:I277" si="30">RANK(0.05,H:H,0)</f>
        <v>231</v>
      </c>
      <c r="J245" s="193">
        <v>0.04</v>
      </c>
      <c r="K245">
        <f t="shared" ref="K245:K277" si="31">RANK(0.04,J:J,0)</f>
        <v>220</v>
      </c>
      <c r="L245" s="62">
        <f t="shared" ref="L245:L277" si="32">RANK(3.37,M:M,0)</f>
        <v>244</v>
      </c>
      <c r="M245" s="304">
        <v>2.76</v>
      </c>
      <c r="N245" s="301">
        <f>VLOOKUP(8454,季財報!A:N,8,0)</f>
        <v>2</v>
      </c>
    </row>
    <row r="246" spans="1:14">
      <c r="A246" s="187">
        <v>8049</v>
      </c>
      <c r="C246">
        <v>59</v>
      </c>
      <c r="D246">
        <v>744</v>
      </c>
      <c r="E246">
        <v>385</v>
      </c>
      <c r="F246">
        <v>1349</v>
      </c>
      <c r="G246">
        <v>0</v>
      </c>
      <c r="H246" s="200">
        <v>0.05</v>
      </c>
      <c r="I246">
        <f t="shared" si="30"/>
        <v>231</v>
      </c>
      <c r="J246" s="193">
        <v>0.04</v>
      </c>
      <c r="K246">
        <f t="shared" si="31"/>
        <v>220</v>
      </c>
      <c r="L246" s="62">
        <f t="shared" si="32"/>
        <v>244</v>
      </c>
      <c r="M246" s="304">
        <v>2.76</v>
      </c>
      <c r="N246" s="301">
        <f>VLOOKUP(8049,季財報!A:N,8,0)</f>
        <v>5</v>
      </c>
    </row>
    <row r="247" spans="1:14">
      <c r="A247" s="187">
        <v>6488</v>
      </c>
      <c r="C247">
        <v>758</v>
      </c>
      <c r="D247">
        <v>6739</v>
      </c>
      <c r="E247">
        <v>9535</v>
      </c>
      <c r="F247">
        <v>16465</v>
      </c>
      <c r="G247">
        <v>516</v>
      </c>
      <c r="H247" s="200">
        <v>0.05</v>
      </c>
      <c r="I247">
        <f t="shared" si="30"/>
        <v>231</v>
      </c>
      <c r="J247" s="193">
        <v>0.04</v>
      </c>
      <c r="K247">
        <f t="shared" si="31"/>
        <v>220</v>
      </c>
      <c r="L247" s="62">
        <f t="shared" si="32"/>
        <v>244</v>
      </c>
      <c r="M247" s="304">
        <v>2.76</v>
      </c>
      <c r="N247" s="301">
        <f>VLOOKUP(6488,季財報!A:N,8,0)</f>
        <v>2</v>
      </c>
    </row>
    <row r="248" spans="1:14">
      <c r="A248" s="187">
        <v>8091</v>
      </c>
      <c r="C248">
        <v>91</v>
      </c>
      <c r="D248">
        <v>939</v>
      </c>
      <c r="E248">
        <v>799</v>
      </c>
      <c r="F248">
        <v>2155</v>
      </c>
      <c r="G248">
        <v>270</v>
      </c>
      <c r="H248" s="200">
        <v>0.05</v>
      </c>
      <c r="I248">
        <f t="shared" si="30"/>
        <v>231</v>
      </c>
      <c r="J248" s="193">
        <v>0.04</v>
      </c>
      <c r="K248">
        <f t="shared" si="31"/>
        <v>220</v>
      </c>
      <c r="L248" s="62">
        <f t="shared" si="32"/>
        <v>244</v>
      </c>
      <c r="M248" s="304">
        <v>2.76</v>
      </c>
      <c r="N248" s="301">
        <f>VLOOKUP(8091,季財報!A:N,8,0)</f>
        <v>1</v>
      </c>
    </row>
    <row r="249" spans="1:14">
      <c r="A249" s="187">
        <v>6121</v>
      </c>
      <c r="C249">
        <v>918</v>
      </c>
      <c r="D249">
        <v>13687</v>
      </c>
      <c r="E249">
        <v>6346</v>
      </c>
      <c r="F249">
        <v>20807</v>
      </c>
      <c r="G249">
        <v>3760</v>
      </c>
      <c r="H249" s="200">
        <v>0.05</v>
      </c>
      <c r="I249">
        <f t="shared" si="30"/>
        <v>231</v>
      </c>
      <c r="J249" s="193">
        <v>0.04</v>
      </c>
      <c r="K249">
        <f t="shared" si="31"/>
        <v>220</v>
      </c>
      <c r="L249" s="62">
        <f t="shared" si="32"/>
        <v>244</v>
      </c>
      <c r="M249" s="304">
        <v>2.76</v>
      </c>
      <c r="N249" s="301">
        <f>VLOOKUP(6121,季財報!A:N,8,0)</f>
        <v>2</v>
      </c>
    </row>
    <row r="250" spans="1:14">
      <c r="A250" s="187">
        <v>6185</v>
      </c>
      <c r="C250">
        <v>98</v>
      </c>
      <c r="D250">
        <v>1742</v>
      </c>
      <c r="E250">
        <v>274</v>
      </c>
      <c r="F250">
        <v>2224</v>
      </c>
      <c r="G250">
        <v>25</v>
      </c>
      <c r="H250" s="200">
        <v>0.05</v>
      </c>
      <c r="I250">
        <f t="shared" si="30"/>
        <v>231</v>
      </c>
      <c r="J250" s="193">
        <v>0.04</v>
      </c>
      <c r="K250">
        <f t="shared" si="31"/>
        <v>220</v>
      </c>
      <c r="L250" s="62">
        <f t="shared" si="32"/>
        <v>244</v>
      </c>
      <c r="M250" s="304">
        <v>2.76</v>
      </c>
      <c r="N250" s="301">
        <f>VLOOKUP(6185,季財報!A:N,8,0)</f>
        <v>3</v>
      </c>
    </row>
    <row r="251" spans="1:14">
      <c r="A251" s="187">
        <v>6213</v>
      </c>
      <c r="C251">
        <v>365</v>
      </c>
      <c r="D251">
        <v>3237</v>
      </c>
      <c r="E251">
        <v>3693</v>
      </c>
      <c r="F251">
        <v>6877</v>
      </c>
      <c r="G251">
        <v>3511</v>
      </c>
      <c r="H251" s="200">
        <v>0.05</v>
      </c>
      <c r="I251">
        <f t="shared" si="30"/>
        <v>231</v>
      </c>
      <c r="J251" s="193">
        <v>0.04</v>
      </c>
      <c r="K251">
        <f t="shared" si="31"/>
        <v>220</v>
      </c>
      <c r="L251" s="62">
        <f t="shared" si="32"/>
        <v>244</v>
      </c>
      <c r="M251" s="304">
        <v>2.76</v>
      </c>
      <c r="N251" s="301">
        <f>VLOOKUP(6213,季財報!A:N,8,0)</f>
        <v>4</v>
      </c>
    </row>
    <row r="252" spans="1:14">
      <c r="A252" s="187">
        <v>5306</v>
      </c>
      <c r="C252">
        <v>189</v>
      </c>
      <c r="D252">
        <v>1253</v>
      </c>
      <c r="E252">
        <v>2548</v>
      </c>
      <c r="F252">
        <v>3941</v>
      </c>
      <c r="G252">
        <v>649</v>
      </c>
      <c r="H252" s="200">
        <v>0.05</v>
      </c>
      <c r="I252">
        <f t="shared" si="30"/>
        <v>231</v>
      </c>
      <c r="J252" s="193">
        <v>0.04</v>
      </c>
      <c r="K252">
        <f t="shared" si="31"/>
        <v>220</v>
      </c>
      <c r="L252" s="62">
        <f t="shared" si="32"/>
        <v>244</v>
      </c>
      <c r="M252" s="304">
        <v>2.76</v>
      </c>
      <c r="N252" s="301">
        <f>VLOOKUP(5306,季財報!A:N,8,0)</f>
        <v>4</v>
      </c>
    </row>
    <row r="253" spans="1:14">
      <c r="A253" s="187">
        <v>4417</v>
      </c>
      <c r="C253">
        <v>115</v>
      </c>
      <c r="D253">
        <v>972</v>
      </c>
      <c r="E253">
        <v>1241</v>
      </c>
      <c r="F253">
        <v>2175</v>
      </c>
      <c r="G253">
        <v>814</v>
      </c>
      <c r="H253" s="200">
        <v>0.05</v>
      </c>
      <c r="I253">
        <f t="shared" si="30"/>
        <v>231</v>
      </c>
      <c r="J253" s="193">
        <v>0.04</v>
      </c>
      <c r="K253">
        <f t="shared" si="31"/>
        <v>220</v>
      </c>
      <c r="L253" s="62">
        <f t="shared" si="32"/>
        <v>244</v>
      </c>
      <c r="M253" s="304">
        <v>2.76</v>
      </c>
      <c r="N253" s="301">
        <f>VLOOKUP(4417,季財報!A:N,8,0)</f>
        <v>3</v>
      </c>
    </row>
    <row r="254" spans="1:14">
      <c r="A254" s="187">
        <v>4912</v>
      </c>
      <c r="C254">
        <v>75</v>
      </c>
      <c r="D254">
        <v>809</v>
      </c>
      <c r="E254">
        <v>680</v>
      </c>
      <c r="F254">
        <v>1616</v>
      </c>
      <c r="G254">
        <v>408</v>
      </c>
      <c r="H254" s="200">
        <v>0.05</v>
      </c>
      <c r="I254">
        <f t="shared" si="30"/>
        <v>231</v>
      </c>
      <c r="J254" s="193">
        <v>0.04</v>
      </c>
      <c r="K254">
        <f t="shared" si="31"/>
        <v>220</v>
      </c>
      <c r="L254" s="62">
        <f t="shared" si="32"/>
        <v>244</v>
      </c>
      <c r="M254" s="304">
        <v>2.76</v>
      </c>
      <c r="N254" s="301">
        <f>VLOOKUP(4912,季財報!A:N,8,0)</f>
        <v>2</v>
      </c>
    </row>
    <row r="255" spans="1:14">
      <c r="A255" s="187">
        <v>4935</v>
      </c>
      <c r="C255">
        <v>300</v>
      </c>
      <c r="D255">
        <v>3146</v>
      </c>
      <c r="E255">
        <v>2537</v>
      </c>
      <c r="F255">
        <v>6047</v>
      </c>
      <c r="G255">
        <v>824</v>
      </c>
      <c r="H255" s="200">
        <v>0.05</v>
      </c>
      <c r="I255">
        <f t="shared" si="30"/>
        <v>231</v>
      </c>
      <c r="J255" s="193">
        <v>0.04</v>
      </c>
      <c r="K255">
        <f t="shared" si="31"/>
        <v>220</v>
      </c>
      <c r="L255" s="62">
        <f t="shared" si="32"/>
        <v>244</v>
      </c>
      <c r="M255" s="304">
        <v>2.76</v>
      </c>
      <c r="N255" s="301">
        <f>VLOOKUP(4935,季財報!A:N,8,0)</f>
        <v>6</v>
      </c>
    </row>
    <row r="256" spans="1:14">
      <c r="A256" s="187">
        <v>4972</v>
      </c>
      <c r="C256">
        <v>49</v>
      </c>
      <c r="D256">
        <v>655</v>
      </c>
      <c r="E256">
        <v>329</v>
      </c>
      <c r="F256">
        <v>1166</v>
      </c>
      <c r="G256">
        <v>0</v>
      </c>
      <c r="H256" s="200">
        <v>0.05</v>
      </c>
      <c r="I256">
        <f t="shared" si="30"/>
        <v>231</v>
      </c>
      <c r="J256" s="193">
        <v>0.04</v>
      </c>
      <c r="K256">
        <f t="shared" si="31"/>
        <v>220</v>
      </c>
      <c r="L256" s="62">
        <f t="shared" si="32"/>
        <v>244</v>
      </c>
      <c r="M256" s="304">
        <v>2.76</v>
      </c>
      <c r="N256" s="301">
        <f>VLOOKUP(4972,季財報!A:N,8,0)</f>
        <v>3</v>
      </c>
    </row>
    <row r="257" spans="1:14">
      <c r="A257" s="187">
        <v>4999</v>
      </c>
      <c r="C257">
        <v>123</v>
      </c>
      <c r="D257">
        <v>1867</v>
      </c>
      <c r="E257">
        <v>811</v>
      </c>
      <c r="F257">
        <v>2682</v>
      </c>
      <c r="G257">
        <v>131</v>
      </c>
      <c r="H257" s="200">
        <v>0.05</v>
      </c>
      <c r="I257">
        <f t="shared" si="30"/>
        <v>231</v>
      </c>
      <c r="J257" s="193">
        <v>0.04</v>
      </c>
      <c r="K257">
        <f t="shared" si="31"/>
        <v>220</v>
      </c>
      <c r="L257" s="62">
        <f t="shared" si="32"/>
        <v>244</v>
      </c>
      <c r="M257" s="304">
        <v>2.76</v>
      </c>
      <c r="N257" s="301">
        <f>VLOOKUP(4999,季財報!A:N,8,0)</f>
        <v>4</v>
      </c>
    </row>
    <row r="258" spans="1:14">
      <c r="A258" s="187">
        <v>5398</v>
      </c>
      <c r="C258">
        <v>14</v>
      </c>
      <c r="D258">
        <v>240</v>
      </c>
      <c r="E258">
        <v>34</v>
      </c>
      <c r="F258">
        <v>316</v>
      </c>
      <c r="G258">
        <v>0</v>
      </c>
      <c r="H258" s="200">
        <v>0.05</v>
      </c>
      <c r="I258">
        <f t="shared" si="30"/>
        <v>231</v>
      </c>
      <c r="J258" s="193">
        <v>0.04</v>
      </c>
      <c r="K258">
        <f t="shared" si="31"/>
        <v>220</v>
      </c>
      <c r="L258" s="62">
        <f t="shared" si="32"/>
        <v>244</v>
      </c>
      <c r="M258" s="304">
        <v>2.76</v>
      </c>
      <c r="N258" s="301">
        <f>VLOOKUP(5398,季財報!A:N,8,0)</f>
        <v>2</v>
      </c>
    </row>
    <row r="259" spans="1:14">
      <c r="A259" s="187">
        <v>1340</v>
      </c>
      <c r="C259">
        <v>253</v>
      </c>
      <c r="D259">
        <v>5313</v>
      </c>
      <c r="E259">
        <v>171</v>
      </c>
      <c r="F259">
        <v>5624</v>
      </c>
      <c r="G259">
        <v>62</v>
      </c>
      <c r="H259" s="200">
        <v>0.05</v>
      </c>
      <c r="I259">
        <f t="shared" si="30"/>
        <v>231</v>
      </c>
      <c r="J259" s="193">
        <v>0.04</v>
      </c>
      <c r="K259">
        <f t="shared" si="31"/>
        <v>220</v>
      </c>
      <c r="L259" s="62">
        <f t="shared" si="32"/>
        <v>244</v>
      </c>
      <c r="M259" s="304">
        <v>2.76</v>
      </c>
      <c r="N259" s="301">
        <f>VLOOKUP(1340,季財報!A:N,8,0)</f>
        <v>2</v>
      </c>
    </row>
    <row r="260" spans="1:14">
      <c r="A260" s="187">
        <v>1788</v>
      </c>
      <c r="C260">
        <v>65</v>
      </c>
      <c r="D260">
        <v>908</v>
      </c>
      <c r="E260">
        <v>347</v>
      </c>
      <c r="F260">
        <v>1487</v>
      </c>
      <c r="G260">
        <v>148</v>
      </c>
      <c r="H260" s="200">
        <v>0.05</v>
      </c>
      <c r="I260">
        <f t="shared" si="30"/>
        <v>231</v>
      </c>
      <c r="J260" s="193">
        <v>0.04</v>
      </c>
      <c r="K260">
        <f t="shared" si="31"/>
        <v>220</v>
      </c>
      <c r="L260" s="62">
        <f t="shared" si="32"/>
        <v>244</v>
      </c>
      <c r="M260" s="304">
        <v>2.76</v>
      </c>
      <c r="N260" s="301">
        <f>VLOOKUP(1788,季財報!A:N,8,0)</f>
        <v>1</v>
      </c>
    </row>
    <row r="261" spans="1:14">
      <c r="A261" s="187">
        <v>2331</v>
      </c>
      <c r="C261">
        <v>553</v>
      </c>
      <c r="D261">
        <v>7549</v>
      </c>
      <c r="E261">
        <v>4133</v>
      </c>
      <c r="F261">
        <v>14613</v>
      </c>
      <c r="G261">
        <v>503</v>
      </c>
      <c r="H261" s="200">
        <v>0.05</v>
      </c>
      <c r="I261">
        <f t="shared" si="30"/>
        <v>231</v>
      </c>
      <c r="J261" s="193">
        <v>0.04</v>
      </c>
      <c r="K261">
        <f t="shared" si="31"/>
        <v>220</v>
      </c>
      <c r="L261" s="62">
        <f t="shared" si="32"/>
        <v>244</v>
      </c>
      <c r="M261" s="304">
        <v>2.76</v>
      </c>
      <c r="N261" s="301">
        <f>VLOOKUP(2331,季財報!A:N,8,0)</f>
        <v>4</v>
      </c>
    </row>
    <row r="262" spans="1:14">
      <c r="A262" s="187">
        <v>2355</v>
      </c>
      <c r="C262">
        <v>645</v>
      </c>
      <c r="D262">
        <v>6270</v>
      </c>
      <c r="E262">
        <v>7982</v>
      </c>
      <c r="F262">
        <v>15296</v>
      </c>
      <c r="G262">
        <v>2120</v>
      </c>
      <c r="H262" s="200">
        <v>0.05</v>
      </c>
      <c r="I262">
        <f t="shared" si="30"/>
        <v>231</v>
      </c>
      <c r="J262" s="193">
        <v>0.04</v>
      </c>
      <c r="K262">
        <f t="shared" si="31"/>
        <v>220</v>
      </c>
      <c r="L262" s="62">
        <f t="shared" si="32"/>
        <v>244</v>
      </c>
      <c r="M262" s="304">
        <v>2.69</v>
      </c>
      <c r="N262" s="301">
        <f>VLOOKUP(2355,季財報!A:N,8,0)</f>
        <v>3</v>
      </c>
    </row>
    <row r="263" spans="1:14">
      <c r="A263" s="187">
        <v>2412</v>
      </c>
      <c r="C263">
        <v>14045</v>
      </c>
      <c r="D263">
        <v>13745</v>
      </c>
      <c r="E263">
        <v>292963</v>
      </c>
      <c r="F263">
        <v>364353</v>
      </c>
      <c r="G263">
        <v>174</v>
      </c>
      <c r="H263" s="200">
        <v>0.05</v>
      </c>
      <c r="I263">
        <f t="shared" si="30"/>
        <v>231</v>
      </c>
      <c r="J263" s="193">
        <v>0.04</v>
      </c>
      <c r="K263">
        <f t="shared" si="31"/>
        <v>220</v>
      </c>
      <c r="L263" s="62">
        <f t="shared" si="32"/>
        <v>244</v>
      </c>
      <c r="M263" s="304">
        <v>2.69</v>
      </c>
      <c r="N263" s="301">
        <f>VLOOKUP(2412,季財報!A:N,8,0)</f>
        <v>3</v>
      </c>
    </row>
    <row r="264" spans="1:14">
      <c r="A264" s="187">
        <v>2455</v>
      </c>
      <c r="C264">
        <v>155</v>
      </c>
      <c r="D264">
        <v>1705</v>
      </c>
      <c r="E264">
        <v>1656</v>
      </c>
      <c r="F264">
        <v>3459</v>
      </c>
      <c r="G264">
        <v>0</v>
      </c>
      <c r="H264" s="200">
        <v>0.05</v>
      </c>
      <c r="I264">
        <f t="shared" si="30"/>
        <v>231</v>
      </c>
      <c r="J264" s="193">
        <v>0.04</v>
      </c>
      <c r="K264">
        <f t="shared" si="31"/>
        <v>220</v>
      </c>
      <c r="L264" s="62">
        <f t="shared" si="32"/>
        <v>244</v>
      </c>
      <c r="M264" s="304">
        <v>2.69</v>
      </c>
      <c r="N264" s="301">
        <f>VLOOKUP(2455,季財報!A:N,8,0)</f>
        <v>2</v>
      </c>
    </row>
    <row r="265" spans="1:14">
      <c r="A265" s="187">
        <v>3299</v>
      </c>
      <c r="C265">
        <v>87</v>
      </c>
      <c r="D265">
        <v>1169</v>
      </c>
      <c r="E265">
        <v>545</v>
      </c>
      <c r="F265">
        <v>1440</v>
      </c>
      <c r="G265">
        <v>616</v>
      </c>
      <c r="H265" s="200">
        <v>0.05</v>
      </c>
      <c r="I265">
        <f t="shared" si="30"/>
        <v>231</v>
      </c>
      <c r="J265" s="193">
        <v>0.04</v>
      </c>
      <c r="K265">
        <f t="shared" si="31"/>
        <v>220</v>
      </c>
      <c r="L265" s="62">
        <f t="shared" si="32"/>
        <v>244</v>
      </c>
      <c r="M265" s="304">
        <v>2.69</v>
      </c>
      <c r="N265" s="301">
        <f>VLOOKUP(3299,季財報!A:N,8,0)</f>
        <v>2</v>
      </c>
    </row>
    <row r="266" spans="1:14">
      <c r="A266" s="187">
        <v>3356</v>
      </c>
      <c r="C266">
        <v>80</v>
      </c>
      <c r="D266">
        <v>1609</v>
      </c>
      <c r="E266">
        <v>166</v>
      </c>
      <c r="F266">
        <v>1918</v>
      </c>
      <c r="G266">
        <v>0</v>
      </c>
      <c r="H266" s="200">
        <v>0.05</v>
      </c>
      <c r="I266">
        <f t="shared" si="30"/>
        <v>231</v>
      </c>
      <c r="J266" s="193">
        <v>0.04</v>
      </c>
      <c r="K266">
        <f t="shared" si="31"/>
        <v>220</v>
      </c>
      <c r="L266" s="62">
        <f t="shared" si="32"/>
        <v>244</v>
      </c>
      <c r="M266" s="304">
        <v>2.69</v>
      </c>
      <c r="N266" s="301">
        <f>VLOOKUP(3356,季財報!A:N,8,0)</f>
        <v>4</v>
      </c>
    </row>
    <row r="267" spans="1:14">
      <c r="A267" s="187">
        <v>8249</v>
      </c>
      <c r="C267">
        <v>140</v>
      </c>
      <c r="D267">
        <v>1898</v>
      </c>
      <c r="E267">
        <v>962</v>
      </c>
      <c r="F267">
        <v>3601</v>
      </c>
      <c r="G267">
        <v>0</v>
      </c>
      <c r="H267" s="200">
        <v>0.05</v>
      </c>
      <c r="I267">
        <f t="shared" si="30"/>
        <v>231</v>
      </c>
      <c r="J267" s="193">
        <v>0.04</v>
      </c>
      <c r="K267">
        <f t="shared" si="31"/>
        <v>220</v>
      </c>
      <c r="L267" s="62">
        <f t="shared" si="32"/>
        <v>244</v>
      </c>
      <c r="M267" s="304">
        <v>2.69</v>
      </c>
      <c r="N267" s="301">
        <f>VLOOKUP(8249,季財報!A:N,8,0)</f>
        <v>4</v>
      </c>
    </row>
    <row r="268" spans="1:14">
      <c r="A268" s="187">
        <v>8255</v>
      </c>
      <c r="C268">
        <v>133</v>
      </c>
      <c r="D268">
        <v>893</v>
      </c>
      <c r="E268">
        <v>1784</v>
      </c>
      <c r="F268">
        <v>2910</v>
      </c>
      <c r="G268">
        <v>305</v>
      </c>
      <c r="H268" s="200">
        <v>0.05</v>
      </c>
      <c r="I268">
        <f t="shared" si="30"/>
        <v>231</v>
      </c>
      <c r="J268" s="193">
        <v>0.04</v>
      </c>
      <c r="K268">
        <f t="shared" si="31"/>
        <v>220</v>
      </c>
      <c r="L268" s="62">
        <f t="shared" si="32"/>
        <v>244</v>
      </c>
      <c r="M268" s="304">
        <v>2.69</v>
      </c>
      <c r="N268" s="301">
        <f>VLOOKUP(8255,季財報!A:N,8,0)</f>
        <v>3</v>
      </c>
    </row>
    <row r="269" spans="1:14">
      <c r="A269" s="187">
        <v>6432</v>
      </c>
      <c r="C269">
        <v>21</v>
      </c>
      <c r="D269">
        <v>342</v>
      </c>
      <c r="E269">
        <v>62</v>
      </c>
      <c r="F269">
        <v>432</v>
      </c>
      <c r="G269">
        <v>51</v>
      </c>
      <c r="H269" s="200">
        <v>0.05</v>
      </c>
      <c r="I269">
        <f t="shared" si="30"/>
        <v>231</v>
      </c>
      <c r="J269" s="193">
        <v>0.04</v>
      </c>
      <c r="K269">
        <f t="shared" si="31"/>
        <v>220</v>
      </c>
      <c r="L269" s="62">
        <f t="shared" si="32"/>
        <v>244</v>
      </c>
      <c r="M269" s="304">
        <v>2.69</v>
      </c>
      <c r="N269" s="301">
        <f>VLOOKUP(6432,季財報!A:N,8,0)</f>
        <v>6</v>
      </c>
    </row>
    <row r="270" spans="1:14">
      <c r="A270" s="187">
        <v>8163</v>
      </c>
      <c r="C270">
        <v>442</v>
      </c>
      <c r="D270">
        <v>3028</v>
      </c>
      <c r="E270">
        <v>5795</v>
      </c>
      <c r="F270">
        <v>9276</v>
      </c>
      <c r="G270">
        <v>1442</v>
      </c>
      <c r="H270" s="200">
        <v>0.05</v>
      </c>
      <c r="I270">
        <f t="shared" si="30"/>
        <v>231</v>
      </c>
      <c r="J270" s="193">
        <v>0.04</v>
      </c>
      <c r="K270">
        <f t="shared" si="31"/>
        <v>220</v>
      </c>
      <c r="L270" s="62">
        <f t="shared" si="32"/>
        <v>244</v>
      </c>
      <c r="M270" s="304">
        <v>2.69</v>
      </c>
      <c r="N270" s="301">
        <f>VLOOKUP(8163,季財報!A:N,8,0)</f>
        <v>2</v>
      </c>
    </row>
    <row r="271" spans="1:14">
      <c r="A271" s="187">
        <v>6457</v>
      </c>
      <c r="C271">
        <v>21</v>
      </c>
      <c r="D271">
        <v>414</v>
      </c>
      <c r="E271">
        <v>22</v>
      </c>
      <c r="F271">
        <v>468</v>
      </c>
      <c r="G271">
        <v>0</v>
      </c>
      <c r="H271" s="200">
        <v>0.05</v>
      </c>
      <c r="I271">
        <f t="shared" si="30"/>
        <v>231</v>
      </c>
      <c r="J271" s="193">
        <v>0.04</v>
      </c>
      <c r="K271">
        <f t="shared" si="31"/>
        <v>220</v>
      </c>
      <c r="L271" s="62">
        <f t="shared" si="32"/>
        <v>244</v>
      </c>
      <c r="M271" s="304">
        <v>2.69</v>
      </c>
      <c r="N271" s="301">
        <f>VLOOKUP(6457,季財報!A:N,8,0)</f>
        <v>3</v>
      </c>
    </row>
    <row r="272" spans="1:14">
      <c r="A272" s="187">
        <v>6109</v>
      </c>
      <c r="C272">
        <v>37</v>
      </c>
      <c r="D272">
        <v>567</v>
      </c>
      <c r="E272">
        <v>125</v>
      </c>
      <c r="F272">
        <v>864</v>
      </c>
      <c r="G272">
        <v>108</v>
      </c>
      <c r="H272" s="200">
        <v>0.05</v>
      </c>
      <c r="I272">
        <f t="shared" si="30"/>
        <v>231</v>
      </c>
      <c r="J272" s="193">
        <v>0.04</v>
      </c>
      <c r="K272">
        <f t="shared" si="31"/>
        <v>220</v>
      </c>
      <c r="L272" s="62">
        <f t="shared" si="32"/>
        <v>244</v>
      </c>
      <c r="M272" s="304">
        <v>2.69</v>
      </c>
      <c r="N272" s="301">
        <f>VLOOKUP(6109,季財報!A:N,8,0)</f>
        <v>2</v>
      </c>
    </row>
    <row r="273" spans="1:14">
      <c r="A273" s="187">
        <v>5015</v>
      </c>
      <c r="C273">
        <v>52</v>
      </c>
      <c r="D273">
        <v>704</v>
      </c>
      <c r="E273">
        <v>324</v>
      </c>
      <c r="F273">
        <v>979</v>
      </c>
      <c r="G273">
        <v>204</v>
      </c>
      <c r="H273" s="200">
        <v>0.05</v>
      </c>
      <c r="I273">
        <f t="shared" si="30"/>
        <v>231</v>
      </c>
      <c r="J273" s="193">
        <v>0.04</v>
      </c>
      <c r="K273">
        <f t="shared" si="31"/>
        <v>220</v>
      </c>
      <c r="L273" s="62">
        <f t="shared" si="32"/>
        <v>244</v>
      </c>
      <c r="M273" s="304">
        <v>2.69</v>
      </c>
      <c r="N273" s="301">
        <f>VLOOKUP(5015,季財報!A:N,8,0)</f>
        <v>3</v>
      </c>
    </row>
    <row r="274" spans="1:14">
      <c r="A274" s="187">
        <v>5493</v>
      </c>
      <c r="C274">
        <v>71</v>
      </c>
      <c r="D274">
        <v>840</v>
      </c>
      <c r="E274">
        <v>732</v>
      </c>
      <c r="F274">
        <v>1787</v>
      </c>
      <c r="G274">
        <v>202</v>
      </c>
      <c r="H274" s="200">
        <v>0.05</v>
      </c>
      <c r="I274">
        <f t="shared" si="30"/>
        <v>231</v>
      </c>
      <c r="J274" s="193">
        <v>0.04</v>
      </c>
      <c r="K274">
        <f t="shared" si="31"/>
        <v>220</v>
      </c>
      <c r="L274" s="62">
        <f t="shared" si="32"/>
        <v>244</v>
      </c>
      <c r="M274" s="304">
        <v>2.69</v>
      </c>
      <c r="N274" s="301">
        <f>VLOOKUP(5493,季財報!A:N,8,0)</f>
        <v>2</v>
      </c>
    </row>
    <row r="275" spans="1:14">
      <c r="A275" s="187">
        <v>1709</v>
      </c>
      <c r="C275">
        <v>271</v>
      </c>
      <c r="D275">
        <v>3261</v>
      </c>
      <c r="E275">
        <v>2712</v>
      </c>
      <c r="F275">
        <v>6864</v>
      </c>
      <c r="G275">
        <v>861</v>
      </c>
      <c r="H275" s="200">
        <v>0.05</v>
      </c>
      <c r="I275">
        <f t="shared" si="30"/>
        <v>231</v>
      </c>
      <c r="J275" s="193">
        <v>0.04</v>
      </c>
      <c r="K275">
        <f t="shared" si="31"/>
        <v>220</v>
      </c>
      <c r="L275" s="62">
        <f t="shared" si="32"/>
        <v>244</v>
      </c>
      <c r="M275" s="304">
        <v>2.69</v>
      </c>
      <c r="N275" s="301">
        <f>VLOOKUP(1709,季財報!A:N,8,0)</f>
        <v>2</v>
      </c>
    </row>
    <row r="276" spans="1:14">
      <c r="A276" s="187">
        <v>2636</v>
      </c>
      <c r="C276">
        <v>104</v>
      </c>
      <c r="D276">
        <v>2029</v>
      </c>
      <c r="E276">
        <v>265</v>
      </c>
      <c r="F276">
        <v>2507</v>
      </c>
      <c r="G276">
        <v>83</v>
      </c>
      <c r="H276" s="200">
        <v>0.05</v>
      </c>
      <c r="I276">
        <f t="shared" si="30"/>
        <v>231</v>
      </c>
      <c r="J276" s="193">
        <v>0.04</v>
      </c>
      <c r="K276">
        <f t="shared" si="31"/>
        <v>220</v>
      </c>
      <c r="L276" s="62">
        <f t="shared" si="32"/>
        <v>244</v>
      </c>
      <c r="M276" s="304">
        <v>2.69</v>
      </c>
      <c r="N276" s="301">
        <f>VLOOKUP(2636,季財報!A:N,8,0)</f>
        <v>2</v>
      </c>
    </row>
    <row r="277" spans="1:14">
      <c r="A277" s="187">
        <v>3443</v>
      </c>
      <c r="C277">
        <v>144</v>
      </c>
      <c r="D277">
        <v>2648</v>
      </c>
      <c r="E277">
        <v>359</v>
      </c>
      <c r="F277">
        <v>3360</v>
      </c>
      <c r="G277">
        <v>0</v>
      </c>
      <c r="H277" s="200">
        <v>0.05</v>
      </c>
      <c r="I277">
        <f t="shared" si="30"/>
        <v>231</v>
      </c>
      <c r="J277" s="193">
        <v>0.04</v>
      </c>
      <c r="K277">
        <f t="shared" si="31"/>
        <v>220</v>
      </c>
      <c r="L277" s="62">
        <f t="shared" si="32"/>
        <v>244</v>
      </c>
      <c r="M277" s="304">
        <v>2.69</v>
      </c>
      <c r="N277" s="301">
        <f>VLOOKUP(3443,季財報!A:N,8,0)</f>
        <v>3</v>
      </c>
    </row>
    <row r="278" spans="1:14">
      <c r="A278" s="187">
        <v>9942</v>
      </c>
      <c r="C278">
        <v>128</v>
      </c>
      <c r="D278">
        <v>1792</v>
      </c>
      <c r="E278">
        <v>1250</v>
      </c>
      <c r="F278">
        <v>2658</v>
      </c>
      <c r="G278">
        <v>174</v>
      </c>
      <c r="H278" s="200">
        <v>0.04</v>
      </c>
      <c r="I278">
        <f t="shared" ref="I278:I284" si="33">RANK(0.04,H:H,0)</f>
        <v>330</v>
      </c>
      <c r="J278" s="193">
        <v>0.05</v>
      </c>
      <c r="K278">
        <f t="shared" ref="K278:K284" si="34">RANK(0.05,J:J,0)</f>
        <v>135</v>
      </c>
      <c r="L278" s="62">
        <f t="shared" ref="L278:L284" si="35">RANK(3.27,M:M,0)</f>
        <v>277</v>
      </c>
      <c r="M278" s="304">
        <v>2.52</v>
      </c>
      <c r="N278" s="301">
        <f>VLOOKUP(9942,季財報!A:N,8,0)</f>
        <v>2</v>
      </c>
    </row>
    <row r="279" spans="1:14">
      <c r="A279" s="187">
        <v>4175</v>
      </c>
      <c r="C279">
        <v>35</v>
      </c>
      <c r="D279">
        <v>342</v>
      </c>
      <c r="E279">
        <v>452</v>
      </c>
      <c r="F279">
        <v>643</v>
      </c>
      <c r="G279">
        <v>15</v>
      </c>
      <c r="H279" s="200">
        <v>0.04</v>
      </c>
      <c r="I279">
        <f t="shared" si="33"/>
        <v>330</v>
      </c>
      <c r="J279" s="193">
        <v>0.05</v>
      </c>
      <c r="K279">
        <f t="shared" si="34"/>
        <v>135</v>
      </c>
      <c r="L279" s="62">
        <f t="shared" si="35"/>
        <v>277</v>
      </c>
      <c r="M279" s="304">
        <v>2.5299999999999998</v>
      </c>
      <c r="N279" s="301">
        <f>VLOOKUP(4175,季財報!A:N,8,0)</f>
        <v>1</v>
      </c>
    </row>
    <row r="280" spans="1:14">
      <c r="A280" s="187">
        <v>4974</v>
      </c>
      <c r="C280">
        <v>79</v>
      </c>
      <c r="D280">
        <v>1568</v>
      </c>
      <c r="E280">
        <v>553</v>
      </c>
      <c r="F280">
        <v>1693</v>
      </c>
      <c r="G280">
        <v>0</v>
      </c>
      <c r="H280" s="200">
        <v>0.04</v>
      </c>
      <c r="I280">
        <f t="shared" si="33"/>
        <v>330</v>
      </c>
      <c r="J280" s="193">
        <v>0.05</v>
      </c>
      <c r="K280">
        <f t="shared" si="34"/>
        <v>135</v>
      </c>
      <c r="L280" s="62">
        <f t="shared" si="35"/>
        <v>277</v>
      </c>
      <c r="M280" s="304">
        <v>2.5299999999999998</v>
      </c>
      <c r="N280" s="301">
        <f>VLOOKUP(4974,季財報!A:N,8,0)</f>
        <v>2</v>
      </c>
    </row>
    <row r="281" spans="1:14">
      <c r="A281" s="187">
        <v>1733</v>
      </c>
      <c r="C281">
        <v>87</v>
      </c>
      <c r="D281">
        <v>1054</v>
      </c>
      <c r="E281">
        <v>918</v>
      </c>
      <c r="F281">
        <v>1826</v>
      </c>
      <c r="G281">
        <v>0</v>
      </c>
      <c r="H281" s="200">
        <v>0.04</v>
      </c>
      <c r="I281">
        <f t="shared" si="33"/>
        <v>330</v>
      </c>
      <c r="J281" s="193">
        <v>0.05</v>
      </c>
      <c r="K281">
        <f t="shared" si="34"/>
        <v>135</v>
      </c>
      <c r="L281" s="62">
        <f t="shared" si="35"/>
        <v>277</v>
      </c>
      <c r="M281" s="304">
        <v>2.33</v>
      </c>
      <c r="N281" s="301">
        <f>VLOOKUP(1733,季財報!A:N,8,0)</f>
        <v>4</v>
      </c>
    </row>
    <row r="282" spans="1:14">
      <c r="A282" s="187">
        <v>3564</v>
      </c>
      <c r="C282">
        <v>28</v>
      </c>
      <c r="D282">
        <v>287</v>
      </c>
      <c r="E282">
        <v>462</v>
      </c>
      <c r="F282">
        <v>525</v>
      </c>
      <c r="G282">
        <v>14</v>
      </c>
      <c r="H282" s="200">
        <v>0.04</v>
      </c>
      <c r="I282">
        <f t="shared" si="33"/>
        <v>330</v>
      </c>
      <c r="J282" s="193">
        <v>0.05</v>
      </c>
      <c r="K282">
        <f t="shared" si="34"/>
        <v>135</v>
      </c>
      <c r="L282" s="62">
        <f t="shared" si="35"/>
        <v>277</v>
      </c>
      <c r="M282" s="304">
        <v>2.33</v>
      </c>
      <c r="N282" s="301">
        <f>VLOOKUP(3564,季財報!A:N,8,0)</f>
        <v>3</v>
      </c>
    </row>
    <row r="283" spans="1:14">
      <c r="A283" s="187">
        <v>8215</v>
      </c>
      <c r="C283">
        <v>232</v>
      </c>
      <c r="D283">
        <v>1204</v>
      </c>
      <c r="E283">
        <v>4262</v>
      </c>
      <c r="F283">
        <v>4599</v>
      </c>
      <c r="G283">
        <v>384</v>
      </c>
      <c r="H283" s="200">
        <v>0.04</v>
      </c>
      <c r="I283">
        <f t="shared" si="33"/>
        <v>330</v>
      </c>
      <c r="J283" s="193">
        <v>0.05</v>
      </c>
      <c r="K283">
        <f t="shared" si="34"/>
        <v>135</v>
      </c>
      <c r="L283" s="62">
        <f t="shared" si="35"/>
        <v>277</v>
      </c>
      <c r="M283" s="304">
        <v>2.33</v>
      </c>
      <c r="N283" s="301">
        <f>VLOOKUP(8215,季財報!A:N,8,0)</f>
        <v>2</v>
      </c>
    </row>
    <row r="284" spans="1:14">
      <c r="A284" s="187">
        <v>3693</v>
      </c>
      <c r="C284">
        <v>99</v>
      </c>
      <c r="D284">
        <v>1664</v>
      </c>
      <c r="E284">
        <v>596</v>
      </c>
      <c r="F284">
        <v>1819</v>
      </c>
      <c r="G284">
        <v>0</v>
      </c>
      <c r="H284" s="200">
        <v>0.04</v>
      </c>
      <c r="I284">
        <f t="shared" si="33"/>
        <v>330</v>
      </c>
      <c r="J284" s="193">
        <v>0.05</v>
      </c>
      <c r="K284">
        <f t="shared" si="34"/>
        <v>135</v>
      </c>
      <c r="L284" s="62">
        <f t="shared" si="35"/>
        <v>277</v>
      </c>
      <c r="M284" s="304">
        <v>2.29</v>
      </c>
      <c r="N284" s="301">
        <f>VLOOKUP(3693,季財報!A:N,8,0)</f>
        <v>4</v>
      </c>
    </row>
    <row r="285" spans="1:14">
      <c r="A285" s="187">
        <v>9945</v>
      </c>
      <c r="C285">
        <v>1048</v>
      </c>
      <c r="D285">
        <v>12477</v>
      </c>
      <c r="E285">
        <v>4183</v>
      </c>
      <c r="F285">
        <v>28578</v>
      </c>
      <c r="G285">
        <v>9730</v>
      </c>
      <c r="H285" s="200">
        <v>0.06</v>
      </c>
      <c r="I285">
        <f t="shared" ref="I285:I290" si="36">RANK(0.06,H:H,0)</f>
        <v>155</v>
      </c>
      <c r="J285" s="193">
        <v>0.03</v>
      </c>
      <c r="K285">
        <f t="shared" ref="K285:K290" si="37">RANK(0.03,J:J,0)</f>
        <v>334</v>
      </c>
      <c r="L285" s="62">
        <f t="shared" ref="L285:L290" si="38">RANK(3.11,M:M,0)</f>
        <v>284</v>
      </c>
      <c r="M285" s="304">
        <v>2.29</v>
      </c>
      <c r="N285" s="301">
        <f>VLOOKUP(9945,季財報!A:N,8,0)</f>
        <v>5</v>
      </c>
    </row>
    <row r="286" spans="1:14">
      <c r="A286" s="187">
        <v>6196</v>
      </c>
      <c r="C286">
        <v>187</v>
      </c>
      <c r="D286">
        <v>1849</v>
      </c>
      <c r="E286">
        <v>1444</v>
      </c>
      <c r="F286">
        <v>4341</v>
      </c>
      <c r="G286">
        <v>2399</v>
      </c>
      <c r="H286" s="200">
        <v>0.06</v>
      </c>
      <c r="I286">
        <f t="shared" si="36"/>
        <v>155</v>
      </c>
      <c r="J286" s="193">
        <v>0.03</v>
      </c>
      <c r="K286">
        <f t="shared" si="37"/>
        <v>334</v>
      </c>
      <c r="L286" s="62">
        <f t="shared" si="38"/>
        <v>284</v>
      </c>
      <c r="M286" s="304">
        <v>2.29</v>
      </c>
      <c r="N286" s="301">
        <f>VLOOKUP(6196,季財報!A:N,8,0)</f>
        <v>3</v>
      </c>
    </row>
    <row r="287" spans="1:14">
      <c r="A287" s="187">
        <v>3022</v>
      </c>
      <c r="C287">
        <v>317</v>
      </c>
      <c r="D287">
        <v>3969</v>
      </c>
      <c r="E287">
        <v>1346</v>
      </c>
      <c r="F287">
        <v>7357</v>
      </c>
      <c r="G287">
        <v>3279</v>
      </c>
      <c r="H287" s="200">
        <v>0.06</v>
      </c>
      <c r="I287">
        <f t="shared" si="36"/>
        <v>155</v>
      </c>
      <c r="J287" s="193">
        <v>0.03</v>
      </c>
      <c r="K287">
        <f t="shared" si="37"/>
        <v>334</v>
      </c>
      <c r="L287" s="62">
        <f t="shared" si="38"/>
        <v>284</v>
      </c>
      <c r="M287" s="304">
        <v>2.29</v>
      </c>
      <c r="N287" s="301">
        <f>VLOOKUP(3022,季財報!A:N,8,0)</f>
        <v>2</v>
      </c>
    </row>
    <row r="288" spans="1:14">
      <c r="A288" s="187">
        <v>3661</v>
      </c>
      <c r="C288">
        <v>101</v>
      </c>
      <c r="D288">
        <v>1275</v>
      </c>
      <c r="E288">
        <v>375</v>
      </c>
      <c r="F288">
        <v>2742</v>
      </c>
      <c r="G288">
        <v>697</v>
      </c>
      <c r="H288" s="200">
        <v>0.06</v>
      </c>
      <c r="I288">
        <f t="shared" si="36"/>
        <v>155</v>
      </c>
      <c r="J288" s="193">
        <v>0.03</v>
      </c>
      <c r="K288">
        <f t="shared" si="37"/>
        <v>334</v>
      </c>
      <c r="L288" s="62">
        <f t="shared" si="38"/>
        <v>284</v>
      </c>
      <c r="M288" s="304">
        <v>2.29</v>
      </c>
      <c r="N288" s="301">
        <f>VLOOKUP(3661,季財報!A:N,8,0)</f>
        <v>2</v>
      </c>
    </row>
    <row r="289" spans="1:14">
      <c r="A289" s="187">
        <v>3694</v>
      </c>
      <c r="C289">
        <v>87</v>
      </c>
      <c r="D289">
        <v>508</v>
      </c>
      <c r="E289">
        <v>931</v>
      </c>
      <c r="F289">
        <v>1522</v>
      </c>
      <c r="G289">
        <v>1189</v>
      </c>
      <c r="H289" s="200">
        <v>0.06</v>
      </c>
      <c r="I289">
        <f t="shared" si="36"/>
        <v>155</v>
      </c>
      <c r="J289" s="193">
        <v>0.03</v>
      </c>
      <c r="K289">
        <f t="shared" si="37"/>
        <v>334</v>
      </c>
      <c r="L289" s="62">
        <f t="shared" si="38"/>
        <v>284</v>
      </c>
      <c r="M289" s="304">
        <v>2.29</v>
      </c>
      <c r="N289" s="301">
        <f>VLOOKUP(3694,季財報!A:N,8,0)</f>
        <v>5</v>
      </c>
    </row>
    <row r="290" spans="1:14">
      <c r="A290" s="187">
        <v>3289</v>
      </c>
      <c r="C290">
        <v>75</v>
      </c>
      <c r="D290">
        <v>0</v>
      </c>
      <c r="E290">
        <v>1216</v>
      </c>
      <c r="F290">
        <v>1796</v>
      </c>
      <c r="G290">
        <v>625</v>
      </c>
      <c r="H290" s="200">
        <v>0.06</v>
      </c>
      <c r="I290">
        <f t="shared" si="36"/>
        <v>155</v>
      </c>
      <c r="J290" s="193">
        <v>0.03</v>
      </c>
      <c r="K290">
        <f t="shared" si="37"/>
        <v>334</v>
      </c>
      <c r="L290" s="62">
        <f t="shared" si="38"/>
        <v>284</v>
      </c>
      <c r="M290" s="304">
        <v>2.29</v>
      </c>
      <c r="N290" s="301">
        <f>VLOOKUP(3289,季財報!A:N,8,0)</f>
        <v>4</v>
      </c>
    </row>
    <row r="291" spans="1:14">
      <c r="A291" s="187">
        <v>8210</v>
      </c>
      <c r="C291">
        <v>119</v>
      </c>
      <c r="D291">
        <v>1477</v>
      </c>
      <c r="E291">
        <v>1225</v>
      </c>
      <c r="F291">
        <v>2611</v>
      </c>
      <c r="G291">
        <v>238</v>
      </c>
      <c r="H291" s="200">
        <v>0.04</v>
      </c>
      <c r="I291">
        <f t="shared" ref="I291:I337" si="39">RANK(0.04,H:H,0)</f>
        <v>330</v>
      </c>
      <c r="J291" s="193">
        <v>0.04</v>
      </c>
      <c r="K291">
        <f t="shared" ref="K291:K337" si="40">RANK(0.04,J:J,0)</f>
        <v>220</v>
      </c>
      <c r="L291" s="62">
        <f t="shared" ref="L291:L337" si="41">RANK(2.76,M:M,0)</f>
        <v>290</v>
      </c>
      <c r="M291" s="304">
        <v>2.29</v>
      </c>
      <c r="N291" s="301">
        <f>VLOOKUP(8210,季財報!A:N,8,0)</f>
        <v>4</v>
      </c>
    </row>
    <row r="292" spans="1:14">
      <c r="A292" s="187">
        <v>6451</v>
      </c>
      <c r="C292">
        <v>242</v>
      </c>
      <c r="D292">
        <v>4158</v>
      </c>
      <c r="E292">
        <v>1326</v>
      </c>
      <c r="F292">
        <v>5975</v>
      </c>
      <c r="G292">
        <v>348</v>
      </c>
      <c r="H292" s="200">
        <v>0.04</v>
      </c>
      <c r="I292">
        <f t="shared" si="39"/>
        <v>330</v>
      </c>
      <c r="J292" s="193">
        <v>0.04</v>
      </c>
      <c r="K292">
        <f t="shared" si="40"/>
        <v>220</v>
      </c>
      <c r="L292" s="62">
        <f t="shared" si="41"/>
        <v>290</v>
      </c>
      <c r="M292" s="304">
        <v>2.29</v>
      </c>
      <c r="N292" s="301">
        <f>VLOOKUP(6451,季財報!A:N,8,0)</f>
        <v>1</v>
      </c>
    </row>
    <row r="293" spans="1:14">
      <c r="A293" s="187">
        <v>8039</v>
      </c>
      <c r="C293">
        <v>326</v>
      </c>
      <c r="D293">
        <v>4753</v>
      </c>
      <c r="E293">
        <v>2652</v>
      </c>
      <c r="F293">
        <v>6765</v>
      </c>
      <c r="G293">
        <v>1311</v>
      </c>
      <c r="H293" s="200">
        <v>0.04</v>
      </c>
      <c r="I293">
        <f t="shared" si="39"/>
        <v>330</v>
      </c>
      <c r="J293" s="193">
        <v>0.04</v>
      </c>
      <c r="K293">
        <f t="shared" si="40"/>
        <v>220</v>
      </c>
      <c r="L293" s="62">
        <f t="shared" si="41"/>
        <v>290</v>
      </c>
      <c r="M293" s="304">
        <v>2.29</v>
      </c>
      <c r="N293" s="301">
        <f>VLOOKUP(8039,季財報!A:N,8,0)</f>
        <v>5</v>
      </c>
    </row>
    <row r="294" spans="1:14">
      <c r="A294" s="187">
        <v>6153</v>
      </c>
      <c r="C294">
        <v>385</v>
      </c>
      <c r="D294">
        <v>4175</v>
      </c>
      <c r="E294">
        <v>5460</v>
      </c>
      <c r="F294">
        <v>8365</v>
      </c>
      <c r="G294">
        <v>691</v>
      </c>
      <c r="H294" s="200">
        <v>0.04</v>
      </c>
      <c r="I294">
        <f t="shared" si="39"/>
        <v>330</v>
      </c>
      <c r="J294" s="193">
        <v>0.04</v>
      </c>
      <c r="K294">
        <f t="shared" si="40"/>
        <v>220</v>
      </c>
      <c r="L294" s="62">
        <f t="shared" si="41"/>
        <v>290</v>
      </c>
      <c r="M294" s="304">
        <v>2.29</v>
      </c>
      <c r="N294" s="301">
        <f>VLOOKUP(6153,季財報!A:N,8,0)</f>
        <v>3</v>
      </c>
    </row>
    <row r="295" spans="1:14">
      <c r="A295" s="187">
        <v>6192</v>
      </c>
      <c r="C295">
        <v>173</v>
      </c>
      <c r="D295">
        <v>3511</v>
      </c>
      <c r="E295">
        <v>910</v>
      </c>
      <c r="F295">
        <v>4033</v>
      </c>
      <c r="G295">
        <v>94</v>
      </c>
      <c r="H295" s="200">
        <v>0.04</v>
      </c>
      <c r="I295">
        <f t="shared" si="39"/>
        <v>330</v>
      </c>
      <c r="J295" s="193">
        <v>0.04</v>
      </c>
      <c r="K295">
        <f t="shared" si="40"/>
        <v>220</v>
      </c>
      <c r="L295" s="62">
        <f t="shared" si="41"/>
        <v>290</v>
      </c>
      <c r="M295" s="304">
        <v>2.29</v>
      </c>
      <c r="N295" s="301">
        <f>VLOOKUP(6192,季財報!A:N,8,0)</f>
        <v>3</v>
      </c>
    </row>
    <row r="296" spans="1:14">
      <c r="A296" s="187">
        <v>6216</v>
      </c>
      <c r="C296">
        <v>55</v>
      </c>
      <c r="D296">
        <v>1208</v>
      </c>
      <c r="E296">
        <v>147</v>
      </c>
      <c r="F296">
        <v>1325</v>
      </c>
      <c r="G296">
        <v>16</v>
      </c>
      <c r="H296" s="200">
        <v>0.04</v>
      </c>
      <c r="I296">
        <f t="shared" si="39"/>
        <v>330</v>
      </c>
      <c r="J296" s="193">
        <v>0.04</v>
      </c>
      <c r="K296">
        <f t="shared" si="40"/>
        <v>220</v>
      </c>
      <c r="L296" s="62">
        <f t="shared" si="41"/>
        <v>290</v>
      </c>
      <c r="M296" s="304">
        <v>2.29</v>
      </c>
      <c r="N296" s="301">
        <f>VLOOKUP(6216,季財報!A:N,8,0)</f>
        <v>2</v>
      </c>
    </row>
    <row r="297" spans="1:14">
      <c r="A297" s="187">
        <v>4995</v>
      </c>
      <c r="C297">
        <v>19</v>
      </c>
      <c r="D297">
        <v>397</v>
      </c>
      <c r="E297">
        <v>73</v>
      </c>
      <c r="F297">
        <v>496</v>
      </c>
      <c r="G297">
        <v>0</v>
      </c>
      <c r="H297" s="200">
        <v>0.04</v>
      </c>
      <c r="I297">
        <f t="shared" si="39"/>
        <v>330</v>
      </c>
      <c r="J297" s="193">
        <v>0.04</v>
      </c>
      <c r="K297">
        <f t="shared" si="40"/>
        <v>220</v>
      </c>
      <c r="L297" s="62">
        <f t="shared" si="41"/>
        <v>290</v>
      </c>
      <c r="M297" s="304">
        <v>2.29</v>
      </c>
      <c r="N297" s="301">
        <f>VLOOKUP(4995,季財報!A:N,8,0)</f>
        <v>2</v>
      </c>
    </row>
    <row r="298" spans="1:14">
      <c r="A298" s="187">
        <v>5234</v>
      </c>
      <c r="C298">
        <v>73</v>
      </c>
      <c r="D298">
        <v>890</v>
      </c>
      <c r="E298">
        <v>1162</v>
      </c>
      <c r="F298">
        <v>1901</v>
      </c>
      <c r="G298">
        <v>176</v>
      </c>
      <c r="H298" s="200">
        <v>0.04</v>
      </c>
      <c r="I298">
        <f t="shared" si="39"/>
        <v>330</v>
      </c>
      <c r="J298" s="193">
        <v>0.04</v>
      </c>
      <c r="K298">
        <f t="shared" si="40"/>
        <v>220</v>
      </c>
      <c r="L298" s="62">
        <f t="shared" si="41"/>
        <v>290</v>
      </c>
      <c r="M298" s="304">
        <v>2.29</v>
      </c>
      <c r="N298" s="301">
        <f>VLOOKUP(5234,季財報!A:N,8,0)</f>
        <v>3</v>
      </c>
    </row>
    <row r="299" spans="1:14">
      <c r="A299" s="187">
        <v>5603</v>
      </c>
      <c r="C299">
        <v>60</v>
      </c>
      <c r="D299">
        <v>110</v>
      </c>
      <c r="E299">
        <v>1334</v>
      </c>
      <c r="F299">
        <v>1273</v>
      </c>
      <c r="G299">
        <v>311</v>
      </c>
      <c r="H299" s="200">
        <v>0.04</v>
      </c>
      <c r="I299">
        <f t="shared" si="39"/>
        <v>330</v>
      </c>
      <c r="J299" s="193">
        <v>0.04</v>
      </c>
      <c r="K299">
        <f t="shared" si="40"/>
        <v>220</v>
      </c>
      <c r="L299" s="62">
        <f t="shared" si="41"/>
        <v>290</v>
      </c>
      <c r="M299" s="304">
        <v>2.29</v>
      </c>
      <c r="N299" s="301">
        <f>VLOOKUP(5603,季財報!A:N,8,0)</f>
        <v>2</v>
      </c>
    </row>
    <row r="300" spans="1:14">
      <c r="A300" s="187">
        <v>4555</v>
      </c>
      <c r="C300">
        <v>108</v>
      </c>
      <c r="D300">
        <v>689</v>
      </c>
      <c r="E300">
        <v>1783</v>
      </c>
      <c r="F300">
        <v>2390</v>
      </c>
      <c r="G300">
        <v>532</v>
      </c>
      <c r="H300" s="200">
        <v>0.04</v>
      </c>
      <c r="I300">
        <f t="shared" si="39"/>
        <v>330</v>
      </c>
      <c r="J300" s="193">
        <v>0.04</v>
      </c>
      <c r="K300">
        <f t="shared" si="40"/>
        <v>220</v>
      </c>
      <c r="L300" s="62">
        <f t="shared" si="41"/>
        <v>290</v>
      </c>
      <c r="M300" s="304">
        <v>2.29</v>
      </c>
      <c r="N300" s="301">
        <f>VLOOKUP(4555,季財報!A:N,8,0)</f>
        <v>2</v>
      </c>
    </row>
    <row r="301" spans="1:14">
      <c r="A301" s="187">
        <v>4977</v>
      </c>
      <c r="C301">
        <v>60</v>
      </c>
      <c r="D301">
        <v>1131</v>
      </c>
      <c r="E301">
        <v>209</v>
      </c>
      <c r="F301">
        <v>1370</v>
      </c>
      <c r="G301">
        <v>0</v>
      </c>
      <c r="H301" s="200">
        <v>0.04</v>
      </c>
      <c r="I301">
        <f t="shared" si="39"/>
        <v>330</v>
      </c>
      <c r="J301" s="193">
        <v>0.04</v>
      </c>
      <c r="K301">
        <f t="shared" si="40"/>
        <v>220</v>
      </c>
      <c r="L301" s="62">
        <f t="shared" si="41"/>
        <v>290</v>
      </c>
      <c r="M301" s="304">
        <v>2.29</v>
      </c>
      <c r="N301" s="301">
        <f>VLOOKUP(4977,季財報!A:N,8,0)</f>
        <v>4</v>
      </c>
    </row>
    <row r="302" spans="1:14">
      <c r="A302" s="187">
        <v>4984</v>
      </c>
      <c r="C302">
        <v>63</v>
      </c>
      <c r="D302">
        <v>1566</v>
      </c>
      <c r="E302">
        <v>44</v>
      </c>
      <c r="F302">
        <v>1686</v>
      </c>
      <c r="G302">
        <v>0</v>
      </c>
      <c r="H302" s="200">
        <v>0.04</v>
      </c>
      <c r="I302">
        <f t="shared" si="39"/>
        <v>330</v>
      </c>
      <c r="J302" s="193">
        <v>0.04</v>
      </c>
      <c r="K302">
        <f t="shared" si="40"/>
        <v>220</v>
      </c>
      <c r="L302" s="62">
        <f t="shared" si="41"/>
        <v>290</v>
      </c>
      <c r="M302" s="304">
        <v>2.29</v>
      </c>
      <c r="N302" s="301">
        <f>VLOOKUP(4984,季財報!A:N,8,0)</f>
        <v>4</v>
      </c>
    </row>
    <row r="303" spans="1:14">
      <c r="A303" s="187">
        <v>5007</v>
      </c>
      <c r="C303">
        <v>241</v>
      </c>
      <c r="D303">
        <v>1795</v>
      </c>
      <c r="E303">
        <v>3562</v>
      </c>
      <c r="F303">
        <v>5184</v>
      </c>
      <c r="G303">
        <v>874</v>
      </c>
      <c r="H303" s="200">
        <v>0.04</v>
      </c>
      <c r="I303">
        <f t="shared" si="39"/>
        <v>330</v>
      </c>
      <c r="J303" s="193">
        <v>0.04</v>
      </c>
      <c r="K303">
        <f t="shared" si="40"/>
        <v>220</v>
      </c>
      <c r="L303" s="62">
        <f t="shared" si="41"/>
        <v>290</v>
      </c>
      <c r="M303" s="304">
        <v>2.29</v>
      </c>
      <c r="N303" s="301">
        <f>VLOOKUP(5007,季財報!A:N,8,0)</f>
        <v>2</v>
      </c>
    </row>
    <row r="304" spans="1:14">
      <c r="A304" s="187">
        <v>1259</v>
      </c>
      <c r="C304">
        <v>59</v>
      </c>
      <c r="D304">
        <v>1162</v>
      </c>
      <c r="E304">
        <v>349</v>
      </c>
      <c r="F304">
        <v>1654</v>
      </c>
      <c r="G304">
        <v>0</v>
      </c>
      <c r="H304" s="200">
        <v>0.04</v>
      </c>
      <c r="I304">
        <f t="shared" si="39"/>
        <v>330</v>
      </c>
      <c r="J304" s="193">
        <v>0.04</v>
      </c>
      <c r="K304">
        <f t="shared" si="40"/>
        <v>220</v>
      </c>
      <c r="L304" s="62">
        <f t="shared" si="41"/>
        <v>290</v>
      </c>
      <c r="M304" s="304">
        <v>2.29</v>
      </c>
      <c r="N304" s="301">
        <f>VLOOKUP(1259,季財報!A:N,8,0)</f>
        <v>3</v>
      </c>
    </row>
    <row r="305" spans="1:14">
      <c r="A305" s="187">
        <v>1560</v>
      </c>
      <c r="C305">
        <v>157</v>
      </c>
      <c r="D305">
        <v>996</v>
      </c>
      <c r="E305">
        <v>2743</v>
      </c>
      <c r="F305">
        <v>3721</v>
      </c>
      <c r="G305">
        <v>280</v>
      </c>
      <c r="H305" s="200">
        <v>0.04</v>
      </c>
      <c r="I305">
        <f t="shared" si="39"/>
        <v>330</v>
      </c>
      <c r="J305" s="193">
        <v>0.04</v>
      </c>
      <c r="K305">
        <f t="shared" si="40"/>
        <v>220</v>
      </c>
      <c r="L305" s="62">
        <f t="shared" si="41"/>
        <v>290</v>
      </c>
      <c r="M305" s="304">
        <v>2.29</v>
      </c>
      <c r="N305" s="301">
        <f>VLOOKUP(1560,季財報!A:N,8,0)</f>
        <v>4</v>
      </c>
    </row>
    <row r="306" spans="1:14">
      <c r="A306" s="187">
        <v>1593</v>
      </c>
      <c r="C306">
        <v>31</v>
      </c>
      <c r="D306">
        <v>524</v>
      </c>
      <c r="E306">
        <v>278</v>
      </c>
      <c r="F306">
        <v>795</v>
      </c>
      <c r="G306">
        <v>2</v>
      </c>
      <c r="H306" s="200">
        <v>0.04</v>
      </c>
      <c r="I306">
        <f t="shared" si="39"/>
        <v>330</v>
      </c>
      <c r="J306" s="193">
        <v>0.04</v>
      </c>
      <c r="K306">
        <f t="shared" si="40"/>
        <v>220</v>
      </c>
      <c r="L306" s="62">
        <f t="shared" si="41"/>
        <v>290</v>
      </c>
      <c r="M306" s="304">
        <v>2.29</v>
      </c>
      <c r="N306" s="301">
        <f>VLOOKUP(1593,季財報!A:N,8,0)</f>
        <v>3</v>
      </c>
    </row>
    <row r="307" spans="1:14">
      <c r="A307" s="187">
        <v>1708</v>
      </c>
      <c r="C307">
        <v>250</v>
      </c>
      <c r="D307">
        <v>442</v>
      </c>
      <c r="E307">
        <v>5132</v>
      </c>
      <c r="F307">
        <v>5225</v>
      </c>
      <c r="G307">
        <v>1115</v>
      </c>
      <c r="H307" s="200">
        <v>0.04</v>
      </c>
      <c r="I307">
        <f t="shared" si="39"/>
        <v>330</v>
      </c>
      <c r="J307" s="193">
        <v>0.04</v>
      </c>
      <c r="K307">
        <f t="shared" si="40"/>
        <v>220</v>
      </c>
      <c r="L307" s="62">
        <f t="shared" si="41"/>
        <v>290</v>
      </c>
      <c r="M307" s="304">
        <v>2.29</v>
      </c>
      <c r="N307" s="301">
        <f>VLOOKUP(1708,季財報!A:N,8,0)</f>
        <v>4</v>
      </c>
    </row>
    <row r="308" spans="1:14">
      <c r="A308" s="187">
        <v>1726</v>
      </c>
      <c r="C308">
        <v>276</v>
      </c>
      <c r="D308">
        <v>5970</v>
      </c>
      <c r="E308">
        <v>1487</v>
      </c>
      <c r="F308">
        <v>7751</v>
      </c>
      <c r="G308">
        <v>0</v>
      </c>
      <c r="H308" s="200">
        <v>0.04</v>
      </c>
      <c r="I308">
        <f t="shared" si="39"/>
        <v>330</v>
      </c>
      <c r="J308" s="193">
        <v>0.04</v>
      </c>
      <c r="K308">
        <f t="shared" si="40"/>
        <v>220</v>
      </c>
      <c r="L308" s="62">
        <f t="shared" si="41"/>
        <v>290</v>
      </c>
      <c r="M308" s="304">
        <v>2.29</v>
      </c>
      <c r="N308" s="301">
        <f>VLOOKUP(1726,季財報!A:N,8,0)</f>
        <v>3</v>
      </c>
    </row>
    <row r="309" spans="1:14">
      <c r="A309" s="187">
        <v>1787</v>
      </c>
      <c r="C309">
        <v>48</v>
      </c>
      <c r="D309">
        <v>597</v>
      </c>
      <c r="E309">
        <v>573</v>
      </c>
      <c r="F309">
        <v>1075</v>
      </c>
      <c r="G309">
        <v>117</v>
      </c>
      <c r="H309" s="200">
        <v>0.04</v>
      </c>
      <c r="I309">
        <f t="shared" si="39"/>
        <v>330</v>
      </c>
      <c r="J309" s="193">
        <v>0.04</v>
      </c>
      <c r="K309">
        <f t="shared" si="40"/>
        <v>220</v>
      </c>
      <c r="L309" s="62">
        <f t="shared" si="41"/>
        <v>290</v>
      </c>
      <c r="M309" s="304">
        <v>2.29</v>
      </c>
      <c r="N309" s="301">
        <f>VLOOKUP(1787,季財報!A:N,8,0)</f>
        <v>5</v>
      </c>
    </row>
    <row r="310" spans="1:14">
      <c r="A310" s="187">
        <v>2105</v>
      </c>
      <c r="C310">
        <v>4714</v>
      </c>
      <c r="D310">
        <v>10975</v>
      </c>
      <c r="E310">
        <v>108774</v>
      </c>
      <c r="F310">
        <v>88777</v>
      </c>
      <c r="G310">
        <v>24837</v>
      </c>
      <c r="H310" s="200">
        <v>0.04</v>
      </c>
      <c r="I310">
        <f t="shared" si="39"/>
        <v>330</v>
      </c>
      <c r="J310" s="193">
        <v>0.04</v>
      </c>
      <c r="K310">
        <f t="shared" si="40"/>
        <v>220</v>
      </c>
      <c r="L310" s="62">
        <f t="shared" si="41"/>
        <v>290</v>
      </c>
      <c r="M310" s="304">
        <v>2.29</v>
      </c>
      <c r="N310" s="301">
        <f>VLOOKUP(2105,季財報!A:N,8,0)</f>
        <v>1</v>
      </c>
    </row>
    <row r="311" spans="1:14">
      <c r="A311" s="187">
        <v>2106</v>
      </c>
      <c r="C311">
        <v>1050</v>
      </c>
      <c r="D311">
        <v>17579</v>
      </c>
      <c r="E311">
        <v>10128</v>
      </c>
      <c r="F311">
        <v>21235</v>
      </c>
      <c r="G311">
        <v>4313</v>
      </c>
      <c r="H311" s="200">
        <v>0.04</v>
      </c>
      <c r="I311">
        <f t="shared" si="39"/>
        <v>330</v>
      </c>
      <c r="J311" s="193">
        <v>0.04</v>
      </c>
      <c r="K311">
        <f t="shared" si="40"/>
        <v>220</v>
      </c>
      <c r="L311" s="62">
        <f t="shared" si="41"/>
        <v>290</v>
      </c>
      <c r="M311" s="304">
        <v>2.29</v>
      </c>
      <c r="N311" s="301">
        <f>VLOOKUP(2106,季財報!A:N,8,0)</f>
        <v>3</v>
      </c>
    </row>
    <row r="312" spans="1:14">
      <c r="A312" s="187">
        <v>2325</v>
      </c>
      <c r="C312">
        <v>3066</v>
      </c>
      <c r="D312">
        <v>17929</v>
      </c>
      <c r="E312">
        <v>65594</v>
      </c>
      <c r="F312">
        <v>69239</v>
      </c>
      <c r="G312">
        <v>6868</v>
      </c>
      <c r="H312" s="200">
        <v>0.04</v>
      </c>
      <c r="I312">
        <f t="shared" si="39"/>
        <v>330</v>
      </c>
      <c r="J312" s="193">
        <v>0.04</v>
      </c>
      <c r="K312">
        <f t="shared" si="40"/>
        <v>220</v>
      </c>
      <c r="L312" s="62">
        <f t="shared" si="41"/>
        <v>290</v>
      </c>
      <c r="M312" s="304">
        <v>2.29</v>
      </c>
      <c r="N312" s="301">
        <f>VLOOKUP(2325,季財報!A:N,8,0)</f>
        <v>1</v>
      </c>
    </row>
    <row r="313" spans="1:14">
      <c r="A313" s="187">
        <v>2421</v>
      </c>
      <c r="C313">
        <v>166</v>
      </c>
      <c r="D313">
        <v>1952</v>
      </c>
      <c r="E313">
        <v>1794</v>
      </c>
      <c r="F313">
        <v>3909</v>
      </c>
      <c r="G313">
        <v>508</v>
      </c>
      <c r="H313" s="200">
        <v>0.04</v>
      </c>
      <c r="I313">
        <f t="shared" si="39"/>
        <v>330</v>
      </c>
      <c r="J313" s="193">
        <v>0.04</v>
      </c>
      <c r="K313">
        <f t="shared" si="40"/>
        <v>220</v>
      </c>
      <c r="L313" s="62">
        <f t="shared" si="41"/>
        <v>290</v>
      </c>
      <c r="M313" s="304">
        <v>2.29</v>
      </c>
      <c r="N313" s="301">
        <f>VLOOKUP(2421,季財報!A:N,8,0)</f>
        <v>5</v>
      </c>
    </row>
    <row r="314" spans="1:14">
      <c r="A314" s="187">
        <v>2437</v>
      </c>
      <c r="C314">
        <v>150</v>
      </c>
      <c r="D314">
        <v>2320</v>
      </c>
      <c r="E314">
        <v>1148</v>
      </c>
      <c r="F314">
        <v>3403</v>
      </c>
      <c r="G314">
        <v>666</v>
      </c>
      <c r="H314" s="200">
        <v>0.04</v>
      </c>
      <c r="I314">
        <f t="shared" si="39"/>
        <v>330</v>
      </c>
      <c r="J314" s="193">
        <v>0.04</v>
      </c>
      <c r="K314">
        <f t="shared" si="40"/>
        <v>220</v>
      </c>
      <c r="L314" s="62">
        <f t="shared" si="41"/>
        <v>290</v>
      </c>
      <c r="M314" s="304">
        <v>2.29</v>
      </c>
      <c r="N314" s="301">
        <f>VLOOKUP(2437,季財報!A:N,8,0)</f>
        <v>3</v>
      </c>
    </row>
    <row r="315" spans="1:14">
      <c r="A315" s="187">
        <v>2439</v>
      </c>
      <c r="C315">
        <v>258</v>
      </c>
      <c r="D315">
        <v>3339</v>
      </c>
      <c r="E315">
        <v>2842</v>
      </c>
      <c r="F315">
        <v>5653</v>
      </c>
      <c r="G315">
        <v>155</v>
      </c>
      <c r="H315" s="200">
        <v>0.04</v>
      </c>
      <c r="I315">
        <f t="shared" si="39"/>
        <v>330</v>
      </c>
      <c r="J315" s="193">
        <v>0.04</v>
      </c>
      <c r="K315">
        <f t="shared" si="40"/>
        <v>220</v>
      </c>
      <c r="L315" s="62">
        <f t="shared" si="41"/>
        <v>290</v>
      </c>
      <c r="M315" s="304">
        <v>2.29</v>
      </c>
      <c r="N315" s="301">
        <f>VLOOKUP(2439,季財報!A:N,8,0)</f>
        <v>2</v>
      </c>
    </row>
    <row r="316" spans="1:14">
      <c r="A316" s="187">
        <v>2441</v>
      </c>
      <c r="C316">
        <v>517</v>
      </c>
      <c r="D316">
        <v>5688</v>
      </c>
      <c r="E316">
        <v>7236</v>
      </c>
      <c r="F316">
        <v>13298</v>
      </c>
      <c r="G316">
        <v>0</v>
      </c>
      <c r="H316" s="200">
        <v>0.04</v>
      </c>
      <c r="I316">
        <f t="shared" si="39"/>
        <v>330</v>
      </c>
      <c r="J316" s="193">
        <v>0.04</v>
      </c>
      <c r="K316">
        <f t="shared" si="40"/>
        <v>220</v>
      </c>
      <c r="L316" s="62">
        <f t="shared" si="41"/>
        <v>290</v>
      </c>
      <c r="M316" s="304">
        <v>2.29</v>
      </c>
      <c r="N316" s="301">
        <f>VLOOKUP(2441,季財報!A:N,8,0)</f>
        <v>2</v>
      </c>
    </row>
    <row r="317" spans="1:14">
      <c r="A317" s="187">
        <v>2608</v>
      </c>
      <c r="C317">
        <v>376</v>
      </c>
      <c r="D317">
        <v>8</v>
      </c>
      <c r="E317">
        <v>8910</v>
      </c>
      <c r="F317">
        <v>7984</v>
      </c>
      <c r="G317">
        <v>529</v>
      </c>
      <c r="H317" s="200">
        <v>0.04</v>
      </c>
      <c r="I317">
        <f t="shared" si="39"/>
        <v>330</v>
      </c>
      <c r="J317" s="193">
        <v>0.04</v>
      </c>
      <c r="K317">
        <f t="shared" si="40"/>
        <v>220</v>
      </c>
      <c r="L317" s="62">
        <f t="shared" si="41"/>
        <v>290</v>
      </c>
      <c r="M317" s="304">
        <v>2.29</v>
      </c>
      <c r="N317" s="301">
        <f>VLOOKUP(2608,季財報!A:N,8,0)</f>
        <v>3</v>
      </c>
    </row>
    <row r="318" spans="1:14">
      <c r="A318" s="187">
        <v>2712</v>
      </c>
      <c r="C318">
        <v>54</v>
      </c>
      <c r="D318">
        <v>0</v>
      </c>
      <c r="E318">
        <v>1497</v>
      </c>
      <c r="F318">
        <v>1293</v>
      </c>
      <c r="G318">
        <v>75</v>
      </c>
      <c r="H318" s="200">
        <v>0.04</v>
      </c>
      <c r="I318">
        <f t="shared" si="39"/>
        <v>330</v>
      </c>
      <c r="J318" s="193">
        <v>0.04</v>
      </c>
      <c r="K318">
        <f t="shared" si="40"/>
        <v>220</v>
      </c>
      <c r="L318" s="62">
        <f t="shared" si="41"/>
        <v>290</v>
      </c>
      <c r="M318" s="304">
        <v>2.29</v>
      </c>
      <c r="N318" s="301">
        <f>VLOOKUP(2712,季財報!A:N,8,0)</f>
        <v>2</v>
      </c>
    </row>
    <row r="319" spans="1:14">
      <c r="A319" s="187">
        <v>2732</v>
      </c>
      <c r="C319">
        <v>33</v>
      </c>
      <c r="D319">
        <v>484</v>
      </c>
      <c r="E319">
        <v>284</v>
      </c>
      <c r="F319">
        <v>835</v>
      </c>
      <c r="G319">
        <v>75</v>
      </c>
      <c r="H319" s="200">
        <v>0.04</v>
      </c>
      <c r="I319">
        <f t="shared" si="39"/>
        <v>330</v>
      </c>
      <c r="J319" s="193">
        <v>0.04</v>
      </c>
      <c r="K319">
        <f t="shared" si="40"/>
        <v>220</v>
      </c>
      <c r="L319" s="62">
        <f t="shared" si="41"/>
        <v>290</v>
      </c>
      <c r="M319" s="304">
        <v>2.29</v>
      </c>
      <c r="N319" s="301">
        <f>VLOOKUP(2732,季財報!A:N,8,0)</f>
        <v>4</v>
      </c>
    </row>
    <row r="320" spans="1:14">
      <c r="A320" s="187">
        <v>3004</v>
      </c>
      <c r="C320">
        <v>70</v>
      </c>
      <c r="D320">
        <v>57</v>
      </c>
      <c r="E320">
        <v>1544</v>
      </c>
      <c r="F320">
        <v>1249</v>
      </c>
      <c r="G320">
        <v>314</v>
      </c>
      <c r="H320" s="200">
        <v>0.04</v>
      </c>
      <c r="I320">
        <f t="shared" si="39"/>
        <v>330</v>
      </c>
      <c r="J320" s="193">
        <v>0.04</v>
      </c>
      <c r="K320">
        <f t="shared" si="40"/>
        <v>220</v>
      </c>
      <c r="L320" s="62">
        <f t="shared" si="41"/>
        <v>290</v>
      </c>
      <c r="M320" s="304">
        <v>2.29</v>
      </c>
      <c r="N320" s="301">
        <f>VLOOKUP(3004,季財報!A:N,8,0)</f>
        <v>4</v>
      </c>
    </row>
    <row r="321" spans="1:14">
      <c r="A321" s="187">
        <v>3014</v>
      </c>
      <c r="C321">
        <v>129</v>
      </c>
      <c r="D321">
        <v>2756</v>
      </c>
      <c r="E321">
        <v>273</v>
      </c>
      <c r="F321">
        <v>3595</v>
      </c>
      <c r="G321">
        <v>0</v>
      </c>
      <c r="H321" s="200">
        <v>0.04</v>
      </c>
      <c r="I321">
        <f t="shared" si="39"/>
        <v>330</v>
      </c>
      <c r="J321" s="193">
        <v>0.04</v>
      </c>
      <c r="K321">
        <f t="shared" si="40"/>
        <v>220</v>
      </c>
      <c r="L321" s="62">
        <f t="shared" si="41"/>
        <v>290</v>
      </c>
      <c r="M321" s="304">
        <v>2.14</v>
      </c>
      <c r="N321" s="301">
        <f>VLOOKUP(3014,季財報!A:N,8,0)</f>
        <v>3</v>
      </c>
    </row>
    <row r="322" spans="1:14">
      <c r="A322" s="187">
        <v>3060</v>
      </c>
      <c r="C322">
        <v>183</v>
      </c>
      <c r="D322">
        <v>3179</v>
      </c>
      <c r="E322">
        <v>1367</v>
      </c>
      <c r="F322">
        <v>5041</v>
      </c>
      <c r="G322">
        <v>49</v>
      </c>
      <c r="H322" s="200">
        <v>0.04</v>
      </c>
      <c r="I322">
        <f t="shared" si="39"/>
        <v>330</v>
      </c>
      <c r="J322" s="193">
        <v>0.04</v>
      </c>
      <c r="K322">
        <f t="shared" si="40"/>
        <v>220</v>
      </c>
      <c r="L322" s="62">
        <f t="shared" si="41"/>
        <v>290</v>
      </c>
      <c r="M322" s="304">
        <v>2.13</v>
      </c>
      <c r="N322" s="301">
        <f>VLOOKUP(3060,季財報!A:N,8,0)</f>
        <v>3</v>
      </c>
    </row>
    <row r="323" spans="1:14">
      <c r="A323" s="187">
        <v>3078</v>
      </c>
      <c r="C323">
        <v>164</v>
      </c>
      <c r="D323">
        <v>2268</v>
      </c>
      <c r="E323">
        <v>1409</v>
      </c>
      <c r="F323">
        <v>3811</v>
      </c>
      <c r="G323">
        <v>345</v>
      </c>
      <c r="H323" s="200">
        <v>0.04</v>
      </c>
      <c r="I323">
        <f t="shared" si="39"/>
        <v>330</v>
      </c>
      <c r="J323" s="193">
        <v>0.04</v>
      </c>
      <c r="K323">
        <f t="shared" si="40"/>
        <v>220</v>
      </c>
      <c r="L323" s="62">
        <f t="shared" si="41"/>
        <v>290</v>
      </c>
      <c r="M323" s="304">
        <v>2.12</v>
      </c>
      <c r="N323" s="301">
        <f>VLOOKUP(3078,季財報!A:N,8,0)</f>
        <v>4</v>
      </c>
    </row>
    <row r="324" spans="1:14">
      <c r="A324" s="187">
        <v>3118</v>
      </c>
      <c r="C324">
        <v>21</v>
      </c>
      <c r="D324">
        <v>325</v>
      </c>
      <c r="E324">
        <v>155</v>
      </c>
      <c r="F324">
        <v>501</v>
      </c>
      <c r="G324">
        <v>0</v>
      </c>
      <c r="H324" s="200">
        <v>0.04</v>
      </c>
      <c r="I324">
        <f t="shared" si="39"/>
        <v>330</v>
      </c>
      <c r="J324" s="193">
        <v>0.04</v>
      </c>
      <c r="K324">
        <f t="shared" si="40"/>
        <v>220</v>
      </c>
      <c r="L324" s="62">
        <f t="shared" si="41"/>
        <v>290</v>
      </c>
      <c r="M324" s="304">
        <v>2.21</v>
      </c>
      <c r="N324" s="301">
        <f>VLOOKUP(3118,季財報!A:N,8,0)</f>
        <v>3</v>
      </c>
    </row>
    <row r="325" spans="1:14">
      <c r="A325" s="187">
        <v>3206</v>
      </c>
      <c r="C325">
        <v>28</v>
      </c>
      <c r="D325">
        <v>554</v>
      </c>
      <c r="E325">
        <v>113</v>
      </c>
      <c r="F325">
        <v>760</v>
      </c>
      <c r="G325">
        <v>0</v>
      </c>
      <c r="H325" s="200">
        <v>0.04</v>
      </c>
      <c r="I325">
        <f t="shared" si="39"/>
        <v>330</v>
      </c>
      <c r="J325" s="193">
        <v>0.04</v>
      </c>
      <c r="K325">
        <f t="shared" si="40"/>
        <v>220</v>
      </c>
      <c r="L325" s="62">
        <f t="shared" si="41"/>
        <v>290</v>
      </c>
      <c r="M325" s="304">
        <v>2.21</v>
      </c>
      <c r="N325" s="301">
        <f>VLOOKUP(3206,季財報!A:N,8,0)</f>
        <v>0</v>
      </c>
    </row>
    <row r="326" spans="1:14">
      <c r="A326" s="187">
        <v>3293</v>
      </c>
      <c r="C326">
        <v>96</v>
      </c>
      <c r="D326">
        <v>1246</v>
      </c>
      <c r="E326">
        <v>1331</v>
      </c>
      <c r="F326">
        <v>2694</v>
      </c>
      <c r="G326">
        <v>0</v>
      </c>
      <c r="H326" s="200">
        <v>0.04</v>
      </c>
      <c r="I326">
        <f t="shared" si="39"/>
        <v>330</v>
      </c>
      <c r="J326" s="193">
        <v>0.04</v>
      </c>
      <c r="K326">
        <f t="shared" si="40"/>
        <v>220</v>
      </c>
      <c r="L326" s="62">
        <f t="shared" si="41"/>
        <v>290</v>
      </c>
      <c r="M326" s="304">
        <v>2.21</v>
      </c>
      <c r="N326" s="301">
        <f>VLOOKUP(3293,季財報!A:N,8,0)</f>
        <v>5</v>
      </c>
    </row>
    <row r="327" spans="1:14">
      <c r="A327" s="187">
        <v>3376</v>
      </c>
      <c r="C327">
        <v>468</v>
      </c>
      <c r="D327">
        <v>7639</v>
      </c>
      <c r="E327">
        <v>3431</v>
      </c>
      <c r="F327">
        <v>11402</v>
      </c>
      <c r="G327">
        <v>836</v>
      </c>
      <c r="H327" s="200">
        <v>0.04</v>
      </c>
      <c r="I327">
        <f t="shared" si="39"/>
        <v>330</v>
      </c>
      <c r="J327" s="193">
        <v>0.04</v>
      </c>
      <c r="K327">
        <f t="shared" si="40"/>
        <v>220</v>
      </c>
      <c r="L327" s="62">
        <f t="shared" si="41"/>
        <v>290</v>
      </c>
      <c r="M327" s="304">
        <v>2.21</v>
      </c>
      <c r="N327" s="301">
        <f>VLOOKUP(3376,季財報!A:N,8,0)</f>
        <v>3</v>
      </c>
    </row>
    <row r="328" spans="1:14">
      <c r="A328" s="187">
        <v>3416</v>
      </c>
      <c r="C328">
        <v>60</v>
      </c>
      <c r="D328">
        <v>994</v>
      </c>
      <c r="E328">
        <v>493</v>
      </c>
      <c r="F328">
        <v>1584</v>
      </c>
      <c r="G328">
        <v>0</v>
      </c>
      <c r="H328" s="200">
        <v>0.04</v>
      </c>
      <c r="I328">
        <f t="shared" si="39"/>
        <v>330</v>
      </c>
      <c r="J328" s="193">
        <v>0.04</v>
      </c>
      <c r="K328">
        <f t="shared" si="40"/>
        <v>220</v>
      </c>
      <c r="L328" s="62">
        <f t="shared" si="41"/>
        <v>290</v>
      </c>
      <c r="M328" s="304">
        <v>2.21</v>
      </c>
      <c r="N328" s="301">
        <f>VLOOKUP(3416,季財報!A:N,8,0)</f>
        <v>2</v>
      </c>
    </row>
    <row r="329" spans="1:14">
      <c r="A329" s="187">
        <v>3501</v>
      </c>
      <c r="C329">
        <v>232</v>
      </c>
      <c r="D329">
        <v>3077</v>
      </c>
      <c r="E329">
        <v>2239</v>
      </c>
      <c r="F329">
        <v>5473</v>
      </c>
      <c r="G329">
        <v>289</v>
      </c>
      <c r="H329" s="200">
        <v>0.04</v>
      </c>
      <c r="I329">
        <f t="shared" si="39"/>
        <v>330</v>
      </c>
      <c r="J329" s="193">
        <v>0.04</v>
      </c>
      <c r="K329">
        <f t="shared" si="40"/>
        <v>220</v>
      </c>
      <c r="L329" s="62">
        <f t="shared" si="41"/>
        <v>290</v>
      </c>
      <c r="M329" s="304">
        <v>2.21</v>
      </c>
      <c r="N329" s="301">
        <f>VLOOKUP(3501,季財報!A:N,8,0)</f>
        <v>5</v>
      </c>
    </row>
    <row r="330" spans="1:14">
      <c r="A330" s="187">
        <v>3665</v>
      </c>
      <c r="C330">
        <v>173</v>
      </c>
      <c r="D330">
        <v>2753</v>
      </c>
      <c r="E330">
        <v>1295</v>
      </c>
      <c r="F330">
        <v>4260</v>
      </c>
      <c r="G330">
        <v>251</v>
      </c>
      <c r="H330" s="200">
        <v>0.04</v>
      </c>
      <c r="I330">
        <f t="shared" si="39"/>
        <v>330</v>
      </c>
      <c r="J330" s="193">
        <v>0.04</v>
      </c>
      <c r="K330">
        <f t="shared" si="40"/>
        <v>220</v>
      </c>
      <c r="L330" s="62">
        <f t="shared" si="41"/>
        <v>290</v>
      </c>
      <c r="M330" s="304">
        <v>2.21</v>
      </c>
      <c r="N330" s="301">
        <f>VLOOKUP(3665,季財報!A:N,8,0)</f>
        <v>3</v>
      </c>
    </row>
    <row r="331" spans="1:14">
      <c r="A331" s="187">
        <v>9905</v>
      </c>
      <c r="C331">
        <v>310</v>
      </c>
      <c r="D331">
        <v>3707</v>
      </c>
      <c r="E331">
        <v>3208</v>
      </c>
      <c r="F331">
        <v>7190</v>
      </c>
      <c r="G331">
        <v>562</v>
      </c>
      <c r="H331" s="200">
        <v>0.04</v>
      </c>
      <c r="I331">
        <f t="shared" si="39"/>
        <v>330</v>
      </c>
      <c r="J331" s="193">
        <v>0.04</v>
      </c>
      <c r="K331">
        <f t="shared" si="40"/>
        <v>220</v>
      </c>
      <c r="L331" s="62">
        <f t="shared" si="41"/>
        <v>290</v>
      </c>
      <c r="M331" s="304">
        <v>2.21</v>
      </c>
      <c r="N331" s="301">
        <f>VLOOKUP(9905,季財報!A:N,8,0)</f>
        <v>0</v>
      </c>
    </row>
    <row r="332" spans="1:14">
      <c r="A332" s="187">
        <v>8436</v>
      </c>
      <c r="C332">
        <v>69</v>
      </c>
      <c r="D332">
        <v>966</v>
      </c>
      <c r="E332">
        <v>757</v>
      </c>
      <c r="F332">
        <v>1843</v>
      </c>
      <c r="G332">
        <v>100</v>
      </c>
      <c r="H332" s="200">
        <v>0.04</v>
      </c>
      <c r="I332">
        <f t="shared" si="39"/>
        <v>330</v>
      </c>
      <c r="J332" s="193">
        <v>0.04</v>
      </c>
      <c r="K332">
        <f t="shared" si="40"/>
        <v>220</v>
      </c>
      <c r="L332" s="62">
        <f t="shared" si="41"/>
        <v>290</v>
      </c>
      <c r="M332" s="304">
        <v>2.09</v>
      </c>
      <c r="N332" s="301">
        <f>VLOOKUP(8436,季財報!A:N,8,0)</f>
        <v>4</v>
      </c>
    </row>
    <row r="333" spans="1:14">
      <c r="A333" s="187">
        <v>4305</v>
      </c>
      <c r="C333">
        <v>39</v>
      </c>
      <c r="D333">
        <v>610</v>
      </c>
      <c r="E333">
        <v>304</v>
      </c>
      <c r="F333">
        <v>908</v>
      </c>
      <c r="G333">
        <v>0</v>
      </c>
      <c r="H333" s="200">
        <v>0.04</v>
      </c>
      <c r="I333">
        <f t="shared" si="39"/>
        <v>330</v>
      </c>
      <c r="J333" s="193">
        <v>0.04</v>
      </c>
      <c r="K333">
        <f t="shared" si="40"/>
        <v>220</v>
      </c>
      <c r="L333" s="62">
        <f t="shared" si="41"/>
        <v>290</v>
      </c>
      <c r="M333" s="304">
        <v>2.09</v>
      </c>
      <c r="N333" s="301">
        <f>VLOOKUP(4305,季財報!A:N,8,0)</f>
        <v>4</v>
      </c>
    </row>
    <row r="334" spans="1:14">
      <c r="A334" s="187">
        <v>2317</v>
      </c>
      <c r="C334">
        <v>42989</v>
      </c>
      <c r="D334">
        <v>676147</v>
      </c>
      <c r="E334">
        <v>328891</v>
      </c>
      <c r="F334">
        <v>1027087</v>
      </c>
      <c r="G334">
        <v>127010</v>
      </c>
      <c r="H334" s="200">
        <v>0.04</v>
      </c>
      <c r="I334">
        <f t="shared" si="39"/>
        <v>330</v>
      </c>
      <c r="J334" s="193">
        <v>0.04</v>
      </c>
      <c r="K334">
        <f t="shared" si="40"/>
        <v>220</v>
      </c>
      <c r="L334" s="62">
        <f t="shared" si="41"/>
        <v>290</v>
      </c>
      <c r="M334" s="304">
        <v>2.09</v>
      </c>
      <c r="N334" s="301">
        <f>VLOOKUP(2317,季財報!A:N,8,0)</f>
        <v>1</v>
      </c>
    </row>
    <row r="335" spans="1:14">
      <c r="A335" s="187">
        <v>2348</v>
      </c>
      <c r="C335">
        <v>55</v>
      </c>
      <c r="D335">
        <v>1449</v>
      </c>
      <c r="E335">
        <v>1</v>
      </c>
      <c r="F335">
        <v>1113</v>
      </c>
      <c r="G335">
        <v>314</v>
      </c>
      <c r="H335" s="200">
        <v>0.04</v>
      </c>
      <c r="I335">
        <f t="shared" si="39"/>
        <v>330</v>
      </c>
      <c r="J335" s="193">
        <v>0.04</v>
      </c>
      <c r="K335">
        <f t="shared" si="40"/>
        <v>220</v>
      </c>
      <c r="L335" s="62">
        <f t="shared" si="41"/>
        <v>290</v>
      </c>
      <c r="M335" s="304">
        <v>2.09</v>
      </c>
      <c r="N335" s="301">
        <f>VLOOKUP(2348,季財報!A:N,8,0)</f>
        <v>2</v>
      </c>
    </row>
    <row r="336" spans="1:14">
      <c r="A336" s="187">
        <v>2360</v>
      </c>
      <c r="C336">
        <v>377</v>
      </c>
      <c r="D336">
        <v>6252</v>
      </c>
      <c r="E336">
        <v>2782</v>
      </c>
      <c r="F336">
        <v>9390</v>
      </c>
      <c r="G336">
        <v>858</v>
      </c>
      <c r="H336" s="200">
        <v>0.04</v>
      </c>
      <c r="I336">
        <f t="shared" si="39"/>
        <v>330</v>
      </c>
      <c r="J336" s="193">
        <v>0.04</v>
      </c>
      <c r="K336">
        <f t="shared" si="40"/>
        <v>220</v>
      </c>
      <c r="L336" s="62">
        <f t="shared" si="41"/>
        <v>290</v>
      </c>
      <c r="M336" s="304">
        <v>2.09</v>
      </c>
      <c r="N336" s="301">
        <f>VLOOKUP(2360,季財報!A:N,8,0)</f>
        <v>1</v>
      </c>
    </row>
    <row r="337" spans="1:14">
      <c r="A337" s="187">
        <v>3642</v>
      </c>
      <c r="C337">
        <v>28</v>
      </c>
      <c r="D337">
        <v>582</v>
      </c>
      <c r="E337">
        <v>137</v>
      </c>
      <c r="F337">
        <v>674</v>
      </c>
      <c r="G337">
        <v>0</v>
      </c>
      <c r="H337" s="200">
        <v>0.04</v>
      </c>
      <c r="I337">
        <f t="shared" si="39"/>
        <v>330</v>
      </c>
      <c r="J337" s="193">
        <v>0.04</v>
      </c>
      <c r="K337">
        <f t="shared" si="40"/>
        <v>220</v>
      </c>
      <c r="L337" s="62">
        <f t="shared" si="41"/>
        <v>290</v>
      </c>
      <c r="M337" s="304">
        <v>2.09</v>
      </c>
      <c r="N337" s="301">
        <f>VLOOKUP(3642,季財報!A:N,8,0)</f>
        <v>1</v>
      </c>
    </row>
    <row r="338" spans="1:14">
      <c r="A338" s="187">
        <v>5312</v>
      </c>
      <c r="C338">
        <v>47</v>
      </c>
      <c r="D338">
        <v>194</v>
      </c>
      <c r="E338">
        <v>310</v>
      </c>
      <c r="F338">
        <v>2252</v>
      </c>
      <c r="G338">
        <v>0</v>
      </c>
      <c r="H338" s="200">
        <v>0.09</v>
      </c>
      <c r="I338">
        <f>RANK(0.09,H:H,0)</f>
        <v>63</v>
      </c>
      <c r="J338" s="193">
        <v>0.02</v>
      </c>
      <c r="K338">
        <f>RANK(0.02,J:J,0)</f>
        <v>496</v>
      </c>
      <c r="L338" s="62">
        <f>RANK(2.72,M:M,0)</f>
        <v>337</v>
      </c>
      <c r="M338" s="304">
        <v>2.09</v>
      </c>
      <c r="N338" s="301">
        <f>VLOOKUP(5312,季財報!A:N,8,0)</f>
        <v>4</v>
      </c>
    </row>
    <row r="339" spans="1:14">
      <c r="A339" s="187">
        <v>9911</v>
      </c>
      <c r="C339">
        <v>133</v>
      </c>
      <c r="D339">
        <v>1292</v>
      </c>
      <c r="E339">
        <v>1396</v>
      </c>
      <c r="F339">
        <v>4156</v>
      </c>
      <c r="G339">
        <v>50</v>
      </c>
      <c r="H339" s="200">
        <v>0.05</v>
      </c>
      <c r="I339">
        <f t="shared" ref="I339:I359" si="42">RANK(0.05,H:H,0)</f>
        <v>231</v>
      </c>
      <c r="J339" s="193">
        <v>0.03</v>
      </c>
      <c r="K339">
        <f t="shared" ref="K339:K359" si="43">RANK(0.03,J:J,0)</f>
        <v>334</v>
      </c>
      <c r="L339" s="62">
        <f t="shared" ref="L339:L359" si="44">RANK(2.69,M:M,0)</f>
        <v>338</v>
      </c>
      <c r="M339" s="304">
        <v>2.09</v>
      </c>
      <c r="N339" s="301">
        <f>VLOOKUP(9911,季財報!A:N,8,0)</f>
        <v>2</v>
      </c>
    </row>
    <row r="340" spans="1:14">
      <c r="A340" s="187">
        <v>8404</v>
      </c>
      <c r="C340">
        <v>163</v>
      </c>
      <c r="D340">
        <v>2049</v>
      </c>
      <c r="E340">
        <v>1573</v>
      </c>
      <c r="F340">
        <v>4737</v>
      </c>
      <c r="G340">
        <v>1234</v>
      </c>
      <c r="H340" s="200">
        <v>0.05</v>
      </c>
      <c r="I340">
        <f t="shared" si="42"/>
        <v>231</v>
      </c>
      <c r="J340" s="193">
        <v>0.03</v>
      </c>
      <c r="K340">
        <f t="shared" si="43"/>
        <v>334</v>
      </c>
      <c r="L340" s="62">
        <f t="shared" si="44"/>
        <v>338</v>
      </c>
      <c r="M340" s="304">
        <v>1.9</v>
      </c>
      <c r="N340" s="301">
        <f>VLOOKUP(8404,季財報!A:N,8,0)</f>
        <v>2</v>
      </c>
    </row>
    <row r="341" spans="1:14">
      <c r="A341" s="187">
        <v>6183</v>
      </c>
      <c r="C341">
        <v>68</v>
      </c>
      <c r="D341">
        <v>867</v>
      </c>
      <c r="E341">
        <v>568</v>
      </c>
      <c r="F341">
        <v>2014</v>
      </c>
      <c r="G341">
        <v>3</v>
      </c>
      <c r="H341" s="200">
        <v>0.05</v>
      </c>
      <c r="I341">
        <f t="shared" si="42"/>
        <v>231</v>
      </c>
      <c r="J341" s="193">
        <v>0.03</v>
      </c>
      <c r="K341">
        <f t="shared" si="43"/>
        <v>334</v>
      </c>
      <c r="L341" s="62">
        <f t="shared" si="44"/>
        <v>338</v>
      </c>
      <c r="M341" s="304">
        <v>1.9</v>
      </c>
      <c r="N341" s="301">
        <f>VLOOKUP(6183,季財報!A:N,8,0)</f>
        <v>1</v>
      </c>
    </row>
    <row r="342" spans="1:14">
      <c r="A342" s="187">
        <v>6207</v>
      </c>
      <c r="C342">
        <v>80</v>
      </c>
      <c r="D342">
        <v>1270</v>
      </c>
      <c r="E342">
        <v>243</v>
      </c>
      <c r="F342">
        <v>1594</v>
      </c>
      <c r="G342">
        <v>1177</v>
      </c>
      <c r="H342" s="200">
        <v>0.05</v>
      </c>
      <c r="I342">
        <f t="shared" si="42"/>
        <v>231</v>
      </c>
      <c r="J342" s="193">
        <v>0.03</v>
      </c>
      <c r="K342">
        <f t="shared" si="43"/>
        <v>334</v>
      </c>
      <c r="L342" s="62">
        <f t="shared" si="44"/>
        <v>338</v>
      </c>
      <c r="M342" s="304">
        <v>1.9</v>
      </c>
      <c r="N342" s="301">
        <f>VLOOKUP(6207,季財報!A:N,8,0)</f>
        <v>4</v>
      </c>
    </row>
    <row r="343" spans="1:14">
      <c r="A343" s="187">
        <v>6166</v>
      </c>
      <c r="C343">
        <v>157</v>
      </c>
      <c r="D343">
        <v>1870</v>
      </c>
      <c r="E343">
        <v>1128</v>
      </c>
      <c r="F343">
        <v>3815</v>
      </c>
      <c r="G343">
        <v>1093</v>
      </c>
      <c r="H343" s="200">
        <v>0.05</v>
      </c>
      <c r="I343">
        <f t="shared" si="42"/>
        <v>231</v>
      </c>
      <c r="J343" s="193">
        <v>0.03</v>
      </c>
      <c r="K343">
        <f t="shared" si="43"/>
        <v>334</v>
      </c>
      <c r="L343" s="62">
        <f t="shared" si="44"/>
        <v>338</v>
      </c>
      <c r="M343" s="304">
        <v>1.9</v>
      </c>
      <c r="N343" s="301">
        <f>VLOOKUP(6166,季財報!A:N,8,0)</f>
        <v>2</v>
      </c>
    </row>
    <row r="344" spans="1:14">
      <c r="A344" s="187">
        <v>4528</v>
      </c>
      <c r="C344">
        <v>79</v>
      </c>
      <c r="D344">
        <v>57</v>
      </c>
      <c r="E344">
        <v>1689</v>
      </c>
      <c r="F344">
        <v>1647</v>
      </c>
      <c r="G344">
        <v>794</v>
      </c>
      <c r="H344" s="200">
        <v>0.05</v>
      </c>
      <c r="I344">
        <f t="shared" si="42"/>
        <v>231</v>
      </c>
      <c r="J344" s="193">
        <v>0.03</v>
      </c>
      <c r="K344">
        <f t="shared" si="43"/>
        <v>334</v>
      </c>
      <c r="L344" s="62">
        <f t="shared" si="44"/>
        <v>338</v>
      </c>
      <c r="M344" s="304">
        <v>1.9</v>
      </c>
      <c r="N344" s="301">
        <f>VLOOKUP(4528,季財報!A:N,8,0)</f>
        <v>2</v>
      </c>
    </row>
    <row r="345" spans="1:14">
      <c r="A345" s="187">
        <v>1513</v>
      </c>
      <c r="C345">
        <v>292</v>
      </c>
      <c r="D345">
        <v>2691</v>
      </c>
      <c r="E345">
        <v>3387</v>
      </c>
      <c r="F345">
        <v>7690</v>
      </c>
      <c r="G345">
        <v>2323</v>
      </c>
      <c r="H345" s="200">
        <v>0.05</v>
      </c>
      <c r="I345">
        <f t="shared" si="42"/>
        <v>231</v>
      </c>
      <c r="J345" s="193">
        <v>0.03</v>
      </c>
      <c r="K345">
        <f t="shared" si="43"/>
        <v>334</v>
      </c>
      <c r="L345" s="62">
        <f t="shared" si="44"/>
        <v>338</v>
      </c>
      <c r="M345" s="304">
        <v>1.9</v>
      </c>
      <c r="N345" s="301">
        <f>VLOOKUP(1513,季財報!A:N,8,0)</f>
        <v>2</v>
      </c>
    </row>
    <row r="346" spans="1:14">
      <c r="A346" s="187">
        <v>1515</v>
      </c>
      <c r="C346">
        <v>131</v>
      </c>
      <c r="D346">
        <v>449</v>
      </c>
      <c r="E346">
        <v>2344</v>
      </c>
      <c r="F346">
        <v>2449</v>
      </c>
      <c r="G346">
        <v>1341</v>
      </c>
      <c r="H346" s="200">
        <v>0.05</v>
      </c>
      <c r="I346">
        <f t="shared" si="42"/>
        <v>231</v>
      </c>
      <c r="J346" s="193">
        <v>0.03</v>
      </c>
      <c r="K346">
        <f t="shared" si="43"/>
        <v>334</v>
      </c>
      <c r="L346" s="62">
        <f t="shared" si="44"/>
        <v>338</v>
      </c>
      <c r="M346" s="304">
        <v>1.9</v>
      </c>
      <c r="N346" s="301">
        <f>VLOOKUP(1515,季財報!A:N,8,0)</f>
        <v>5</v>
      </c>
    </row>
    <row r="347" spans="1:14">
      <c r="A347" s="187">
        <v>1590</v>
      </c>
      <c r="C347">
        <v>574</v>
      </c>
      <c r="D347">
        <v>327</v>
      </c>
      <c r="E347">
        <v>12089</v>
      </c>
      <c r="F347">
        <v>10421</v>
      </c>
      <c r="G347">
        <v>6899</v>
      </c>
      <c r="H347" s="200">
        <v>0.05</v>
      </c>
      <c r="I347">
        <f t="shared" si="42"/>
        <v>231</v>
      </c>
      <c r="J347" s="193">
        <v>0.03</v>
      </c>
      <c r="K347">
        <f t="shared" si="43"/>
        <v>334</v>
      </c>
      <c r="L347" s="62">
        <f t="shared" si="44"/>
        <v>338</v>
      </c>
      <c r="M347" s="304">
        <v>1.9</v>
      </c>
      <c r="N347" s="301">
        <f>VLOOKUP(1590,季財報!A:N,8,0)</f>
        <v>1</v>
      </c>
    </row>
    <row r="348" spans="1:14">
      <c r="A348" s="187">
        <v>1795</v>
      </c>
      <c r="C348">
        <v>243</v>
      </c>
      <c r="D348">
        <v>2638</v>
      </c>
      <c r="E348">
        <v>1931</v>
      </c>
      <c r="F348">
        <v>8749</v>
      </c>
      <c r="G348">
        <v>640</v>
      </c>
      <c r="H348" s="200">
        <v>0.05</v>
      </c>
      <c r="I348">
        <f t="shared" si="42"/>
        <v>231</v>
      </c>
      <c r="J348" s="193">
        <v>0.03</v>
      </c>
      <c r="K348">
        <f t="shared" si="43"/>
        <v>334</v>
      </c>
      <c r="L348" s="62">
        <f t="shared" si="44"/>
        <v>338</v>
      </c>
      <c r="M348" s="304">
        <v>1.9</v>
      </c>
      <c r="N348" s="301">
        <f>VLOOKUP(1795,季財報!A:N,8,0)</f>
        <v>4</v>
      </c>
    </row>
    <row r="349" spans="1:14">
      <c r="A349" s="187">
        <v>2357</v>
      </c>
      <c r="C349">
        <v>5253</v>
      </c>
      <c r="D349">
        <v>89829</v>
      </c>
      <c r="E349">
        <v>9269</v>
      </c>
      <c r="F349">
        <v>169334</v>
      </c>
      <c r="G349">
        <v>3913</v>
      </c>
      <c r="H349" s="200">
        <v>0.05</v>
      </c>
      <c r="I349">
        <f t="shared" si="42"/>
        <v>231</v>
      </c>
      <c r="J349" s="193">
        <v>0.03</v>
      </c>
      <c r="K349">
        <f t="shared" si="43"/>
        <v>334</v>
      </c>
      <c r="L349" s="62">
        <f t="shared" si="44"/>
        <v>338</v>
      </c>
      <c r="M349" s="304">
        <v>1.9</v>
      </c>
      <c r="N349" s="301">
        <f>VLOOKUP(2357,季財報!A:N,8,0)</f>
        <v>0</v>
      </c>
    </row>
    <row r="350" spans="1:14">
      <c r="A350" s="187">
        <v>2454</v>
      </c>
      <c r="C350">
        <v>7785</v>
      </c>
      <c r="D350">
        <v>116551</v>
      </c>
      <c r="E350">
        <v>30473</v>
      </c>
      <c r="F350">
        <v>237075</v>
      </c>
      <c r="G350">
        <v>57085</v>
      </c>
      <c r="H350" s="200">
        <v>0.05</v>
      </c>
      <c r="I350">
        <f t="shared" si="42"/>
        <v>231</v>
      </c>
      <c r="J350" s="193">
        <v>0.03</v>
      </c>
      <c r="K350">
        <f t="shared" si="43"/>
        <v>334</v>
      </c>
      <c r="L350" s="62">
        <f t="shared" si="44"/>
        <v>338</v>
      </c>
      <c r="M350" s="304">
        <v>1.9</v>
      </c>
      <c r="N350" s="301">
        <f>VLOOKUP(2454,季財報!A:N,8,0)</f>
        <v>1</v>
      </c>
    </row>
    <row r="351" spans="1:14">
      <c r="A351" s="187">
        <v>2923</v>
      </c>
      <c r="C351">
        <v>1953</v>
      </c>
      <c r="D351">
        <v>34791</v>
      </c>
      <c r="E351">
        <v>992</v>
      </c>
      <c r="F351">
        <v>58608</v>
      </c>
      <c r="G351">
        <v>5142</v>
      </c>
      <c r="H351" s="200">
        <v>0.05</v>
      </c>
      <c r="I351">
        <f t="shared" si="42"/>
        <v>231</v>
      </c>
      <c r="J351" s="193">
        <v>0.03</v>
      </c>
      <c r="K351">
        <f t="shared" si="43"/>
        <v>334</v>
      </c>
      <c r="L351" s="62">
        <f t="shared" si="44"/>
        <v>338</v>
      </c>
      <c r="M351" s="304">
        <v>1.9</v>
      </c>
      <c r="N351" s="301">
        <f>VLOOKUP(2923,季財報!A:N,8,0)</f>
        <v>4</v>
      </c>
    </row>
    <row r="352" spans="1:14">
      <c r="A352" s="187">
        <v>3035</v>
      </c>
      <c r="C352">
        <v>184</v>
      </c>
      <c r="D352">
        <v>2889</v>
      </c>
      <c r="E352">
        <v>596</v>
      </c>
      <c r="F352">
        <v>5207</v>
      </c>
      <c r="G352">
        <v>152</v>
      </c>
      <c r="H352" s="200">
        <v>0.05</v>
      </c>
      <c r="I352">
        <f t="shared" si="42"/>
        <v>231</v>
      </c>
      <c r="J352" s="193">
        <v>0.03</v>
      </c>
      <c r="K352">
        <f t="shared" si="43"/>
        <v>334</v>
      </c>
      <c r="L352" s="62">
        <f t="shared" si="44"/>
        <v>338</v>
      </c>
      <c r="M352" s="304">
        <v>1.9</v>
      </c>
      <c r="N352" s="301">
        <f>VLOOKUP(3035,季財報!A:N,8,0)</f>
        <v>1</v>
      </c>
    </row>
    <row r="353" spans="1:14">
      <c r="A353" s="187">
        <v>3144</v>
      </c>
      <c r="C353">
        <v>68</v>
      </c>
      <c r="D353">
        <v>723</v>
      </c>
      <c r="E353">
        <v>644</v>
      </c>
      <c r="F353">
        <v>1353</v>
      </c>
      <c r="G353">
        <v>667</v>
      </c>
      <c r="H353" s="200">
        <v>0.05</v>
      </c>
      <c r="I353">
        <f t="shared" si="42"/>
        <v>231</v>
      </c>
      <c r="J353" s="193">
        <v>0.03</v>
      </c>
      <c r="K353">
        <f t="shared" si="43"/>
        <v>334</v>
      </c>
      <c r="L353" s="62">
        <f t="shared" si="44"/>
        <v>338</v>
      </c>
      <c r="M353" s="304">
        <v>1.9</v>
      </c>
      <c r="N353" s="301">
        <f>VLOOKUP(3144,季財報!A:N,8,0)</f>
        <v>2</v>
      </c>
    </row>
    <row r="354" spans="1:14">
      <c r="A354" s="187">
        <v>3294</v>
      </c>
      <c r="C354">
        <v>126</v>
      </c>
      <c r="D354">
        <v>1079</v>
      </c>
      <c r="E354">
        <v>1415</v>
      </c>
      <c r="F354">
        <v>2649</v>
      </c>
      <c r="G354">
        <v>1349</v>
      </c>
      <c r="H354" s="200">
        <v>0.05</v>
      </c>
      <c r="I354">
        <f t="shared" si="42"/>
        <v>231</v>
      </c>
      <c r="J354" s="193">
        <v>0.03</v>
      </c>
      <c r="K354">
        <f t="shared" si="43"/>
        <v>334</v>
      </c>
      <c r="L354" s="62">
        <f t="shared" si="44"/>
        <v>338</v>
      </c>
      <c r="M354" s="304">
        <v>1.9</v>
      </c>
      <c r="N354" s="301">
        <f>VLOOKUP(3294,季財報!A:N,8,0)</f>
        <v>5</v>
      </c>
    </row>
    <row r="355" spans="1:14">
      <c r="A355" s="187">
        <v>6123</v>
      </c>
      <c r="C355">
        <v>61</v>
      </c>
      <c r="D355">
        <v>484</v>
      </c>
      <c r="E355">
        <v>718</v>
      </c>
      <c r="F355">
        <v>1302</v>
      </c>
      <c r="G355">
        <v>755</v>
      </c>
      <c r="H355" s="200">
        <v>0.05</v>
      </c>
      <c r="I355">
        <f t="shared" si="42"/>
        <v>231</v>
      </c>
      <c r="J355" s="193">
        <v>0.03</v>
      </c>
      <c r="K355">
        <f t="shared" si="43"/>
        <v>334</v>
      </c>
      <c r="L355" s="62">
        <f t="shared" si="44"/>
        <v>338</v>
      </c>
      <c r="M355" s="304">
        <v>1.9</v>
      </c>
      <c r="N355" s="301">
        <f>VLOOKUP(6123,季財報!A:N,8,0)</f>
        <v>3</v>
      </c>
    </row>
    <row r="356" spans="1:14">
      <c r="A356" s="187">
        <v>6128</v>
      </c>
      <c r="C356">
        <v>95</v>
      </c>
      <c r="D356">
        <v>0</v>
      </c>
      <c r="E356">
        <v>1769</v>
      </c>
      <c r="F356">
        <v>1751</v>
      </c>
      <c r="G356">
        <v>1199</v>
      </c>
      <c r="H356" s="200">
        <v>0.05</v>
      </c>
      <c r="I356">
        <f t="shared" si="42"/>
        <v>231</v>
      </c>
      <c r="J356" s="193">
        <v>0.03</v>
      </c>
      <c r="K356">
        <f t="shared" si="43"/>
        <v>334</v>
      </c>
      <c r="L356" s="62">
        <f t="shared" si="44"/>
        <v>338</v>
      </c>
      <c r="M356" s="304">
        <v>1.9</v>
      </c>
      <c r="N356" s="301">
        <f>VLOOKUP(6128,季財報!A:N,8,0)</f>
        <v>3</v>
      </c>
    </row>
    <row r="357" spans="1:14">
      <c r="A357" s="187">
        <v>6227</v>
      </c>
      <c r="C357">
        <v>65</v>
      </c>
      <c r="D357">
        <v>1218</v>
      </c>
      <c r="E357">
        <v>5</v>
      </c>
      <c r="F357">
        <v>1351</v>
      </c>
      <c r="G357">
        <v>798</v>
      </c>
      <c r="H357" s="200">
        <v>0.05</v>
      </c>
      <c r="I357">
        <f t="shared" si="42"/>
        <v>231</v>
      </c>
      <c r="J357" s="193">
        <v>0.03</v>
      </c>
      <c r="K357">
        <f t="shared" si="43"/>
        <v>334</v>
      </c>
      <c r="L357" s="62">
        <f t="shared" si="44"/>
        <v>338</v>
      </c>
      <c r="M357" s="304">
        <v>1.9</v>
      </c>
      <c r="N357" s="301">
        <f>VLOOKUP(6227,季財報!A:N,8,0)</f>
        <v>2</v>
      </c>
    </row>
    <row r="358" spans="1:14">
      <c r="A358" s="187">
        <v>6221</v>
      </c>
      <c r="C358">
        <v>28</v>
      </c>
      <c r="D358">
        <v>464</v>
      </c>
      <c r="E358">
        <v>141</v>
      </c>
      <c r="F358">
        <v>590</v>
      </c>
      <c r="G358">
        <v>393</v>
      </c>
      <c r="H358" s="200">
        <v>0.05</v>
      </c>
      <c r="I358">
        <f t="shared" si="42"/>
        <v>231</v>
      </c>
      <c r="J358" s="193">
        <v>0.03</v>
      </c>
      <c r="K358">
        <f t="shared" si="43"/>
        <v>334</v>
      </c>
      <c r="L358" s="62">
        <f t="shared" si="44"/>
        <v>338</v>
      </c>
      <c r="M358" s="304">
        <v>1.9</v>
      </c>
      <c r="N358" s="301">
        <f>VLOOKUP(6221,季財報!A:N,8,0)</f>
        <v>2</v>
      </c>
    </row>
    <row r="359" spans="1:14">
      <c r="A359" s="187">
        <v>4551</v>
      </c>
      <c r="C359">
        <v>106</v>
      </c>
      <c r="D359">
        <v>294</v>
      </c>
      <c r="E359">
        <v>1697</v>
      </c>
      <c r="F359">
        <v>2662</v>
      </c>
      <c r="G359">
        <v>1196</v>
      </c>
      <c r="H359" s="200">
        <v>0.05</v>
      </c>
      <c r="I359">
        <f t="shared" si="42"/>
        <v>231</v>
      </c>
      <c r="J359" s="193">
        <v>0.03</v>
      </c>
      <c r="K359">
        <f t="shared" si="43"/>
        <v>334</v>
      </c>
      <c r="L359" s="62">
        <f t="shared" si="44"/>
        <v>338</v>
      </c>
      <c r="M359" s="304">
        <v>1.9</v>
      </c>
      <c r="N359" s="301">
        <f>VLOOKUP(4551,季財報!A:N,8,0)</f>
        <v>2</v>
      </c>
    </row>
    <row r="360" spans="1:14">
      <c r="A360" s="187">
        <v>1323</v>
      </c>
      <c r="C360">
        <v>94</v>
      </c>
      <c r="D360">
        <v>1350</v>
      </c>
      <c r="E360">
        <v>1568</v>
      </c>
      <c r="F360">
        <v>1907</v>
      </c>
      <c r="G360">
        <v>33</v>
      </c>
      <c r="H360" s="200">
        <v>0.03</v>
      </c>
      <c r="I360">
        <f>RANK(0.03,H:H,0)</f>
        <v>466</v>
      </c>
      <c r="J360" s="193">
        <v>0.05</v>
      </c>
      <c r="K360">
        <f>RANK(0.05,J:J,0)</f>
        <v>135</v>
      </c>
      <c r="L360" s="62">
        <f>RANK(2.53,M:M,0)</f>
        <v>359</v>
      </c>
      <c r="M360" s="304">
        <v>1.9</v>
      </c>
      <c r="N360" s="301">
        <f>VLOOKUP(1323,季財報!A:N,8,0)</f>
        <v>2</v>
      </c>
    </row>
    <row r="361" spans="1:14">
      <c r="A361" s="187">
        <v>2618</v>
      </c>
      <c r="C361">
        <v>3541</v>
      </c>
      <c r="D361">
        <v>0</v>
      </c>
      <c r="E361">
        <v>114030</v>
      </c>
      <c r="F361">
        <v>55640</v>
      </c>
      <c r="G361">
        <v>20245</v>
      </c>
      <c r="H361" s="200">
        <v>0.03</v>
      </c>
      <c r="I361">
        <f>RANK(0.03,H:H,0)</f>
        <v>466</v>
      </c>
      <c r="J361" s="193">
        <v>0.05</v>
      </c>
      <c r="K361">
        <f>RANK(0.05,J:J,0)</f>
        <v>135</v>
      </c>
      <c r="L361" s="62">
        <f>RANK(2.53,M:M,0)</f>
        <v>359</v>
      </c>
      <c r="M361" s="304">
        <v>1.9</v>
      </c>
      <c r="N361" s="301">
        <f>VLOOKUP(2618,季財報!A:N,8,0)</f>
        <v>5</v>
      </c>
    </row>
    <row r="362" spans="1:14">
      <c r="A362" s="187">
        <v>8076</v>
      </c>
      <c r="C362">
        <v>95</v>
      </c>
      <c r="D362">
        <v>885</v>
      </c>
      <c r="E362">
        <v>384</v>
      </c>
      <c r="F362">
        <v>4567</v>
      </c>
      <c r="G362">
        <v>1485</v>
      </c>
      <c r="H362" s="200">
        <v>7.0000000000000007E-2</v>
      </c>
      <c r="I362">
        <f>RANK(0.07,H:H,0)</f>
        <v>107</v>
      </c>
      <c r="J362" s="193">
        <v>0.02</v>
      </c>
      <c r="K362">
        <f>RANK(0.02,J:J,0)</f>
        <v>496</v>
      </c>
      <c r="L362" s="62">
        <f>RANK(2.52,M:M,0)</f>
        <v>361</v>
      </c>
      <c r="M362" s="304">
        <v>1.9</v>
      </c>
      <c r="N362" s="301">
        <f>VLOOKUP(8076,季財報!A:N,8,0)</f>
        <v>3</v>
      </c>
    </row>
    <row r="363" spans="1:14">
      <c r="A363" s="187">
        <v>6298</v>
      </c>
      <c r="C363">
        <v>74</v>
      </c>
      <c r="D363">
        <v>832</v>
      </c>
      <c r="E363">
        <v>200</v>
      </c>
      <c r="F363">
        <v>2895</v>
      </c>
      <c r="G363">
        <v>270</v>
      </c>
      <c r="H363" s="200">
        <v>7.0000000000000007E-2</v>
      </c>
      <c r="I363">
        <f>RANK(0.07,H:H,0)</f>
        <v>107</v>
      </c>
      <c r="J363" s="193">
        <v>0.02</v>
      </c>
      <c r="K363">
        <f>RANK(0.02,J:J,0)</f>
        <v>496</v>
      </c>
      <c r="L363" s="62">
        <f>RANK(2.52,M:M,0)</f>
        <v>361</v>
      </c>
      <c r="M363" s="304">
        <v>1.9</v>
      </c>
      <c r="N363" s="301">
        <f>VLOOKUP(6298,季財報!A:N,8,0)</f>
        <v>3</v>
      </c>
    </row>
    <row r="364" spans="1:14">
      <c r="A364" s="187">
        <v>5530</v>
      </c>
      <c r="C364">
        <v>378</v>
      </c>
      <c r="D364">
        <v>0</v>
      </c>
      <c r="E364">
        <v>6499</v>
      </c>
      <c r="F364">
        <v>9264</v>
      </c>
      <c r="G364">
        <v>6245</v>
      </c>
      <c r="H364" s="200">
        <v>0.06</v>
      </c>
      <c r="I364">
        <f>RANK(0.06,H:H,0)</f>
        <v>155</v>
      </c>
      <c r="J364" s="193">
        <v>0.02</v>
      </c>
      <c r="K364">
        <f>RANK(0.02,J:J,0)</f>
        <v>496</v>
      </c>
      <c r="L364" s="62">
        <f>RANK(2.33,M:M,0)</f>
        <v>363</v>
      </c>
      <c r="M364" s="304">
        <v>1.9</v>
      </c>
      <c r="N364" s="301">
        <f>VLOOKUP(5530,季財報!A:N,8,0)</f>
        <v>2</v>
      </c>
    </row>
    <row r="365" spans="1:14">
      <c r="A365" s="187">
        <v>6139</v>
      </c>
      <c r="C365">
        <v>268</v>
      </c>
      <c r="D365">
        <v>3107</v>
      </c>
      <c r="E365">
        <v>1467</v>
      </c>
      <c r="F365">
        <v>9277</v>
      </c>
      <c r="G365">
        <v>2409</v>
      </c>
      <c r="H365" s="200">
        <v>0.06</v>
      </c>
      <c r="I365">
        <f>RANK(0.06,H:H,0)</f>
        <v>155</v>
      </c>
      <c r="J365" s="193">
        <v>0.02</v>
      </c>
      <c r="K365">
        <f>RANK(0.02,J:J,0)</f>
        <v>496</v>
      </c>
      <c r="L365" s="62">
        <f>RANK(2.33,M:M,0)</f>
        <v>363</v>
      </c>
      <c r="M365" s="304">
        <v>1.9</v>
      </c>
      <c r="N365" s="301">
        <f>VLOOKUP(6139,季財報!A:N,8,0)</f>
        <v>2</v>
      </c>
    </row>
    <row r="366" spans="1:14">
      <c r="A366" s="187">
        <v>3209</v>
      </c>
      <c r="C366">
        <v>138</v>
      </c>
      <c r="D366">
        <v>1787</v>
      </c>
      <c r="E366">
        <v>341</v>
      </c>
      <c r="F366">
        <v>2005</v>
      </c>
      <c r="G366">
        <v>4011</v>
      </c>
      <c r="H366" s="200">
        <v>0.06</v>
      </c>
      <c r="I366">
        <f>RANK(0.06,H:H,0)</f>
        <v>155</v>
      </c>
      <c r="J366" s="193">
        <v>0.02</v>
      </c>
      <c r="K366">
        <f>RANK(0.02,J:J,0)</f>
        <v>496</v>
      </c>
      <c r="L366" s="62">
        <f>RANK(2.33,M:M,0)</f>
        <v>363</v>
      </c>
      <c r="M366" s="304">
        <v>1.9</v>
      </c>
      <c r="N366" s="301">
        <f>VLOOKUP(3209,季財報!A:N,8,0)</f>
        <v>2</v>
      </c>
    </row>
    <row r="367" spans="1:14">
      <c r="A367" s="187">
        <v>8942</v>
      </c>
      <c r="C367">
        <v>247</v>
      </c>
      <c r="D367">
        <v>2173</v>
      </c>
      <c r="E367">
        <v>4080</v>
      </c>
      <c r="F367">
        <v>7013</v>
      </c>
      <c r="G367">
        <v>1775</v>
      </c>
      <c r="H367" s="200">
        <v>0.04</v>
      </c>
      <c r="I367">
        <f t="shared" ref="I367:I413" si="45">RANK(0.04,H:H,0)</f>
        <v>330</v>
      </c>
      <c r="J367" s="193">
        <v>0.03</v>
      </c>
      <c r="K367">
        <f t="shared" ref="K367:K413" si="46">RANK(0.03,J:J,0)</f>
        <v>334</v>
      </c>
      <c r="L367" s="62">
        <f t="shared" ref="L367:L413" si="47">RANK(2.29,M:M,0)</f>
        <v>366</v>
      </c>
      <c r="M367" s="304">
        <v>1.9</v>
      </c>
      <c r="N367" s="301">
        <f>VLOOKUP(8942,季財報!A:N,8,0)</f>
        <v>3</v>
      </c>
    </row>
    <row r="368" spans="1:14">
      <c r="A368" s="187">
        <v>6442</v>
      </c>
      <c r="C368">
        <v>75</v>
      </c>
      <c r="D368">
        <v>1599</v>
      </c>
      <c r="E368">
        <v>462</v>
      </c>
      <c r="F368">
        <v>2205</v>
      </c>
      <c r="G368">
        <v>0</v>
      </c>
      <c r="H368" s="200">
        <v>0.04</v>
      </c>
      <c r="I368">
        <f t="shared" si="45"/>
        <v>330</v>
      </c>
      <c r="J368" s="193">
        <v>0.03</v>
      </c>
      <c r="K368">
        <f t="shared" si="46"/>
        <v>334</v>
      </c>
      <c r="L368" s="62">
        <f t="shared" si="47"/>
        <v>366</v>
      </c>
      <c r="M368" s="304">
        <v>1.9</v>
      </c>
      <c r="N368" s="301">
        <f>VLOOKUP(6442,季財報!A:N,8,0)</f>
        <v>4</v>
      </c>
    </row>
    <row r="369" spans="1:14">
      <c r="A369" s="187">
        <v>6449</v>
      </c>
      <c r="C369">
        <v>54</v>
      </c>
      <c r="D369">
        <v>320</v>
      </c>
      <c r="E369">
        <v>948</v>
      </c>
      <c r="F369">
        <v>1282</v>
      </c>
      <c r="G369">
        <v>640</v>
      </c>
      <c r="H369" s="200">
        <v>0.04</v>
      </c>
      <c r="I369">
        <f t="shared" si="45"/>
        <v>330</v>
      </c>
      <c r="J369" s="193">
        <v>0.03</v>
      </c>
      <c r="K369">
        <f t="shared" si="46"/>
        <v>334</v>
      </c>
      <c r="L369" s="62">
        <f t="shared" si="47"/>
        <v>366</v>
      </c>
      <c r="M369" s="304">
        <v>1.9</v>
      </c>
      <c r="N369" s="301">
        <f>VLOOKUP(6449,季財報!A:N,8,0)</f>
        <v>4</v>
      </c>
    </row>
    <row r="370" spans="1:14">
      <c r="A370" s="187">
        <v>6605</v>
      </c>
      <c r="C370">
        <v>477</v>
      </c>
      <c r="D370">
        <v>1758</v>
      </c>
      <c r="E370">
        <v>11648</v>
      </c>
      <c r="F370">
        <v>10916</v>
      </c>
      <c r="G370">
        <v>4416</v>
      </c>
      <c r="H370" s="200">
        <v>0.04</v>
      </c>
      <c r="I370">
        <f t="shared" si="45"/>
        <v>330</v>
      </c>
      <c r="J370" s="193">
        <v>0.03</v>
      </c>
      <c r="K370">
        <f t="shared" si="46"/>
        <v>334</v>
      </c>
      <c r="L370" s="62">
        <f t="shared" si="47"/>
        <v>366</v>
      </c>
      <c r="M370" s="304">
        <v>1.9</v>
      </c>
      <c r="N370" s="301">
        <f>VLOOKUP(6605,季財報!A:N,8,0)</f>
        <v>4</v>
      </c>
    </row>
    <row r="371" spans="1:14">
      <c r="A371" s="187">
        <v>8088</v>
      </c>
      <c r="C371">
        <v>29</v>
      </c>
      <c r="D371">
        <v>429</v>
      </c>
      <c r="E371">
        <v>382</v>
      </c>
      <c r="F371">
        <v>851</v>
      </c>
      <c r="G371">
        <v>31</v>
      </c>
      <c r="H371" s="200">
        <v>0.04</v>
      </c>
      <c r="I371">
        <f t="shared" si="45"/>
        <v>330</v>
      </c>
      <c r="J371" s="193">
        <v>0.03</v>
      </c>
      <c r="K371">
        <f t="shared" si="46"/>
        <v>334</v>
      </c>
      <c r="L371" s="62">
        <f t="shared" si="47"/>
        <v>366</v>
      </c>
      <c r="M371" s="304">
        <v>1.9</v>
      </c>
      <c r="N371" s="301">
        <f>VLOOKUP(8088,季財報!A:N,8,0)</f>
        <v>2</v>
      </c>
    </row>
    <row r="372" spans="1:14">
      <c r="A372" s="187">
        <v>6104</v>
      </c>
      <c r="C372">
        <v>48</v>
      </c>
      <c r="D372">
        <v>694</v>
      </c>
      <c r="E372">
        <v>475</v>
      </c>
      <c r="F372">
        <v>1377</v>
      </c>
      <c r="G372">
        <v>10</v>
      </c>
      <c r="H372" s="200">
        <v>0.04</v>
      </c>
      <c r="I372">
        <f t="shared" si="45"/>
        <v>330</v>
      </c>
      <c r="J372" s="193">
        <v>0.03</v>
      </c>
      <c r="K372">
        <f t="shared" si="46"/>
        <v>334</v>
      </c>
      <c r="L372" s="62">
        <f t="shared" si="47"/>
        <v>366</v>
      </c>
      <c r="M372" s="304">
        <v>1.9</v>
      </c>
      <c r="N372" s="301">
        <f>VLOOKUP(6104,季財報!A:N,8,0)</f>
        <v>2</v>
      </c>
    </row>
    <row r="373" spans="1:14">
      <c r="A373" s="187">
        <v>6218</v>
      </c>
      <c r="C373">
        <v>33</v>
      </c>
      <c r="D373">
        <v>596</v>
      </c>
      <c r="E373">
        <v>308</v>
      </c>
      <c r="F373">
        <v>1005</v>
      </c>
      <c r="G373">
        <v>100</v>
      </c>
      <c r="H373" s="200">
        <v>0.04</v>
      </c>
      <c r="I373">
        <f t="shared" si="45"/>
        <v>330</v>
      </c>
      <c r="J373" s="193">
        <v>0.03</v>
      </c>
      <c r="K373">
        <f t="shared" si="46"/>
        <v>334</v>
      </c>
      <c r="L373" s="62">
        <f t="shared" si="47"/>
        <v>366</v>
      </c>
      <c r="M373" s="304">
        <v>1.9</v>
      </c>
      <c r="N373" s="301">
        <f>VLOOKUP(6218,季財報!A:N,8,0)</f>
        <v>2</v>
      </c>
    </row>
    <row r="374" spans="1:14">
      <c r="A374" s="187">
        <v>5203</v>
      </c>
      <c r="C374">
        <v>132</v>
      </c>
      <c r="D374">
        <v>2696</v>
      </c>
      <c r="E374">
        <v>466</v>
      </c>
      <c r="F374">
        <v>4441</v>
      </c>
      <c r="G374">
        <v>0</v>
      </c>
      <c r="H374" s="200">
        <v>0.04</v>
      </c>
      <c r="I374">
        <f t="shared" si="45"/>
        <v>330</v>
      </c>
      <c r="J374" s="193">
        <v>0.03</v>
      </c>
      <c r="K374">
        <f t="shared" si="46"/>
        <v>334</v>
      </c>
      <c r="L374" s="62">
        <f t="shared" si="47"/>
        <v>366</v>
      </c>
      <c r="M374" s="304">
        <v>1.9</v>
      </c>
      <c r="N374" s="301">
        <f>VLOOKUP(5203,季財報!A:N,8,0)</f>
        <v>3</v>
      </c>
    </row>
    <row r="375" spans="1:14">
      <c r="A375" s="187">
        <v>5371</v>
      </c>
      <c r="C375">
        <v>941</v>
      </c>
      <c r="D375">
        <v>14921</v>
      </c>
      <c r="E375">
        <v>9118</v>
      </c>
      <c r="F375">
        <v>25420</v>
      </c>
      <c r="G375">
        <v>9509</v>
      </c>
      <c r="H375" s="200">
        <v>0.04</v>
      </c>
      <c r="I375">
        <f t="shared" si="45"/>
        <v>330</v>
      </c>
      <c r="J375" s="193">
        <v>0.03</v>
      </c>
      <c r="K375">
        <f t="shared" si="46"/>
        <v>334</v>
      </c>
      <c r="L375" s="62">
        <f t="shared" si="47"/>
        <v>366</v>
      </c>
      <c r="M375" s="304">
        <v>1.9</v>
      </c>
      <c r="N375" s="301">
        <f>VLOOKUP(5371,季財報!A:N,8,0)</f>
        <v>1</v>
      </c>
    </row>
    <row r="376" spans="1:14">
      <c r="A376" s="187">
        <v>4527</v>
      </c>
      <c r="C376">
        <v>51</v>
      </c>
      <c r="D376">
        <v>779</v>
      </c>
      <c r="E376">
        <v>547</v>
      </c>
      <c r="F376">
        <v>1310</v>
      </c>
      <c r="G376">
        <v>190</v>
      </c>
      <c r="H376" s="200">
        <v>0.04</v>
      </c>
      <c r="I376">
        <f t="shared" si="45"/>
        <v>330</v>
      </c>
      <c r="J376" s="193">
        <v>0.03</v>
      </c>
      <c r="K376">
        <f t="shared" si="46"/>
        <v>334</v>
      </c>
      <c r="L376" s="62">
        <f t="shared" si="47"/>
        <v>366</v>
      </c>
      <c r="M376" s="304">
        <v>1.9</v>
      </c>
      <c r="N376" s="301">
        <f>VLOOKUP(4527,季財報!A:N,8,0)</f>
        <v>1</v>
      </c>
    </row>
    <row r="377" spans="1:14">
      <c r="A377" s="187">
        <v>4536</v>
      </c>
      <c r="C377">
        <v>184</v>
      </c>
      <c r="D377">
        <v>2319</v>
      </c>
      <c r="E377">
        <v>2849</v>
      </c>
      <c r="F377">
        <v>5135</v>
      </c>
      <c r="G377">
        <v>1521</v>
      </c>
      <c r="H377" s="200">
        <v>0.04</v>
      </c>
      <c r="I377">
        <f t="shared" si="45"/>
        <v>330</v>
      </c>
      <c r="J377" s="193">
        <v>0.03</v>
      </c>
      <c r="K377">
        <f t="shared" si="46"/>
        <v>334</v>
      </c>
      <c r="L377" s="62">
        <f t="shared" si="47"/>
        <v>366</v>
      </c>
      <c r="M377" s="304">
        <v>1.9</v>
      </c>
      <c r="N377" s="301">
        <f>VLOOKUP(4536,季財報!A:N,8,0)</f>
        <v>5</v>
      </c>
    </row>
    <row r="378" spans="1:14">
      <c r="A378" s="187">
        <v>1216</v>
      </c>
      <c r="C378">
        <v>6723</v>
      </c>
      <c r="D378">
        <v>0</v>
      </c>
      <c r="E378">
        <v>162028</v>
      </c>
      <c r="F378">
        <v>156804</v>
      </c>
      <c r="G378">
        <v>65001</v>
      </c>
      <c r="H378" s="200">
        <v>0.04</v>
      </c>
      <c r="I378">
        <f t="shared" si="45"/>
        <v>330</v>
      </c>
      <c r="J378" s="193">
        <v>0.03</v>
      </c>
      <c r="K378">
        <f t="shared" si="46"/>
        <v>334</v>
      </c>
      <c r="L378" s="62">
        <f t="shared" si="47"/>
        <v>366</v>
      </c>
      <c r="M378" s="304">
        <v>1.9</v>
      </c>
      <c r="N378" s="301">
        <f>VLOOKUP(1216,季財報!A:N,8,0)</f>
        <v>4</v>
      </c>
    </row>
    <row r="379" spans="1:14">
      <c r="A379" s="187">
        <v>1338</v>
      </c>
      <c r="C379">
        <v>224</v>
      </c>
      <c r="D379">
        <v>3113</v>
      </c>
      <c r="E379">
        <v>2596</v>
      </c>
      <c r="F379">
        <v>6530</v>
      </c>
      <c r="G379">
        <v>545</v>
      </c>
      <c r="H379" s="200">
        <v>0.04</v>
      </c>
      <c r="I379">
        <f t="shared" si="45"/>
        <v>330</v>
      </c>
      <c r="J379" s="193">
        <v>0.03</v>
      </c>
      <c r="K379">
        <f t="shared" si="46"/>
        <v>334</v>
      </c>
      <c r="L379" s="62">
        <f t="shared" si="47"/>
        <v>366</v>
      </c>
      <c r="M379" s="304">
        <v>1.9</v>
      </c>
      <c r="N379" s="301">
        <f>VLOOKUP(1338,季財報!A:N,8,0)</f>
        <v>2</v>
      </c>
    </row>
    <row r="380" spans="1:14">
      <c r="A380" s="187">
        <v>1410</v>
      </c>
      <c r="C380">
        <v>37</v>
      </c>
      <c r="D380">
        <v>586</v>
      </c>
      <c r="E380">
        <v>296</v>
      </c>
      <c r="F380">
        <v>1217</v>
      </c>
      <c r="G380">
        <v>0</v>
      </c>
      <c r="H380" s="200">
        <v>0.04</v>
      </c>
      <c r="I380">
        <f t="shared" si="45"/>
        <v>330</v>
      </c>
      <c r="J380" s="193">
        <v>0.03</v>
      </c>
      <c r="K380">
        <f t="shared" si="46"/>
        <v>334</v>
      </c>
      <c r="L380" s="62">
        <f t="shared" si="47"/>
        <v>366</v>
      </c>
      <c r="M380" s="304">
        <v>1.9</v>
      </c>
      <c r="N380" s="301">
        <f>VLOOKUP(1410,季財報!A:N,8,0)</f>
        <v>2</v>
      </c>
    </row>
    <row r="381" spans="1:14">
      <c r="A381" s="187">
        <v>1451</v>
      </c>
      <c r="C381">
        <v>304</v>
      </c>
      <c r="D381">
        <v>5203</v>
      </c>
      <c r="E381">
        <v>3074</v>
      </c>
      <c r="F381">
        <v>9752</v>
      </c>
      <c r="G381">
        <v>664</v>
      </c>
      <c r="H381" s="200">
        <v>0.04</v>
      </c>
      <c r="I381">
        <f t="shared" si="45"/>
        <v>330</v>
      </c>
      <c r="J381" s="193">
        <v>0.03</v>
      </c>
      <c r="K381">
        <f t="shared" si="46"/>
        <v>334</v>
      </c>
      <c r="L381" s="62">
        <f t="shared" si="47"/>
        <v>366</v>
      </c>
      <c r="M381" s="304">
        <v>1.9</v>
      </c>
      <c r="N381" s="301">
        <f>VLOOKUP(1451,季財報!A:N,8,0)</f>
        <v>3</v>
      </c>
    </row>
    <row r="382" spans="1:14">
      <c r="A382" s="187">
        <v>1530</v>
      </c>
      <c r="C382">
        <v>113</v>
      </c>
      <c r="D382">
        <v>1269</v>
      </c>
      <c r="E382">
        <v>1917</v>
      </c>
      <c r="F382">
        <v>2784</v>
      </c>
      <c r="G382">
        <v>1725</v>
      </c>
      <c r="H382" s="200">
        <v>0.04</v>
      </c>
      <c r="I382">
        <f t="shared" si="45"/>
        <v>330</v>
      </c>
      <c r="J382" s="193">
        <v>0.03</v>
      </c>
      <c r="K382">
        <f t="shared" si="46"/>
        <v>334</v>
      </c>
      <c r="L382" s="62">
        <f t="shared" si="47"/>
        <v>366</v>
      </c>
      <c r="M382" s="304">
        <v>1.9</v>
      </c>
      <c r="N382" s="301">
        <f>VLOOKUP(1530,季財報!A:N,8,0)</f>
        <v>2</v>
      </c>
    </row>
    <row r="383" spans="1:14">
      <c r="A383" s="187">
        <v>1583</v>
      </c>
      <c r="C383">
        <v>248</v>
      </c>
      <c r="D383">
        <v>2522</v>
      </c>
      <c r="E383">
        <v>3403</v>
      </c>
      <c r="F383">
        <v>5230</v>
      </c>
      <c r="G383">
        <v>3509</v>
      </c>
      <c r="H383" s="200">
        <v>0.04</v>
      </c>
      <c r="I383">
        <f t="shared" si="45"/>
        <v>330</v>
      </c>
      <c r="J383" s="193">
        <v>0.03</v>
      </c>
      <c r="K383">
        <f t="shared" si="46"/>
        <v>334</v>
      </c>
      <c r="L383" s="62">
        <f t="shared" si="47"/>
        <v>366</v>
      </c>
      <c r="M383" s="304">
        <v>1.9</v>
      </c>
      <c r="N383" s="301">
        <f>VLOOKUP(1583,季財報!A:N,8,0)</f>
        <v>1</v>
      </c>
    </row>
    <row r="384" spans="1:14">
      <c r="A384" s="187">
        <v>1591</v>
      </c>
      <c r="C384">
        <v>15</v>
      </c>
      <c r="D384">
        <v>0</v>
      </c>
      <c r="E384">
        <v>402</v>
      </c>
      <c r="F384">
        <v>311</v>
      </c>
      <c r="G384">
        <v>195</v>
      </c>
      <c r="H384" s="200">
        <v>0.04</v>
      </c>
      <c r="I384">
        <f t="shared" si="45"/>
        <v>330</v>
      </c>
      <c r="J384" s="193">
        <v>0.03</v>
      </c>
      <c r="K384">
        <f t="shared" si="46"/>
        <v>334</v>
      </c>
      <c r="L384" s="62">
        <f t="shared" si="47"/>
        <v>366</v>
      </c>
      <c r="M384" s="304">
        <v>1.9</v>
      </c>
      <c r="N384" s="301">
        <f>VLOOKUP(1591,季財報!A:N,8,0)</f>
        <v>1</v>
      </c>
    </row>
    <row r="385" spans="1:14">
      <c r="A385" s="187">
        <v>1773</v>
      </c>
      <c r="C385">
        <v>126</v>
      </c>
      <c r="D385">
        <v>1287</v>
      </c>
      <c r="E385">
        <v>1525</v>
      </c>
      <c r="F385">
        <v>3877</v>
      </c>
      <c r="G385">
        <v>99</v>
      </c>
      <c r="H385" s="200">
        <v>0.04</v>
      </c>
      <c r="I385">
        <f t="shared" si="45"/>
        <v>330</v>
      </c>
      <c r="J385" s="193">
        <v>0.03</v>
      </c>
      <c r="K385">
        <f t="shared" si="46"/>
        <v>334</v>
      </c>
      <c r="L385" s="62">
        <f t="shared" si="47"/>
        <v>366</v>
      </c>
      <c r="M385" s="304">
        <v>1.9</v>
      </c>
      <c r="N385" s="301">
        <f>VLOOKUP(1773,季財報!A:N,8,0)</f>
        <v>5</v>
      </c>
    </row>
    <row r="386" spans="1:14">
      <c r="A386" s="187">
        <v>2062</v>
      </c>
      <c r="C386">
        <v>173</v>
      </c>
      <c r="D386">
        <v>535</v>
      </c>
      <c r="E386">
        <v>4268</v>
      </c>
      <c r="F386">
        <v>5007</v>
      </c>
      <c r="G386">
        <v>1661</v>
      </c>
      <c r="H386" s="200">
        <v>0.04</v>
      </c>
      <c r="I386">
        <f t="shared" si="45"/>
        <v>330</v>
      </c>
      <c r="J386" s="193">
        <v>0.03</v>
      </c>
      <c r="K386">
        <f t="shared" si="46"/>
        <v>334</v>
      </c>
      <c r="L386" s="62">
        <f t="shared" si="47"/>
        <v>366</v>
      </c>
      <c r="M386" s="304">
        <v>1.9</v>
      </c>
      <c r="N386" s="301">
        <f>VLOOKUP(2062,季財報!A:N,8,0)</f>
        <v>3</v>
      </c>
    </row>
    <row r="387" spans="1:14">
      <c r="A387" s="187">
        <v>2104</v>
      </c>
      <c r="C387">
        <v>624</v>
      </c>
      <c r="D387">
        <v>7942</v>
      </c>
      <c r="E387">
        <v>9367</v>
      </c>
      <c r="F387">
        <v>18435</v>
      </c>
      <c r="G387">
        <v>5872</v>
      </c>
      <c r="H387" s="200">
        <v>0.04</v>
      </c>
      <c r="I387">
        <f t="shared" si="45"/>
        <v>330</v>
      </c>
      <c r="J387" s="193">
        <v>0.03</v>
      </c>
      <c r="K387">
        <f t="shared" si="46"/>
        <v>334</v>
      </c>
      <c r="L387" s="62">
        <f t="shared" si="47"/>
        <v>366</v>
      </c>
      <c r="M387" s="304">
        <v>1.84</v>
      </c>
      <c r="N387" s="301">
        <f>VLOOKUP(2104,季財報!A:N,8,0)</f>
        <v>1</v>
      </c>
    </row>
    <row r="388" spans="1:14">
      <c r="A388" s="187">
        <v>2236</v>
      </c>
      <c r="C388">
        <v>43</v>
      </c>
      <c r="D388">
        <v>796</v>
      </c>
      <c r="E388">
        <v>390</v>
      </c>
      <c r="F388">
        <v>1306</v>
      </c>
      <c r="G388">
        <v>139</v>
      </c>
      <c r="H388" s="200">
        <v>0.04</v>
      </c>
      <c r="I388">
        <f t="shared" si="45"/>
        <v>330</v>
      </c>
      <c r="J388" s="193">
        <v>0.03</v>
      </c>
      <c r="K388">
        <f t="shared" si="46"/>
        <v>334</v>
      </c>
      <c r="L388" s="62">
        <f t="shared" si="47"/>
        <v>366</v>
      </c>
      <c r="M388" s="304">
        <v>1.84</v>
      </c>
      <c r="N388" s="301">
        <f>VLOOKUP(2236,季財報!A:N,8,0)</f>
        <v>1</v>
      </c>
    </row>
    <row r="389" spans="1:14">
      <c r="A389" s="187">
        <v>2311</v>
      </c>
      <c r="C389">
        <v>6957</v>
      </c>
      <c r="D389">
        <v>37257</v>
      </c>
      <c r="E389">
        <v>152981</v>
      </c>
      <c r="F389">
        <v>164283</v>
      </c>
      <c r="G389">
        <v>50351</v>
      </c>
      <c r="H389" s="200">
        <v>0.04</v>
      </c>
      <c r="I389">
        <f t="shared" si="45"/>
        <v>330</v>
      </c>
      <c r="J389" s="193">
        <v>0.03</v>
      </c>
      <c r="K389">
        <f t="shared" si="46"/>
        <v>334</v>
      </c>
      <c r="L389" s="62">
        <f t="shared" si="47"/>
        <v>366</v>
      </c>
      <c r="M389" s="304">
        <v>1.84</v>
      </c>
      <c r="N389" s="301">
        <f>VLOOKUP(2311,季財報!A:N,8,0)</f>
        <v>2</v>
      </c>
    </row>
    <row r="390" spans="1:14">
      <c r="A390" s="187">
        <v>2329</v>
      </c>
      <c r="C390">
        <v>334</v>
      </c>
      <c r="D390">
        <v>0</v>
      </c>
      <c r="E390">
        <v>7837</v>
      </c>
      <c r="F390">
        <v>5886</v>
      </c>
      <c r="G390">
        <v>5028</v>
      </c>
      <c r="H390" s="200">
        <v>0.04</v>
      </c>
      <c r="I390">
        <f t="shared" si="45"/>
        <v>330</v>
      </c>
      <c r="J390" s="193">
        <v>0.03</v>
      </c>
      <c r="K390">
        <f t="shared" si="46"/>
        <v>334</v>
      </c>
      <c r="L390" s="62">
        <f t="shared" si="47"/>
        <v>366</v>
      </c>
      <c r="M390" s="304">
        <v>1.84</v>
      </c>
      <c r="N390" s="301">
        <f>VLOOKUP(2329,季財報!A:N,8,0)</f>
        <v>2</v>
      </c>
    </row>
    <row r="391" spans="1:14">
      <c r="A391" s="187">
        <v>2354</v>
      </c>
      <c r="C391">
        <v>3166</v>
      </c>
      <c r="D391">
        <v>67834</v>
      </c>
      <c r="E391">
        <v>12742</v>
      </c>
      <c r="F391">
        <v>88315</v>
      </c>
      <c r="G391">
        <v>19060</v>
      </c>
      <c r="H391" s="200">
        <v>0.04</v>
      </c>
      <c r="I391">
        <f t="shared" si="45"/>
        <v>330</v>
      </c>
      <c r="J391" s="193">
        <v>0.03</v>
      </c>
      <c r="K391">
        <f t="shared" si="46"/>
        <v>334</v>
      </c>
      <c r="L391" s="62">
        <f t="shared" si="47"/>
        <v>366</v>
      </c>
      <c r="M391" s="304">
        <v>1.84</v>
      </c>
      <c r="N391" s="301">
        <f>VLOOKUP(2354,季財報!A:N,8,0)</f>
        <v>0</v>
      </c>
    </row>
    <row r="392" spans="1:14">
      <c r="A392" s="187">
        <v>2387</v>
      </c>
      <c r="C392">
        <v>313</v>
      </c>
      <c r="D392">
        <v>4362</v>
      </c>
      <c r="E392">
        <v>4543</v>
      </c>
      <c r="F392">
        <v>9391</v>
      </c>
      <c r="G392">
        <v>1406</v>
      </c>
      <c r="H392" s="200">
        <v>0.04</v>
      </c>
      <c r="I392">
        <f t="shared" si="45"/>
        <v>330</v>
      </c>
      <c r="J392" s="193">
        <v>0.03</v>
      </c>
      <c r="K392">
        <f t="shared" si="46"/>
        <v>334</v>
      </c>
      <c r="L392" s="62">
        <f t="shared" si="47"/>
        <v>366</v>
      </c>
      <c r="M392" s="304">
        <v>1.84</v>
      </c>
      <c r="N392" s="301">
        <f>VLOOKUP(2387,季財報!A:N,8,0)</f>
        <v>4</v>
      </c>
    </row>
    <row r="393" spans="1:14">
      <c r="A393" s="187">
        <v>2397</v>
      </c>
      <c r="C393">
        <v>103</v>
      </c>
      <c r="D393">
        <v>2227</v>
      </c>
      <c r="E393">
        <v>564</v>
      </c>
      <c r="F393">
        <v>2965</v>
      </c>
      <c r="G393">
        <v>0</v>
      </c>
      <c r="H393" s="200">
        <v>0.04</v>
      </c>
      <c r="I393">
        <f t="shared" si="45"/>
        <v>330</v>
      </c>
      <c r="J393" s="193">
        <v>0.03</v>
      </c>
      <c r="K393">
        <f t="shared" si="46"/>
        <v>334</v>
      </c>
      <c r="L393" s="62">
        <f t="shared" si="47"/>
        <v>366</v>
      </c>
      <c r="M393" s="304">
        <v>1.84</v>
      </c>
      <c r="N393" s="301">
        <f>VLOOKUP(2397,季財報!A:N,8,0)</f>
        <v>3</v>
      </c>
    </row>
    <row r="394" spans="1:14">
      <c r="A394" s="187">
        <v>2425</v>
      </c>
      <c r="C394">
        <v>64</v>
      </c>
      <c r="D394">
        <v>1562</v>
      </c>
      <c r="E394">
        <v>162</v>
      </c>
      <c r="F394">
        <v>1738</v>
      </c>
      <c r="G394">
        <v>366</v>
      </c>
      <c r="H394" s="200">
        <v>0.04</v>
      </c>
      <c r="I394">
        <f t="shared" si="45"/>
        <v>330</v>
      </c>
      <c r="J394" s="193">
        <v>0.03</v>
      </c>
      <c r="K394">
        <f t="shared" si="46"/>
        <v>334</v>
      </c>
      <c r="L394" s="62">
        <f t="shared" si="47"/>
        <v>366</v>
      </c>
      <c r="M394" s="304">
        <v>1.84</v>
      </c>
      <c r="N394" s="301">
        <f>VLOOKUP(2425,季財報!A:N,8,0)</f>
        <v>2</v>
      </c>
    </row>
    <row r="395" spans="1:14">
      <c r="A395" s="187">
        <v>2477</v>
      </c>
      <c r="C395">
        <v>103</v>
      </c>
      <c r="D395">
        <v>1747</v>
      </c>
      <c r="E395">
        <v>1093</v>
      </c>
      <c r="F395">
        <v>3609</v>
      </c>
      <c r="G395">
        <v>360</v>
      </c>
      <c r="H395" s="200">
        <v>0.04</v>
      </c>
      <c r="I395">
        <f t="shared" si="45"/>
        <v>330</v>
      </c>
      <c r="J395" s="193">
        <v>0.03</v>
      </c>
      <c r="K395">
        <f t="shared" si="46"/>
        <v>334</v>
      </c>
      <c r="L395" s="62">
        <f t="shared" si="47"/>
        <v>366</v>
      </c>
      <c r="M395" s="304">
        <v>1.84</v>
      </c>
      <c r="N395" s="301">
        <f>VLOOKUP(2477,季財報!A:N,8,0)</f>
        <v>4</v>
      </c>
    </row>
    <row r="396" spans="1:14">
      <c r="A396" s="187">
        <v>2480</v>
      </c>
      <c r="C396">
        <v>79</v>
      </c>
      <c r="D396">
        <v>1861</v>
      </c>
      <c r="E396">
        <v>385</v>
      </c>
      <c r="F396">
        <v>2691</v>
      </c>
      <c r="G396">
        <v>8</v>
      </c>
      <c r="H396" s="200">
        <v>0.04</v>
      </c>
      <c r="I396">
        <f t="shared" si="45"/>
        <v>330</v>
      </c>
      <c r="J396" s="193">
        <v>0.03</v>
      </c>
      <c r="K396">
        <f t="shared" si="46"/>
        <v>334</v>
      </c>
      <c r="L396" s="62">
        <f t="shared" si="47"/>
        <v>366</v>
      </c>
      <c r="M396" s="304">
        <v>1.84</v>
      </c>
      <c r="N396" s="301">
        <f>VLOOKUP(2480,季財報!A:N,8,0)</f>
        <v>3</v>
      </c>
    </row>
    <row r="397" spans="1:14">
      <c r="A397" s="187">
        <v>3511</v>
      </c>
      <c r="C397">
        <v>24</v>
      </c>
      <c r="D397">
        <v>215</v>
      </c>
      <c r="E397">
        <v>378</v>
      </c>
      <c r="F397">
        <v>706</v>
      </c>
      <c r="G397">
        <v>119</v>
      </c>
      <c r="H397" s="200">
        <v>0.04</v>
      </c>
      <c r="I397">
        <f t="shared" si="45"/>
        <v>330</v>
      </c>
      <c r="J397" s="193">
        <v>0.03</v>
      </c>
      <c r="K397">
        <f t="shared" si="46"/>
        <v>334</v>
      </c>
      <c r="L397" s="62">
        <f t="shared" si="47"/>
        <v>366</v>
      </c>
      <c r="M397" s="304">
        <v>1.84</v>
      </c>
      <c r="N397" s="301">
        <f>VLOOKUP(3511,季財報!A:N,8,0)</f>
        <v>4</v>
      </c>
    </row>
    <row r="398" spans="1:14">
      <c r="A398" s="187">
        <v>3521</v>
      </c>
      <c r="C398">
        <v>17</v>
      </c>
      <c r="D398">
        <v>209</v>
      </c>
      <c r="E398">
        <v>173</v>
      </c>
      <c r="F398">
        <v>458</v>
      </c>
      <c r="G398">
        <v>190</v>
      </c>
      <c r="H398" s="200">
        <v>0.04</v>
      </c>
      <c r="I398">
        <f t="shared" si="45"/>
        <v>330</v>
      </c>
      <c r="J398" s="193">
        <v>0.03</v>
      </c>
      <c r="K398">
        <f t="shared" si="46"/>
        <v>334</v>
      </c>
      <c r="L398" s="62">
        <f t="shared" si="47"/>
        <v>366</v>
      </c>
      <c r="M398" s="304">
        <v>1.84</v>
      </c>
      <c r="N398" s="301">
        <f>VLOOKUP(3521,季財報!A:N,8,0)</f>
        <v>3</v>
      </c>
    </row>
    <row r="399" spans="1:14">
      <c r="A399" s="187">
        <v>3533</v>
      </c>
      <c r="C399">
        <v>259</v>
      </c>
      <c r="D399">
        <v>4655</v>
      </c>
      <c r="E399">
        <v>2262</v>
      </c>
      <c r="F399">
        <v>7953</v>
      </c>
      <c r="G399">
        <v>953</v>
      </c>
      <c r="H399" s="200">
        <v>0.04</v>
      </c>
      <c r="I399">
        <f t="shared" si="45"/>
        <v>330</v>
      </c>
      <c r="J399" s="193">
        <v>0.03</v>
      </c>
      <c r="K399">
        <f t="shared" si="46"/>
        <v>334</v>
      </c>
      <c r="L399" s="62">
        <f t="shared" si="47"/>
        <v>366</v>
      </c>
      <c r="M399" s="304">
        <v>1.84</v>
      </c>
      <c r="N399" s="301">
        <f>VLOOKUP(3533,季財報!A:N,8,0)</f>
        <v>5</v>
      </c>
    </row>
    <row r="400" spans="1:14">
      <c r="A400" s="187">
        <v>3556</v>
      </c>
      <c r="C400">
        <v>43</v>
      </c>
      <c r="D400">
        <v>961</v>
      </c>
      <c r="E400">
        <v>4</v>
      </c>
      <c r="F400">
        <v>1156</v>
      </c>
      <c r="G400">
        <v>90</v>
      </c>
      <c r="H400" s="200">
        <v>0.04</v>
      </c>
      <c r="I400">
        <f t="shared" si="45"/>
        <v>330</v>
      </c>
      <c r="J400" s="193">
        <v>0.03</v>
      </c>
      <c r="K400">
        <f t="shared" si="46"/>
        <v>334</v>
      </c>
      <c r="L400" s="62">
        <f t="shared" si="47"/>
        <v>366</v>
      </c>
      <c r="M400" s="304">
        <v>1.84</v>
      </c>
      <c r="N400" s="301">
        <f>VLOOKUP(3556,季財報!A:N,8,0)</f>
        <v>1</v>
      </c>
    </row>
    <row r="401" spans="1:14">
      <c r="A401" s="187">
        <v>3679</v>
      </c>
      <c r="C401">
        <v>196</v>
      </c>
      <c r="D401">
        <v>3754</v>
      </c>
      <c r="E401">
        <v>1667</v>
      </c>
      <c r="F401">
        <v>4794</v>
      </c>
      <c r="G401">
        <v>876</v>
      </c>
      <c r="H401" s="200">
        <v>0.04</v>
      </c>
      <c r="I401">
        <f t="shared" si="45"/>
        <v>330</v>
      </c>
      <c r="J401" s="193">
        <v>0.03</v>
      </c>
      <c r="K401">
        <f t="shared" si="46"/>
        <v>334</v>
      </c>
      <c r="L401" s="62">
        <f t="shared" si="47"/>
        <v>366</v>
      </c>
      <c r="M401" s="304">
        <v>1.84</v>
      </c>
      <c r="N401" s="301">
        <f>VLOOKUP(3679,季財報!A:N,8,0)</f>
        <v>3</v>
      </c>
    </row>
    <row r="402" spans="1:14">
      <c r="A402" s="187">
        <v>3705</v>
      </c>
      <c r="C402">
        <v>202</v>
      </c>
      <c r="D402">
        <v>2470</v>
      </c>
      <c r="E402">
        <v>2775</v>
      </c>
      <c r="F402">
        <v>5889</v>
      </c>
      <c r="G402">
        <v>859</v>
      </c>
      <c r="H402" s="200">
        <v>0.04</v>
      </c>
      <c r="I402">
        <f t="shared" si="45"/>
        <v>330</v>
      </c>
      <c r="J402" s="193">
        <v>0.03</v>
      </c>
      <c r="K402">
        <f t="shared" si="46"/>
        <v>334</v>
      </c>
      <c r="L402" s="62">
        <f t="shared" si="47"/>
        <v>366</v>
      </c>
      <c r="M402" s="304">
        <v>1.84</v>
      </c>
      <c r="N402" s="301">
        <f>VLOOKUP(3705,季財報!A:N,8,0)</f>
        <v>2</v>
      </c>
    </row>
    <row r="403" spans="1:14">
      <c r="A403" s="187">
        <v>4119</v>
      </c>
      <c r="C403">
        <v>97</v>
      </c>
      <c r="D403">
        <v>687</v>
      </c>
      <c r="E403">
        <v>1795</v>
      </c>
      <c r="F403">
        <v>2596</v>
      </c>
      <c r="G403">
        <v>304</v>
      </c>
      <c r="H403" s="200">
        <v>0.04</v>
      </c>
      <c r="I403">
        <f t="shared" si="45"/>
        <v>330</v>
      </c>
      <c r="J403" s="193">
        <v>0.03</v>
      </c>
      <c r="K403">
        <f t="shared" si="46"/>
        <v>334</v>
      </c>
      <c r="L403" s="62">
        <f t="shared" si="47"/>
        <v>366</v>
      </c>
      <c r="M403" s="304">
        <v>1.84</v>
      </c>
      <c r="N403" s="301">
        <f>VLOOKUP(4119,季財報!A:N,8,0)</f>
        <v>2</v>
      </c>
    </row>
    <row r="404" spans="1:14">
      <c r="A404" s="187">
        <v>6279</v>
      </c>
      <c r="C404">
        <v>155</v>
      </c>
      <c r="D404">
        <v>1892</v>
      </c>
      <c r="E404">
        <v>2036</v>
      </c>
      <c r="F404">
        <v>3856</v>
      </c>
      <c r="G404">
        <v>705</v>
      </c>
      <c r="H404" s="200">
        <v>0.04</v>
      </c>
      <c r="I404">
        <f t="shared" si="45"/>
        <v>330</v>
      </c>
      <c r="J404" s="193">
        <v>0.03</v>
      </c>
      <c r="K404">
        <f t="shared" si="46"/>
        <v>334</v>
      </c>
      <c r="L404" s="62">
        <f t="shared" si="47"/>
        <v>366</v>
      </c>
      <c r="M404" s="304">
        <v>1.76</v>
      </c>
      <c r="N404" s="301">
        <f>VLOOKUP(6279,季財報!A:N,8,0)</f>
        <v>1</v>
      </c>
    </row>
    <row r="405" spans="1:14">
      <c r="A405" s="187">
        <v>6151</v>
      </c>
      <c r="C405">
        <v>39</v>
      </c>
      <c r="D405">
        <v>428</v>
      </c>
      <c r="E405">
        <v>677</v>
      </c>
      <c r="F405">
        <v>972</v>
      </c>
      <c r="G405">
        <v>227</v>
      </c>
      <c r="H405" s="200">
        <v>0.04</v>
      </c>
      <c r="I405">
        <f t="shared" si="45"/>
        <v>330</v>
      </c>
      <c r="J405" s="193">
        <v>0.03</v>
      </c>
      <c r="K405">
        <f t="shared" si="46"/>
        <v>334</v>
      </c>
      <c r="L405" s="62">
        <f t="shared" si="47"/>
        <v>366</v>
      </c>
      <c r="M405" s="304">
        <v>1.58</v>
      </c>
      <c r="N405" s="301">
        <f>VLOOKUP(6151,季財報!A:N,8,0)</f>
        <v>2</v>
      </c>
    </row>
    <row r="406" spans="1:14">
      <c r="A406" s="187">
        <v>4535</v>
      </c>
      <c r="C406">
        <v>89</v>
      </c>
      <c r="D406">
        <v>756</v>
      </c>
      <c r="E406">
        <v>1494</v>
      </c>
      <c r="F406">
        <v>2464</v>
      </c>
      <c r="G406">
        <v>313</v>
      </c>
      <c r="H406" s="200">
        <v>0.04</v>
      </c>
      <c r="I406">
        <f t="shared" si="45"/>
        <v>330</v>
      </c>
      <c r="J406" s="193">
        <v>0.03</v>
      </c>
      <c r="K406">
        <f t="shared" si="46"/>
        <v>334</v>
      </c>
      <c r="L406" s="62">
        <f t="shared" si="47"/>
        <v>366</v>
      </c>
      <c r="M406" s="304">
        <v>1.62</v>
      </c>
      <c r="N406" s="301">
        <f>VLOOKUP(4535,季財報!A:N,8,0)</f>
        <v>4</v>
      </c>
    </row>
    <row r="407" spans="1:14">
      <c r="A407" s="187">
        <v>4735</v>
      </c>
      <c r="C407">
        <v>14</v>
      </c>
      <c r="D407">
        <v>216</v>
      </c>
      <c r="E407">
        <v>166</v>
      </c>
      <c r="F407">
        <v>366</v>
      </c>
      <c r="G407">
        <v>93</v>
      </c>
      <c r="H407" s="200">
        <v>0.04</v>
      </c>
      <c r="I407">
        <f t="shared" si="45"/>
        <v>330</v>
      </c>
      <c r="J407" s="193">
        <v>0.03</v>
      </c>
      <c r="K407">
        <f t="shared" si="46"/>
        <v>334</v>
      </c>
      <c r="L407" s="62">
        <f t="shared" si="47"/>
        <v>366</v>
      </c>
      <c r="M407" s="304">
        <v>1.59</v>
      </c>
      <c r="N407" s="301">
        <f>VLOOKUP(4735,季財報!A:N,8,0)</f>
        <v>3</v>
      </c>
    </row>
    <row r="408" spans="1:14">
      <c r="A408" s="187">
        <v>1203</v>
      </c>
      <c r="C408">
        <v>185</v>
      </c>
      <c r="D408">
        <v>1996</v>
      </c>
      <c r="E408">
        <v>2814</v>
      </c>
      <c r="F408">
        <v>5206</v>
      </c>
      <c r="G408">
        <v>255</v>
      </c>
      <c r="H408" s="200">
        <v>0.04</v>
      </c>
      <c r="I408">
        <f t="shared" si="45"/>
        <v>330</v>
      </c>
      <c r="J408" s="193">
        <v>0.03</v>
      </c>
      <c r="K408">
        <f t="shared" si="46"/>
        <v>334</v>
      </c>
      <c r="L408" s="62">
        <f t="shared" si="47"/>
        <v>366</v>
      </c>
      <c r="M408" s="304">
        <v>1.59</v>
      </c>
      <c r="N408" s="301">
        <f>VLOOKUP(1203,季財報!A:N,8,0)</f>
        <v>5</v>
      </c>
    </row>
    <row r="409" spans="1:14">
      <c r="A409" s="187">
        <v>1532</v>
      </c>
      <c r="C409">
        <v>788</v>
      </c>
      <c r="D409">
        <v>9790</v>
      </c>
      <c r="E409">
        <v>11329</v>
      </c>
      <c r="F409">
        <v>19682</v>
      </c>
      <c r="G409">
        <v>7365</v>
      </c>
      <c r="H409" s="200">
        <v>0.04</v>
      </c>
      <c r="I409">
        <f t="shared" si="45"/>
        <v>330</v>
      </c>
      <c r="J409" s="193">
        <v>0.03</v>
      </c>
      <c r="K409">
        <f t="shared" si="46"/>
        <v>334</v>
      </c>
      <c r="L409" s="62">
        <f t="shared" si="47"/>
        <v>366</v>
      </c>
      <c r="M409" s="304">
        <v>1.59</v>
      </c>
      <c r="N409" s="301">
        <f>VLOOKUP(1532,季財報!A:N,8,0)</f>
        <v>4</v>
      </c>
    </row>
    <row r="410" spans="1:14">
      <c r="A410" s="187">
        <v>1704</v>
      </c>
      <c r="C410">
        <v>930</v>
      </c>
      <c r="D410">
        <v>12236</v>
      </c>
      <c r="E410">
        <v>12728</v>
      </c>
      <c r="F410">
        <v>23416</v>
      </c>
      <c r="G410">
        <v>4334</v>
      </c>
      <c r="H410" s="200">
        <v>0.04</v>
      </c>
      <c r="I410">
        <f t="shared" si="45"/>
        <v>330</v>
      </c>
      <c r="J410" s="193">
        <v>0.03</v>
      </c>
      <c r="K410">
        <f t="shared" si="46"/>
        <v>334</v>
      </c>
      <c r="L410" s="62">
        <f t="shared" si="47"/>
        <v>366</v>
      </c>
      <c r="M410" s="304">
        <v>1.59</v>
      </c>
      <c r="N410" s="301">
        <f>VLOOKUP(1704,季財報!A:N,8,0)</f>
        <v>4</v>
      </c>
    </row>
    <row r="411" spans="1:14">
      <c r="A411" s="187">
        <v>3032</v>
      </c>
      <c r="C411">
        <v>59</v>
      </c>
      <c r="D411">
        <v>908</v>
      </c>
      <c r="E411">
        <v>510</v>
      </c>
      <c r="F411">
        <v>1817</v>
      </c>
      <c r="G411">
        <v>285</v>
      </c>
      <c r="H411" s="200">
        <v>0.04</v>
      </c>
      <c r="I411">
        <f t="shared" si="45"/>
        <v>330</v>
      </c>
      <c r="J411" s="193">
        <v>0.03</v>
      </c>
      <c r="K411">
        <f t="shared" si="46"/>
        <v>334</v>
      </c>
      <c r="L411" s="62">
        <f t="shared" si="47"/>
        <v>366</v>
      </c>
      <c r="M411" s="304">
        <v>1.59</v>
      </c>
      <c r="N411" s="301">
        <f>VLOOKUP(3032,季財報!A:N,8,0)</f>
        <v>4</v>
      </c>
    </row>
    <row r="412" spans="1:14">
      <c r="A412" s="187">
        <v>3169</v>
      </c>
      <c r="C412">
        <v>22</v>
      </c>
      <c r="D412">
        <v>438</v>
      </c>
      <c r="E412">
        <v>56</v>
      </c>
      <c r="F412">
        <v>741</v>
      </c>
      <c r="G412">
        <v>0</v>
      </c>
      <c r="H412" s="200">
        <v>0.04</v>
      </c>
      <c r="I412">
        <f t="shared" si="45"/>
        <v>330</v>
      </c>
      <c r="J412" s="193">
        <v>0.03</v>
      </c>
      <c r="K412">
        <f t="shared" si="46"/>
        <v>334</v>
      </c>
      <c r="L412" s="62">
        <f t="shared" si="47"/>
        <v>366</v>
      </c>
      <c r="M412" s="304">
        <v>1.58</v>
      </c>
      <c r="N412" s="301">
        <f>VLOOKUP(3169,季財報!A:N,8,0)</f>
        <v>1</v>
      </c>
    </row>
    <row r="413" spans="1:14">
      <c r="A413" s="187">
        <v>4109</v>
      </c>
      <c r="C413">
        <v>30</v>
      </c>
      <c r="D413">
        <v>39</v>
      </c>
      <c r="E413">
        <v>781</v>
      </c>
      <c r="F413">
        <v>963</v>
      </c>
      <c r="G413">
        <v>136</v>
      </c>
      <c r="H413" s="200">
        <v>0.04</v>
      </c>
      <c r="I413">
        <f t="shared" si="45"/>
        <v>330</v>
      </c>
      <c r="J413" s="193">
        <v>0.03</v>
      </c>
      <c r="K413">
        <f t="shared" si="46"/>
        <v>334</v>
      </c>
      <c r="L413" s="62">
        <f t="shared" si="47"/>
        <v>366</v>
      </c>
      <c r="M413" s="304">
        <v>1.58</v>
      </c>
      <c r="N413" s="301">
        <f>VLOOKUP(4109,季財報!A:N,8,0)</f>
        <v>2</v>
      </c>
    </row>
    <row r="414" spans="1:14">
      <c r="A414" s="187">
        <v>8074</v>
      </c>
      <c r="C414">
        <v>43</v>
      </c>
      <c r="D414">
        <v>621</v>
      </c>
      <c r="E414">
        <v>653</v>
      </c>
      <c r="F414">
        <v>1072</v>
      </c>
      <c r="G414">
        <v>116</v>
      </c>
      <c r="H414" s="200">
        <v>0.03</v>
      </c>
      <c r="I414">
        <f t="shared" ref="I414:I421" si="48">RANK(0.03,H:H,0)</f>
        <v>466</v>
      </c>
      <c r="J414" s="193">
        <v>0.04</v>
      </c>
      <c r="K414">
        <f t="shared" ref="K414:K421" si="49">RANK(0.04,J:J,0)</f>
        <v>220</v>
      </c>
      <c r="L414" s="62">
        <f t="shared" ref="L414:L421" si="50">RANK(2.21,M:M,0)</f>
        <v>413</v>
      </c>
      <c r="M414" s="304">
        <v>1.58</v>
      </c>
      <c r="N414" s="301">
        <f>VLOOKUP(8074,季財報!A:N,8,0)</f>
        <v>4</v>
      </c>
    </row>
    <row r="415" spans="1:14">
      <c r="A415" s="187">
        <v>6271</v>
      </c>
      <c r="C415">
        <v>415</v>
      </c>
      <c r="D415">
        <v>7695</v>
      </c>
      <c r="E415">
        <v>5278</v>
      </c>
      <c r="F415">
        <v>9885</v>
      </c>
      <c r="G415">
        <v>662</v>
      </c>
      <c r="H415" s="200">
        <v>0.03</v>
      </c>
      <c r="I415">
        <f t="shared" si="48"/>
        <v>466</v>
      </c>
      <c r="J415" s="193">
        <v>0.04</v>
      </c>
      <c r="K415">
        <f t="shared" si="49"/>
        <v>220</v>
      </c>
      <c r="L415" s="62">
        <f t="shared" si="50"/>
        <v>413</v>
      </c>
      <c r="M415" s="304">
        <v>1.58</v>
      </c>
      <c r="N415" s="301">
        <f>VLOOKUP(6271,季財報!A:N,8,0)</f>
        <v>2</v>
      </c>
    </row>
    <row r="416" spans="1:14">
      <c r="A416" s="187">
        <v>6105</v>
      </c>
      <c r="C416">
        <v>133</v>
      </c>
      <c r="D416">
        <v>2133</v>
      </c>
      <c r="E416">
        <v>1842</v>
      </c>
      <c r="F416">
        <v>3698</v>
      </c>
      <c r="G416">
        <v>11</v>
      </c>
      <c r="H416" s="200">
        <v>0.03</v>
      </c>
      <c r="I416">
        <f t="shared" si="48"/>
        <v>466</v>
      </c>
      <c r="J416" s="193">
        <v>0.04</v>
      </c>
      <c r="K416">
        <f t="shared" si="49"/>
        <v>220</v>
      </c>
      <c r="L416" s="62">
        <f t="shared" si="50"/>
        <v>413</v>
      </c>
      <c r="M416" s="304">
        <v>1.58</v>
      </c>
      <c r="N416" s="301">
        <f>VLOOKUP(6105,季財報!A:N,8,0)</f>
        <v>2</v>
      </c>
    </row>
    <row r="417" spans="1:14">
      <c r="A417" s="187">
        <v>6239</v>
      </c>
      <c r="C417">
        <v>1497</v>
      </c>
      <c r="D417">
        <v>18781</v>
      </c>
      <c r="E417">
        <v>35724</v>
      </c>
      <c r="F417">
        <v>40228</v>
      </c>
      <c r="G417">
        <v>2066</v>
      </c>
      <c r="H417" s="200">
        <v>0.03</v>
      </c>
      <c r="I417">
        <f t="shared" si="48"/>
        <v>466</v>
      </c>
      <c r="J417" s="193">
        <v>0.04</v>
      </c>
      <c r="K417">
        <f t="shared" si="49"/>
        <v>220</v>
      </c>
      <c r="L417" s="62">
        <f t="shared" si="50"/>
        <v>413</v>
      </c>
      <c r="M417" s="304">
        <v>1.58</v>
      </c>
      <c r="N417" s="301">
        <f>VLOOKUP(6239,季財報!A:N,8,0)</f>
        <v>4</v>
      </c>
    </row>
    <row r="418" spans="1:14">
      <c r="A418" s="187">
        <v>4737</v>
      </c>
      <c r="C418">
        <v>74</v>
      </c>
      <c r="D418">
        <v>0</v>
      </c>
      <c r="E418">
        <v>2872</v>
      </c>
      <c r="F418">
        <v>1369</v>
      </c>
      <c r="G418">
        <v>720</v>
      </c>
      <c r="H418" s="200">
        <v>0.03</v>
      </c>
      <c r="I418">
        <f t="shared" si="48"/>
        <v>466</v>
      </c>
      <c r="J418" s="193">
        <v>0.04</v>
      </c>
      <c r="K418">
        <f t="shared" si="49"/>
        <v>220</v>
      </c>
      <c r="L418" s="62">
        <f t="shared" si="50"/>
        <v>413</v>
      </c>
      <c r="M418" s="304">
        <v>1.48</v>
      </c>
      <c r="N418" s="301">
        <f>VLOOKUP(4737,季財報!A:N,8,0)</f>
        <v>3</v>
      </c>
    </row>
    <row r="419" spans="1:14">
      <c r="A419" s="187">
        <v>1307</v>
      </c>
      <c r="C419">
        <v>351</v>
      </c>
      <c r="D419">
        <v>4251</v>
      </c>
      <c r="E419">
        <v>5885</v>
      </c>
      <c r="F419">
        <v>8229</v>
      </c>
      <c r="G419">
        <v>1797</v>
      </c>
      <c r="H419" s="200">
        <v>0.03</v>
      </c>
      <c r="I419">
        <f t="shared" si="48"/>
        <v>466</v>
      </c>
      <c r="J419" s="193">
        <v>0.04</v>
      </c>
      <c r="K419">
        <f t="shared" si="49"/>
        <v>220</v>
      </c>
      <c r="L419" s="62">
        <f t="shared" si="50"/>
        <v>413</v>
      </c>
      <c r="M419" s="304">
        <v>1.58</v>
      </c>
      <c r="N419" s="301">
        <f>VLOOKUP(1307,季財報!A:N,8,0)</f>
        <v>5</v>
      </c>
    </row>
    <row r="420" spans="1:14">
      <c r="A420" s="187">
        <v>1717</v>
      </c>
      <c r="C420">
        <v>1025</v>
      </c>
      <c r="D420">
        <v>19844</v>
      </c>
      <c r="E420">
        <v>15716</v>
      </c>
      <c r="F420">
        <v>22466</v>
      </c>
      <c r="G420">
        <v>5426</v>
      </c>
      <c r="H420" s="200">
        <v>0.03</v>
      </c>
      <c r="I420">
        <f t="shared" si="48"/>
        <v>466</v>
      </c>
      <c r="J420" s="193">
        <v>0.04</v>
      </c>
      <c r="K420">
        <f t="shared" si="49"/>
        <v>220</v>
      </c>
      <c r="L420" s="62">
        <f t="shared" si="50"/>
        <v>413</v>
      </c>
      <c r="M420" s="304">
        <v>1.58</v>
      </c>
      <c r="N420" s="301">
        <f>VLOOKUP(1717,季財報!A:N,8,0)</f>
        <v>3</v>
      </c>
    </row>
    <row r="421" spans="1:14">
      <c r="A421" s="187">
        <v>2109</v>
      </c>
      <c r="C421">
        <v>214</v>
      </c>
      <c r="D421">
        <v>2381</v>
      </c>
      <c r="E421">
        <v>3863</v>
      </c>
      <c r="F421">
        <v>5050</v>
      </c>
      <c r="G421">
        <v>684</v>
      </c>
      <c r="H421" s="200">
        <v>0.03</v>
      </c>
      <c r="I421">
        <f t="shared" si="48"/>
        <v>466</v>
      </c>
      <c r="J421" s="193">
        <v>0.04</v>
      </c>
      <c r="K421">
        <f t="shared" si="49"/>
        <v>220</v>
      </c>
      <c r="L421" s="62">
        <f t="shared" si="50"/>
        <v>413</v>
      </c>
      <c r="M421" s="304">
        <v>1.58</v>
      </c>
      <c r="N421" s="301">
        <f>VLOOKUP(2109,季財報!A:N,8,0)</f>
        <v>1</v>
      </c>
    </row>
    <row r="422" spans="1:14">
      <c r="A422" s="187">
        <v>5902</v>
      </c>
      <c r="C422">
        <v>7</v>
      </c>
      <c r="D422">
        <v>0</v>
      </c>
      <c r="E422">
        <v>8</v>
      </c>
      <c r="F422">
        <v>643</v>
      </c>
      <c r="G422">
        <v>274</v>
      </c>
      <c r="H422" s="200">
        <v>0.88</v>
      </c>
      <c r="I422">
        <f>RANK(0.88,H:H,0)</f>
        <v>1</v>
      </c>
      <c r="J422" s="193">
        <v>0.01</v>
      </c>
      <c r="K422">
        <f>RANK(0.01,J:J,0)</f>
        <v>708</v>
      </c>
      <c r="L422" s="62">
        <f>RANK(2.14,M:M,0)</f>
        <v>421</v>
      </c>
      <c r="M422" s="304">
        <v>1.58</v>
      </c>
      <c r="N422" s="301">
        <f>VLOOKUP(5902,季財報!A:N,8,0)</f>
        <v>3</v>
      </c>
    </row>
    <row r="423" spans="1:14">
      <c r="A423" s="187">
        <v>2362</v>
      </c>
      <c r="C423">
        <v>888</v>
      </c>
      <c r="D423">
        <v>0</v>
      </c>
      <c r="E423">
        <v>1807</v>
      </c>
      <c r="F423">
        <v>49952</v>
      </c>
      <c r="G423">
        <v>16269</v>
      </c>
      <c r="H423" s="200">
        <v>0.49</v>
      </c>
      <c r="I423">
        <f>RANK(0.49,H:H,0)</f>
        <v>4</v>
      </c>
      <c r="J423" s="193">
        <v>0.01</v>
      </c>
      <c r="K423">
        <f>RANK(0.01,J:J,0)</f>
        <v>708</v>
      </c>
      <c r="L423" s="62">
        <f>RANK(2.13,M:M,0)</f>
        <v>422</v>
      </c>
      <c r="M423" s="304">
        <v>1.58</v>
      </c>
      <c r="N423" s="301">
        <f>VLOOKUP(2362,季財報!A:N,8,0)</f>
        <v>1</v>
      </c>
    </row>
    <row r="424" spans="1:14">
      <c r="A424" s="187">
        <v>8913</v>
      </c>
      <c r="C424">
        <v>6</v>
      </c>
      <c r="D424">
        <v>16</v>
      </c>
      <c r="E424">
        <v>1</v>
      </c>
      <c r="F424">
        <v>727</v>
      </c>
      <c r="G424">
        <v>176</v>
      </c>
      <c r="H424" s="200">
        <v>0.35</v>
      </c>
      <c r="I424">
        <f>RANK(0.35,H:H,0)</f>
        <v>7</v>
      </c>
      <c r="J424" s="193">
        <v>0.01</v>
      </c>
      <c r="K424">
        <f>RANK(0.01,J:J,0)</f>
        <v>708</v>
      </c>
      <c r="L424" s="62">
        <f>RANK(2.12,M:M,0)</f>
        <v>423</v>
      </c>
      <c r="M424" s="304">
        <v>1.58</v>
      </c>
      <c r="N424" s="301">
        <f>VLOOKUP(8913,季財報!A:N,8,0)</f>
        <v>6</v>
      </c>
    </row>
    <row r="425" spans="1:14">
      <c r="A425" s="187">
        <v>8926</v>
      </c>
      <c r="C425">
        <v>81</v>
      </c>
      <c r="D425">
        <v>0</v>
      </c>
      <c r="E425">
        <v>446</v>
      </c>
      <c r="F425">
        <v>11331</v>
      </c>
      <c r="G425">
        <v>940</v>
      </c>
      <c r="H425" s="200">
        <v>0.18</v>
      </c>
      <c r="I425">
        <f>RANK(0.18,H:H,0)</f>
        <v>11</v>
      </c>
      <c r="J425" s="193">
        <v>0.01</v>
      </c>
      <c r="K425">
        <f>RANK(0.01,J:J,0)</f>
        <v>708</v>
      </c>
      <c r="L425" s="62">
        <f>RANK(2.11,M:M,0)</f>
        <v>424</v>
      </c>
      <c r="M425" s="304">
        <v>1.58</v>
      </c>
      <c r="N425" s="301">
        <f>VLOOKUP(8926,季財報!A:N,8,0)</f>
        <v>3</v>
      </c>
    </row>
    <row r="426" spans="1:14">
      <c r="A426" s="187">
        <v>9935</v>
      </c>
      <c r="C426">
        <v>42</v>
      </c>
      <c r="D426">
        <v>0</v>
      </c>
      <c r="E426">
        <v>859</v>
      </c>
      <c r="F426">
        <v>949</v>
      </c>
      <c r="G426">
        <v>1315</v>
      </c>
      <c r="H426" s="200">
        <v>0.05</v>
      </c>
      <c r="I426">
        <f t="shared" ref="I426:I436" si="51">RANK(0.05,H:H,0)</f>
        <v>231</v>
      </c>
      <c r="J426" s="193">
        <v>0.02</v>
      </c>
      <c r="K426">
        <f t="shared" ref="K426:K436" si="52">RANK(0.02,J:J,0)</f>
        <v>496</v>
      </c>
      <c r="L426" s="62">
        <f t="shared" ref="L426:L436" si="53">RANK(2.09,M:M,0)</f>
        <v>425</v>
      </c>
      <c r="M426" s="304">
        <v>1.58</v>
      </c>
      <c r="N426" s="301">
        <f>VLOOKUP(9935,季財報!A:N,8,0)</f>
        <v>2</v>
      </c>
    </row>
    <row r="427" spans="1:14">
      <c r="A427" s="187">
        <v>5525</v>
      </c>
      <c r="C427">
        <v>136</v>
      </c>
      <c r="D427">
        <v>2424</v>
      </c>
      <c r="E427">
        <v>83</v>
      </c>
      <c r="F427">
        <v>4465</v>
      </c>
      <c r="G427">
        <v>3637</v>
      </c>
      <c r="H427" s="200">
        <v>0.05</v>
      </c>
      <c r="I427">
        <f t="shared" si="51"/>
        <v>231</v>
      </c>
      <c r="J427" s="193">
        <v>0.02</v>
      </c>
      <c r="K427">
        <f t="shared" si="52"/>
        <v>496</v>
      </c>
      <c r="L427" s="62">
        <f t="shared" si="53"/>
        <v>425</v>
      </c>
      <c r="M427" s="304">
        <v>1.58</v>
      </c>
      <c r="N427" s="301">
        <f>VLOOKUP(5525,季財報!A:N,8,0)</f>
        <v>1</v>
      </c>
    </row>
    <row r="428" spans="1:14">
      <c r="A428" s="187">
        <v>5522</v>
      </c>
      <c r="C428">
        <v>1413</v>
      </c>
      <c r="D428">
        <v>28955</v>
      </c>
      <c r="E428">
        <v>36</v>
      </c>
      <c r="F428">
        <v>41940</v>
      </c>
      <c r="G428">
        <v>32950</v>
      </c>
      <c r="H428" s="200">
        <v>0.05</v>
      </c>
      <c r="I428">
        <f t="shared" si="51"/>
        <v>231</v>
      </c>
      <c r="J428" s="193">
        <v>0.02</v>
      </c>
      <c r="K428">
        <f t="shared" si="52"/>
        <v>496</v>
      </c>
      <c r="L428" s="62">
        <f t="shared" si="53"/>
        <v>425</v>
      </c>
      <c r="M428" s="304">
        <v>1.58</v>
      </c>
      <c r="N428" s="301">
        <f>VLOOKUP(5522,季財報!A:N,8,0)</f>
        <v>1</v>
      </c>
    </row>
    <row r="429" spans="1:14">
      <c r="A429" s="187">
        <v>5607</v>
      </c>
      <c r="C429">
        <v>77</v>
      </c>
      <c r="D429">
        <v>0</v>
      </c>
      <c r="E429">
        <v>1676</v>
      </c>
      <c r="F429">
        <v>3806</v>
      </c>
      <c r="G429">
        <v>669</v>
      </c>
      <c r="H429" s="200">
        <v>0.05</v>
      </c>
      <c r="I429">
        <f t="shared" si="51"/>
        <v>231</v>
      </c>
      <c r="J429" s="193">
        <v>0.02</v>
      </c>
      <c r="K429">
        <f t="shared" si="52"/>
        <v>496</v>
      </c>
      <c r="L429" s="62">
        <f t="shared" si="53"/>
        <v>425</v>
      </c>
      <c r="M429" s="304">
        <v>1.58</v>
      </c>
      <c r="N429" s="301">
        <f>VLOOKUP(5607,季財報!A:N,8,0)</f>
        <v>4</v>
      </c>
    </row>
    <row r="430" spans="1:14">
      <c r="A430" s="187">
        <v>2347</v>
      </c>
      <c r="C430">
        <v>1529</v>
      </c>
      <c r="D430">
        <v>23778</v>
      </c>
      <c r="E430">
        <v>7088</v>
      </c>
      <c r="F430">
        <v>43289</v>
      </c>
      <c r="G430">
        <v>52292</v>
      </c>
      <c r="H430" s="200">
        <v>0.05</v>
      </c>
      <c r="I430">
        <f t="shared" si="51"/>
        <v>231</v>
      </c>
      <c r="J430" s="193">
        <v>0.02</v>
      </c>
      <c r="K430">
        <f t="shared" si="52"/>
        <v>496</v>
      </c>
      <c r="L430" s="62">
        <f t="shared" si="53"/>
        <v>425</v>
      </c>
      <c r="M430" s="304">
        <v>1.58</v>
      </c>
      <c r="N430" s="301">
        <f>VLOOKUP(2347,季財報!A:N,8,0)</f>
        <v>0</v>
      </c>
    </row>
    <row r="431" spans="1:14">
      <c r="A431" s="187">
        <v>3033</v>
      </c>
      <c r="C431">
        <v>252</v>
      </c>
      <c r="D431">
        <v>4600</v>
      </c>
      <c r="E431">
        <v>162</v>
      </c>
      <c r="F431">
        <v>4654</v>
      </c>
      <c r="G431">
        <v>6926</v>
      </c>
      <c r="H431" s="200">
        <v>0.05</v>
      </c>
      <c r="I431">
        <f t="shared" si="51"/>
        <v>231</v>
      </c>
      <c r="J431" s="193">
        <v>0.02</v>
      </c>
      <c r="K431">
        <f t="shared" si="52"/>
        <v>496</v>
      </c>
      <c r="L431" s="62">
        <f t="shared" si="53"/>
        <v>425</v>
      </c>
      <c r="M431" s="304">
        <v>1.58</v>
      </c>
      <c r="N431" s="301">
        <f>VLOOKUP(3033,季財報!A:N,8,0)</f>
        <v>3</v>
      </c>
    </row>
    <row r="432" spans="1:14">
      <c r="A432" s="187">
        <v>3036</v>
      </c>
      <c r="C432">
        <v>739</v>
      </c>
      <c r="D432">
        <v>15278</v>
      </c>
      <c r="E432">
        <v>619</v>
      </c>
      <c r="F432">
        <v>16533</v>
      </c>
      <c r="G432">
        <v>17380</v>
      </c>
      <c r="H432" s="200">
        <v>0.05</v>
      </c>
      <c r="I432">
        <f t="shared" si="51"/>
        <v>231</v>
      </c>
      <c r="J432" s="193">
        <v>0.02</v>
      </c>
      <c r="K432">
        <f t="shared" si="52"/>
        <v>496</v>
      </c>
      <c r="L432" s="62">
        <f t="shared" si="53"/>
        <v>425</v>
      </c>
      <c r="M432" s="304">
        <v>1.58</v>
      </c>
      <c r="N432" s="301">
        <f>VLOOKUP(3036,季財報!A:N,8,0)</f>
        <v>1</v>
      </c>
    </row>
    <row r="433" spans="1:14">
      <c r="A433" s="187">
        <v>3702</v>
      </c>
      <c r="C433">
        <v>2701</v>
      </c>
      <c r="D433">
        <v>44809</v>
      </c>
      <c r="E433">
        <v>4639</v>
      </c>
      <c r="F433">
        <v>47414</v>
      </c>
      <c r="G433">
        <v>62512</v>
      </c>
      <c r="H433" s="200">
        <v>0.05</v>
      </c>
      <c r="I433">
        <f t="shared" si="51"/>
        <v>231</v>
      </c>
      <c r="J433" s="193">
        <v>0.02</v>
      </c>
      <c r="K433">
        <f t="shared" si="52"/>
        <v>496</v>
      </c>
      <c r="L433" s="62">
        <f t="shared" si="53"/>
        <v>425</v>
      </c>
      <c r="M433" s="304">
        <v>1.58</v>
      </c>
      <c r="N433" s="301">
        <f>VLOOKUP(3702,季財報!A:N,8,0)</f>
        <v>1</v>
      </c>
    </row>
    <row r="434" spans="1:14">
      <c r="A434" s="187">
        <v>1592</v>
      </c>
      <c r="C434">
        <v>129</v>
      </c>
      <c r="D434">
        <v>167</v>
      </c>
      <c r="E434">
        <v>2206</v>
      </c>
      <c r="F434">
        <v>3106</v>
      </c>
      <c r="G434">
        <v>2366</v>
      </c>
      <c r="H434" s="200">
        <v>0.05</v>
      </c>
      <c r="I434">
        <f t="shared" si="51"/>
        <v>231</v>
      </c>
      <c r="J434" s="193">
        <v>0.02</v>
      </c>
      <c r="K434">
        <f t="shared" si="52"/>
        <v>496</v>
      </c>
      <c r="L434" s="62">
        <f t="shared" si="53"/>
        <v>425</v>
      </c>
      <c r="M434" s="304">
        <v>1.58</v>
      </c>
      <c r="N434" s="301">
        <f>VLOOKUP(1592,季財報!A:N,8,0)</f>
        <v>3</v>
      </c>
    </row>
    <row r="435" spans="1:14">
      <c r="A435" s="187">
        <v>1613</v>
      </c>
      <c r="C435">
        <v>202</v>
      </c>
      <c r="D435">
        <v>0</v>
      </c>
      <c r="E435">
        <v>3902</v>
      </c>
      <c r="F435">
        <v>1968</v>
      </c>
      <c r="G435">
        <v>6915</v>
      </c>
      <c r="H435" s="200">
        <v>0.05</v>
      </c>
      <c r="I435">
        <f t="shared" si="51"/>
        <v>231</v>
      </c>
      <c r="J435" s="193">
        <v>0.02</v>
      </c>
      <c r="K435">
        <f t="shared" si="52"/>
        <v>496</v>
      </c>
      <c r="L435" s="62">
        <f t="shared" si="53"/>
        <v>425</v>
      </c>
      <c r="M435" s="304">
        <v>1.58</v>
      </c>
      <c r="N435" s="301">
        <f>VLOOKUP(1613,季財報!A:N,8,0)</f>
        <v>1</v>
      </c>
    </row>
    <row r="436" spans="1:14">
      <c r="A436" s="187">
        <v>2634</v>
      </c>
      <c r="C436">
        <v>524</v>
      </c>
      <c r="D436">
        <v>6138</v>
      </c>
      <c r="E436">
        <v>5015</v>
      </c>
      <c r="F436">
        <v>11140</v>
      </c>
      <c r="G436">
        <v>10924</v>
      </c>
      <c r="H436" s="200">
        <v>0.05</v>
      </c>
      <c r="I436">
        <f t="shared" si="51"/>
        <v>231</v>
      </c>
      <c r="J436" s="193">
        <v>0.02</v>
      </c>
      <c r="K436">
        <f t="shared" si="52"/>
        <v>496</v>
      </c>
      <c r="L436" s="62">
        <f t="shared" si="53"/>
        <v>425</v>
      </c>
      <c r="M436" s="304">
        <v>1.58</v>
      </c>
      <c r="N436" s="301">
        <f>VLOOKUP(2634,季財報!A:N,8,0)</f>
        <v>3</v>
      </c>
    </row>
    <row r="437" spans="1:14">
      <c r="A437" s="187">
        <v>8271</v>
      </c>
      <c r="C437">
        <v>89</v>
      </c>
      <c r="D437">
        <v>2064</v>
      </c>
      <c r="E437">
        <v>717</v>
      </c>
      <c r="F437">
        <v>2837</v>
      </c>
      <c r="G437">
        <v>296</v>
      </c>
      <c r="H437" s="200">
        <v>0.03</v>
      </c>
      <c r="I437">
        <f t="shared" ref="I437:I468" si="54">RANK(0.03,H:H,0)</f>
        <v>466</v>
      </c>
      <c r="J437" s="193">
        <v>0.03</v>
      </c>
      <c r="K437">
        <f t="shared" ref="K437:K468" si="55">RANK(0.03,J:J,0)</f>
        <v>334</v>
      </c>
      <c r="L437" s="62">
        <f t="shared" ref="L437:L468" si="56">RANK(1.9,M:M,0)</f>
        <v>436</v>
      </c>
      <c r="M437" s="304">
        <v>1.58</v>
      </c>
      <c r="N437" s="301">
        <f>VLOOKUP(8271,季財報!A:N,8,0)</f>
        <v>2</v>
      </c>
    </row>
    <row r="438" spans="1:14">
      <c r="A438" s="187">
        <v>8079</v>
      </c>
      <c r="C438">
        <v>36</v>
      </c>
      <c r="D438">
        <v>831</v>
      </c>
      <c r="E438">
        <v>356</v>
      </c>
      <c r="F438">
        <v>1181</v>
      </c>
      <c r="G438">
        <v>1</v>
      </c>
      <c r="H438" s="200">
        <v>0.03</v>
      </c>
      <c r="I438">
        <f t="shared" si="54"/>
        <v>466</v>
      </c>
      <c r="J438" s="193">
        <v>0.03</v>
      </c>
      <c r="K438">
        <f t="shared" si="55"/>
        <v>334</v>
      </c>
      <c r="L438" s="62">
        <f t="shared" si="56"/>
        <v>436</v>
      </c>
      <c r="M438" s="304">
        <v>1.58</v>
      </c>
      <c r="N438" s="301">
        <f>VLOOKUP(8079,季財報!A:N,8,0)</f>
        <v>3</v>
      </c>
    </row>
    <row r="439" spans="1:14">
      <c r="A439" s="187">
        <v>8131</v>
      </c>
      <c r="C439">
        <v>301</v>
      </c>
      <c r="D439">
        <v>5918</v>
      </c>
      <c r="E439">
        <v>3245</v>
      </c>
      <c r="F439">
        <v>9433</v>
      </c>
      <c r="G439">
        <v>0</v>
      </c>
      <c r="H439" s="200">
        <v>0.03</v>
      </c>
      <c r="I439">
        <f t="shared" si="54"/>
        <v>466</v>
      </c>
      <c r="J439" s="193">
        <v>0.03</v>
      </c>
      <c r="K439">
        <f t="shared" si="55"/>
        <v>334</v>
      </c>
      <c r="L439" s="62">
        <f t="shared" si="56"/>
        <v>436</v>
      </c>
      <c r="M439" s="304">
        <v>1.58</v>
      </c>
      <c r="N439" s="301">
        <f>VLOOKUP(8131,季財報!A:N,8,0)</f>
        <v>2</v>
      </c>
    </row>
    <row r="440" spans="1:14">
      <c r="A440" s="187">
        <v>6278</v>
      </c>
      <c r="C440">
        <v>409</v>
      </c>
      <c r="D440">
        <v>5640</v>
      </c>
      <c r="E440">
        <v>7502</v>
      </c>
      <c r="F440">
        <v>11943</v>
      </c>
      <c r="G440">
        <v>3103</v>
      </c>
      <c r="H440" s="200">
        <v>0.03</v>
      </c>
      <c r="I440">
        <f t="shared" si="54"/>
        <v>466</v>
      </c>
      <c r="J440" s="193">
        <v>0.03</v>
      </c>
      <c r="K440">
        <f t="shared" si="55"/>
        <v>334</v>
      </c>
      <c r="L440" s="62">
        <f t="shared" si="56"/>
        <v>436</v>
      </c>
      <c r="M440" s="304">
        <v>1.58</v>
      </c>
      <c r="N440" s="301">
        <f>VLOOKUP(6278,季財報!A:N,8,0)</f>
        <v>1</v>
      </c>
    </row>
    <row r="441" spans="1:14">
      <c r="A441" s="187">
        <v>8021</v>
      </c>
      <c r="C441">
        <v>170</v>
      </c>
      <c r="D441">
        <v>2296</v>
      </c>
      <c r="E441">
        <v>3116</v>
      </c>
      <c r="F441">
        <v>4871</v>
      </c>
      <c r="G441">
        <v>249</v>
      </c>
      <c r="H441" s="200">
        <v>0.03</v>
      </c>
      <c r="I441">
        <f t="shared" si="54"/>
        <v>466</v>
      </c>
      <c r="J441" s="193">
        <v>0.03</v>
      </c>
      <c r="K441">
        <f t="shared" si="55"/>
        <v>334</v>
      </c>
      <c r="L441" s="62">
        <f t="shared" si="56"/>
        <v>436</v>
      </c>
      <c r="M441" s="304">
        <v>1.58</v>
      </c>
      <c r="N441" s="301">
        <f>VLOOKUP(8021,季財報!A:N,8,0)</f>
        <v>4</v>
      </c>
    </row>
    <row r="442" spans="1:14">
      <c r="A442" s="187">
        <v>6411</v>
      </c>
      <c r="C442">
        <v>40</v>
      </c>
      <c r="D442">
        <v>850</v>
      </c>
      <c r="E442">
        <v>371</v>
      </c>
      <c r="F442">
        <v>1256</v>
      </c>
      <c r="G442">
        <v>100</v>
      </c>
      <c r="H442" s="200">
        <v>0.03</v>
      </c>
      <c r="I442">
        <f t="shared" si="54"/>
        <v>466</v>
      </c>
      <c r="J442" s="193">
        <v>0.03</v>
      </c>
      <c r="K442">
        <f t="shared" si="55"/>
        <v>334</v>
      </c>
      <c r="L442" s="62">
        <f t="shared" si="56"/>
        <v>436</v>
      </c>
      <c r="M442" s="304">
        <v>1.58</v>
      </c>
      <c r="N442" s="301">
        <f>VLOOKUP(6411,季財報!A:N,8,0)</f>
        <v>2</v>
      </c>
    </row>
    <row r="443" spans="1:14">
      <c r="A443" s="187">
        <v>4994</v>
      </c>
      <c r="C443">
        <v>56</v>
      </c>
      <c r="D443">
        <v>1595</v>
      </c>
      <c r="E443">
        <v>65</v>
      </c>
      <c r="F443">
        <v>1708</v>
      </c>
      <c r="G443">
        <v>0</v>
      </c>
      <c r="H443" s="200">
        <v>0.03</v>
      </c>
      <c r="I443">
        <f t="shared" si="54"/>
        <v>466</v>
      </c>
      <c r="J443" s="193">
        <v>0.03</v>
      </c>
      <c r="K443">
        <f t="shared" si="55"/>
        <v>334</v>
      </c>
      <c r="L443" s="62">
        <f t="shared" si="56"/>
        <v>436</v>
      </c>
      <c r="M443" s="304">
        <v>1.58</v>
      </c>
      <c r="N443" s="301">
        <f>VLOOKUP(4994,季財報!A:N,8,0)</f>
        <v>4</v>
      </c>
    </row>
    <row r="444" spans="1:14">
      <c r="A444" s="187">
        <v>5215</v>
      </c>
      <c r="C444">
        <v>57</v>
      </c>
      <c r="D444">
        <v>1495</v>
      </c>
      <c r="E444">
        <v>634</v>
      </c>
      <c r="F444">
        <v>2076</v>
      </c>
      <c r="G444">
        <v>132</v>
      </c>
      <c r="H444" s="200">
        <v>0.03</v>
      </c>
      <c r="I444">
        <f t="shared" si="54"/>
        <v>466</v>
      </c>
      <c r="J444" s="193">
        <v>0.03</v>
      </c>
      <c r="K444">
        <f t="shared" si="55"/>
        <v>334</v>
      </c>
      <c r="L444" s="62">
        <f t="shared" si="56"/>
        <v>436</v>
      </c>
      <c r="M444" s="304">
        <v>1.58</v>
      </c>
      <c r="N444" s="301">
        <f>VLOOKUP(5215,季財報!A:N,8,0)</f>
        <v>4</v>
      </c>
    </row>
    <row r="445" spans="1:14">
      <c r="A445" s="187">
        <v>5276</v>
      </c>
      <c r="C445">
        <v>21</v>
      </c>
      <c r="D445">
        <v>560</v>
      </c>
      <c r="E445">
        <v>99</v>
      </c>
      <c r="F445">
        <v>669</v>
      </c>
      <c r="G445">
        <v>0</v>
      </c>
      <c r="H445" s="200">
        <v>0.03</v>
      </c>
      <c r="I445">
        <f t="shared" si="54"/>
        <v>466</v>
      </c>
      <c r="J445" s="193">
        <v>0.03</v>
      </c>
      <c r="K445">
        <f t="shared" si="55"/>
        <v>334</v>
      </c>
      <c r="L445" s="62">
        <f t="shared" si="56"/>
        <v>436</v>
      </c>
      <c r="M445" s="304">
        <v>1.58</v>
      </c>
      <c r="N445" s="301">
        <f>VLOOKUP(5276,季財報!A:N,8,0)</f>
        <v>2</v>
      </c>
    </row>
    <row r="446" spans="1:14">
      <c r="A446" s="187">
        <v>5285</v>
      </c>
      <c r="C446">
        <v>63</v>
      </c>
      <c r="D446">
        <v>1499</v>
      </c>
      <c r="E446">
        <v>779</v>
      </c>
      <c r="F446">
        <v>1615</v>
      </c>
      <c r="G446">
        <v>241</v>
      </c>
      <c r="H446" s="200">
        <v>0.03</v>
      </c>
      <c r="I446">
        <f t="shared" si="54"/>
        <v>466</v>
      </c>
      <c r="J446" s="193">
        <v>0.03</v>
      </c>
      <c r="K446">
        <f t="shared" si="55"/>
        <v>334</v>
      </c>
      <c r="L446" s="62">
        <f t="shared" si="56"/>
        <v>436</v>
      </c>
      <c r="M446" s="304">
        <v>1.58</v>
      </c>
      <c r="N446" s="301">
        <f>VLOOKUP(5285,季財報!A:N,8,0)</f>
        <v>4</v>
      </c>
    </row>
    <row r="447" spans="1:14">
      <c r="A447" s="187">
        <v>5347</v>
      </c>
      <c r="C447">
        <v>894</v>
      </c>
      <c r="D447">
        <v>19211</v>
      </c>
      <c r="E447">
        <v>7350</v>
      </c>
      <c r="F447">
        <v>26542</v>
      </c>
      <c r="G447">
        <v>0</v>
      </c>
      <c r="H447" s="200">
        <v>0.03</v>
      </c>
      <c r="I447">
        <f t="shared" si="54"/>
        <v>466</v>
      </c>
      <c r="J447" s="193">
        <v>0.03</v>
      </c>
      <c r="K447">
        <f t="shared" si="55"/>
        <v>334</v>
      </c>
      <c r="L447" s="62">
        <f t="shared" si="56"/>
        <v>436</v>
      </c>
      <c r="M447" s="304">
        <v>1.58</v>
      </c>
      <c r="N447" s="301">
        <f>VLOOKUP(5347,季財報!A:N,8,0)</f>
        <v>1</v>
      </c>
    </row>
    <row r="448" spans="1:14">
      <c r="A448" s="187">
        <v>5471</v>
      </c>
      <c r="C448">
        <v>80</v>
      </c>
      <c r="D448">
        <v>2378</v>
      </c>
      <c r="E448">
        <v>466</v>
      </c>
      <c r="F448">
        <v>3052</v>
      </c>
      <c r="G448">
        <v>0</v>
      </c>
      <c r="H448" s="200">
        <v>0.03</v>
      </c>
      <c r="I448">
        <f t="shared" si="54"/>
        <v>466</v>
      </c>
      <c r="J448" s="193">
        <v>0.03</v>
      </c>
      <c r="K448">
        <f t="shared" si="55"/>
        <v>334</v>
      </c>
      <c r="L448" s="62">
        <f t="shared" si="56"/>
        <v>436</v>
      </c>
      <c r="M448" s="304">
        <v>1.58</v>
      </c>
      <c r="N448" s="301">
        <f>VLOOKUP(5471,季財報!A:N,8,0)</f>
        <v>1</v>
      </c>
    </row>
    <row r="449" spans="1:14">
      <c r="A449" s="187">
        <v>5704</v>
      </c>
      <c r="C449">
        <v>12</v>
      </c>
      <c r="D449">
        <v>136</v>
      </c>
      <c r="E449">
        <v>319</v>
      </c>
      <c r="F449">
        <v>460</v>
      </c>
      <c r="G449">
        <v>0</v>
      </c>
      <c r="H449" s="200">
        <v>0.03</v>
      </c>
      <c r="I449">
        <f t="shared" si="54"/>
        <v>466</v>
      </c>
      <c r="J449" s="193">
        <v>0.03</v>
      </c>
      <c r="K449">
        <f t="shared" si="55"/>
        <v>334</v>
      </c>
      <c r="L449" s="62">
        <f t="shared" si="56"/>
        <v>436</v>
      </c>
      <c r="M449" s="304">
        <v>1.58</v>
      </c>
      <c r="N449" s="301">
        <f>VLOOKUP(5704,季財報!A:N,8,0)</f>
        <v>1</v>
      </c>
    </row>
    <row r="450" spans="1:14">
      <c r="A450" s="187">
        <v>4706</v>
      </c>
      <c r="C450">
        <v>42</v>
      </c>
      <c r="D450">
        <v>1081</v>
      </c>
      <c r="E450">
        <v>272</v>
      </c>
      <c r="F450">
        <v>1321</v>
      </c>
      <c r="G450">
        <v>160</v>
      </c>
      <c r="H450" s="200">
        <v>0.03</v>
      </c>
      <c r="I450">
        <f t="shared" si="54"/>
        <v>466</v>
      </c>
      <c r="J450" s="193">
        <v>0.03</v>
      </c>
      <c r="K450">
        <f t="shared" si="55"/>
        <v>334</v>
      </c>
      <c r="L450" s="62">
        <f t="shared" si="56"/>
        <v>436</v>
      </c>
      <c r="M450" s="304">
        <v>1.58</v>
      </c>
      <c r="N450" s="301">
        <f>VLOOKUP(4706,季財報!A:N,8,0)</f>
        <v>4</v>
      </c>
    </row>
    <row r="451" spans="1:14">
      <c r="A451" s="187">
        <v>5536</v>
      </c>
      <c r="C451">
        <v>94</v>
      </c>
      <c r="D451">
        <v>2484</v>
      </c>
      <c r="E451">
        <v>331</v>
      </c>
      <c r="F451">
        <v>2931</v>
      </c>
      <c r="G451">
        <v>71</v>
      </c>
      <c r="H451" s="200">
        <v>0.03</v>
      </c>
      <c r="I451">
        <f t="shared" si="54"/>
        <v>466</v>
      </c>
      <c r="J451" s="193">
        <v>0.03</v>
      </c>
      <c r="K451">
        <f t="shared" si="55"/>
        <v>334</v>
      </c>
      <c r="L451" s="62">
        <f t="shared" si="56"/>
        <v>436</v>
      </c>
      <c r="M451" s="304">
        <v>1.58</v>
      </c>
      <c r="N451" s="301">
        <f>VLOOKUP(5536,季財報!A:N,8,0)</f>
        <v>2</v>
      </c>
    </row>
    <row r="452" spans="1:14">
      <c r="A452" s="187">
        <v>1213</v>
      </c>
      <c r="C452">
        <v>18</v>
      </c>
      <c r="D452">
        <v>325</v>
      </c>
      <c r="E452">
        <v>308</v>
      </c>
      <c r="F452">
        <v>692</v>
      </c>
      <c r="G452">
        <v>0</v>
      </c>
      <c r="H452" s="200">
        <v>0.03</v>
      </c>
      <c r="I452">
        <f t="shared" si="54"/>
        <v>466</v>
      </c>
      <c r="J452" s="193">
        <v>0.03</v>
      </c>
      <c r="K452">
        <f t="shared" si="55"/>
        <v>334</v>
      </c>
      <c r="L452" s="62">
        <f t="shared" si="56"/>
        <v>436</v>
      </c>
      <c r="M452" s="304">
        <v>1.58</v>
      </c>
      <c r="N452" s="301">
        <f>VLOOKUP(1213,季財報!A:N,8,0)</f>
        <v>4</v>
      </c>
    </row>
    <row r="453" spans="1:14">
      <c r="A453" s="187">
        <v>1231</v>
      </c>
      <c r="C453">
        <v>102</v>
      </c>
      <c r="D453">
        <v>892</v>
      </c>
      <c r="E453">
        <v>2872</v>
      </c>
      <c r="F453">
        <v>2726</v>
      </c>
      <c r="G453">
        <v>936</v>
      </c>
      <c r="H453" s="200">
        <v>0.03</v>
      </c>
      <c r="I453">
        <f t="shared" si="54"/>
        <v>466</v>
      </c>
      <c r="J453" s="193">
        <v>0.03</v>
      </c>
      <c r="K453">
        <f t="shared" si="55"/>
        <v>334</v>
      </c>
      <c r="L453" s="62">
        <f t="shared" si="56"/>
        <v>436</v>
      </c>
      <c r="M453" s="304">
        <v>1.58</v>
      </c>
      <c r="N453" s="301">
        <f>VLOOKUP(1231,季財報!A:N,8,0)</f>
        <v>1</v>
      </c>
    </row>
    <row r="454" spans="1:14">
      <c r="A454" s="187">
        <v>1233</v>
      </c>
      <c r="C454">
        <v>39</v>
      </c>
      <c r="D454">
        <v>256</v>
      </c>
      <c r="E454">
        <v>987</v>
      </c>
      <c r="F454">
        <v>1381</v>
      </c>
      <c r="G454">
        <v>104</v>
      </c>
      <c r="H454" s="200">
        <v>0.03</v>
      </c>
      <c r="I454">
        <f t="shared" si="54"/>
        <v>466</v>
      </c>
      <c r="J454" s="193">
        <v>0.03</v>
      </c>
      <c r="K454">
        <f t="shared" si="55"/>
        <v>334</v>
      </c>
      <c r="L454" s="62">
        <f t="shared" si="56"/>
        <v>436</v>
      </c>
      <c r="M454" s="304">
        <v>1.46</v>
      </c>
      <c r="N454" s="301">
        <f>VLOOKUP(1233,季財報!A:N,8,0)</f>
        <v>3</v>
      </c>
    </row>
    <row r="455" spans="1:14">
      <c r="A455" s="187">
        <v>1526</v>
      </c>
      <c r="C455">
        <v>24</v>
      </c>
      <c r="D455">
        <v>399</v>
      </c>
      <c r="E455">
        <v>414</v>
      </c>
      <c r="F455">
        <v>614</v>
      </c>
      <c r="G455">
        <v>212</v>
      </c>
      <c r="H455" s="200">
        <v>0.03</v>
      </c>
      <c r="I455">
        <f t="shared" si="54"/>
        <v>466</v>
      </c>
      <c r="J455" s="193">
        <v>0.03</v>
      </c>
      <c r="K455">
        <f t="shared" si="55"/>
        <v>334</v>
      </c>
      <c r="L455" s="62">
        <f t="shared" si="56"/>
        <v>436</v>
      </c>
      <c r="M455" s="304">
        <v>1.46</v>
      </c>
      <c r="N455" s="301">
        <f>VLOOKUP(1526,季財報!A:N,8,0)</f>
        <v>3</v>
      </c>
    </row>
    <row r="456" spans="1:14">
      <c r="A456" s="187">
        <v>1589</v>
      </c>
      <c r="C456">
        <v>341</v>
      </c>
      <c r="D456">
        <v>6334</v>
      </c>
      <c r="E456">
        <v>5039</v>
      </c>
      <c r="F456">
        <v>9503</v>
      </c>
      <c r="G456">
        <v>389</v>
      </c>
      <c r="H456" s="200">
        <v>0.03</v>
      </c>
      <c r="I456">
        <f t="shared" si="54"/>
        <v>466</v>
      </c>
      <c r="J456" s="193">
        <v>0.03</v>
      </c>
      <c r="K456">
        <f t="shared" si="55"/>
        <v>334</v>
      </c>
      <c r="L456" s="62">
        <f t="shared" si="56"/>
        <v>436</v>
      </c>
      <c r="M456" s="304">
        <v>1.46</v>
      </c>
      <c r="N456" s="301">
        <f>VLOOKUP(1589,季財報!A:N,8,0)</f>
        <v>4</v>
      </c>
    </row>
    <row r="457" spans="1:14">
      <c r="A457" s="187">
        <v>2115</v>
      </c>
      <c r="C457">
        <v>62</v>
      </c>
      <c r="D457">
        <v>1699</v>
      </c>
      <c r="E457">
        <v>605</v>
      </c>
      <c r="F457">
        <v>2035</v>
      </c>
      <c r="G457">
        <v>181</v>
      </c>
      <c r="H457" s="200">
        <v>0.03</v>
      </c>
      <c r="I457">
        <f t="shared" si="54"/>
        <v>466</v>
      </c>
      <c r="J457" s="193">
        <v>0.03</v>
      </c>
      <c r="K457">
        <f t="shared" si="55"/>
        <v>334</v>
      </c>
      <c r="L457" s="62">
        <f t="shared" si="56"/>
        <v>436</v>
      </c>
      <c r="M457" s="304">
        <v>1.46</v>
      </c>
      <c r="N457" s="301">
        <f>VLOOKUP(2115,季財報!A:N,8,0)</f>
        <v>3</v>
      </c>
    </row>
    <row r="458" spans="1:14">
      <c r="A458" s="187">
        <v>2351</v>
      </c>
      <c r="C458">
        <v>200</v>
      </c>
      <c r="D458">
        <v>2243</v>
      </c>
      <c r="E458">
        <v>4603</v>
      </c>
      <c r="F458">
        <v>5031</v>
      </c>
      <c r="G458">
        <v>1668</v>
      </c>
      <c r="H458" s="200">
        <v>0.03</v>
      </c>
      <c r="I458">
        <f t="shared" si="54"/>
        <v>466</v>
      </c>
      <c r="J458" s="193">
        <v>0.03</v>
      </c>
      <c r="K458">
        <f t="shared" si="55"/>
        <v>334</v>
      </c>
      <c r="L458" s="62">
        <f t="shared" si="56"/>
        <v>436</v>
      </c>
      <c r="M458" s="304">
        <v>1.38</v>
      </c>
      <c r="N458" s="301">
        <f>VLOOKUP(2351,季財報!A:N,8,0)</f>
        <v>2</v>
      </c>
    </row>
    <row r="459" spans="1:14">
      <c r="A459" s="187">
        <v>2376</v>
      </c>
      <c r="C459">
        <v>643</v>
      </c>
      <c r="D459">
        <v>17430</v>
      </c>
      <c r="E459">
        <v>4074</v>
      </c>
      <c r="F459">
        <v>22502</v>
      </c>
      <c r="G459">
        <v>71</v>
      </c>
      <c r="H459" s="200">
        <v>0.03</v>
      </c>
      <c r="I459">
        <f t="shared" si="54"/>
        <v>466</v>
      </c>
      <c r="J459" s="193">
        <v>0.03</v>
      </c>
      <c r="K459">
        <f t="shared" si="55"/>
        <v>334</v>
      </c>
      <c r="L459" s="62">
        <f t="shared" si="56"/>
        <v>436</v>
      </c>
      <c r="M459" s="304">
        <v>1.36</v>
      </c>
      <c r="N459" s="301">
        <f>VLOOKUP(2376,季財報!A:N,8,0)</f>
        <v>4</v>
      </c>
    </row>
    <row r="460" spans="1:14">
      <c r="A460" s="187">
        <v>2444</v>
      </c>
      <c r="C460">
        <v>27</v>
      </c>
      <c r="D460">
        <v>467</v>
      </c>
      <c r="E460">
        <v>452</v>
      </c>
      <c r="F460">
        <v>845</v>
      </c>
      <c r="G460">
        <v>101</v>
      </c>
      <c r="H460" s="200">
        <v>0.03</v>
      </c>
      <c r="I460">
        <f t="shared" si="54"/>
        <v>466</v>
      </c>
      <c r="J460" s="193">
        <v>0.03</v>
      </c>
      <c r="K460">
        <f t="shared" si="55"/>
        <v>334</v>
      </c>
      <c r="L460" s="62">
        <f t="shared" si="56"/>
        <v>436</v>
      </c>
      <c r="M460" s="304">
        <v>1.36</v>
      </c>
      <c r="N460" s="301">
        <f>VLOOKUP(2444,季財報!A:N,8,0)</f>
        <v>4</v>
      </c>
    </row>
    <row r="461" spans="1:14">
      <c r="A461" s="187">
        <v>2451</v>
      </c>
      <c r="C461">
        <v>635</v>
      </c>
      <c r="D461">
        <v>16088</v>
      </c>
      <c r="E461">
        <v>3084</v>
      </c>
      <c r="F461">
        <v>19754</v>
      </c>
      <c r="G461">
        <v>411</v>
      </c>
      <c r="H461" s="200">
        <v>0.03</v>
      </c>
      <c r="I461">
        <f t="shared" si="54"/>
        <v>466</v>
      </c>
      <c r="J461" s="193">
        <v>0.03</v>
      </c>
      <c r="K461">
        <f t="shared" si="55"/>
        <v>334</v>
      </c>
      <c r="L461" s="62">
        <f t="shared" si="56"/>
        <v>436</v>
      </c>
      <c r="M461" s="304">
        <v>1.36</v>
      </c>
      <c r="N461" s="301">
        <f>VLOOKUP(2451,季財報!A:N,8,0)</f>
        <v>3</v>
      </c>
    </row>
    <row r="462" spans="1:14">
      <c r="A462" s="187">
        <v>2456</v>
      </c>
      <c r="C462">
        <v>162</v>
      </c>
      <c r="D462">
        <v>1617</v>
      </c>
      <c r="E462">
        <v>3813</v>
      </c>
      <c r="F462">
        <v>3779</v>
      </c>
      <c r="G462">
        <v>1131</v>
      </c>
      <c r="H462" s="200">
        <v>0.03</v>
      </c>
      <c r="I462">
        <f t="shared" si="54"/>
        <v>466</v>
      </c>
      <c r="J462" s="193">
        <v>0.03</v>
      </c>
      <c r="K462">
        <f t="shared" si="55"/>
        <v>334</v>
      </c>
      <c r="L462" s="62">
        <f t="shared" si="56"/>
        <v>436</v>
      </c>
      <c r="M462" s="304">
        <v>1.36</v>
      </c>
      <c r="N462" s="301">
        <f>VLOOKUP(2456,季財報!A:N,8,0)</f>
        <v>4</v>
      </c>
    </row>
    <row r="463" spans="1:14">
      <c r="A463" s="187">
        <v>2458</v>
      </c>
      <c r="C463">
        <v>197</v>
      </c>
      <c r="D463">
        <v>5117</v>
      </c>
      <c r="E463">
        <v>629</v>
      </c>
      <c r="F463">
        <v>6877</v>
      </c>
      <c r="G463">
        <v>46</v>
      </c>
      <c r="H463" s="200">
        <v>0.03</v>
      </c>
      <c r="I463">
        <f t="shared" si="54"/>
        <v>466</v>
      </c>
      <c r="J463" s="193">
        <v>0.03</v>
      </c>
      <c r="K463">
        <f t="shared" si="55"/>
        <v>334</v>
      </c>
      <c r="L463" s="62">
        <f t="shared" si="56"/>
        <v>436</v>
      </c>
      <c r="M463" s="304">
        <v>1.36</v>
      </c>
      <c r="N463" s="301">
        <f>VLOOKUP(2458,季財報!A:N,8,0)</f>
        <v>2</v>
      </c>
    </row>
    <row r="464" spans="1:14">
      <c r="A464" s="187">
        <v>2476</v>
      </c>
      <c r="C464">
        <v>163</v>
      </c>
      <c r="D464">
        <v>3591</v>
      </c>
      <c r="E464">
        <v>1587</v>
      </c>
      <c r="F464">
        <v>5135</v>
      </c>
      <c r="G464">
        <v>230</v>
      </c>
      <c r="H464" s="200">
        <v>0.03</v>
      </c>
      <c r="I464">
        <f t="shared" si="54"/>
        <v>466</v>
      </c>
      <c r="J464" s="193">
        <v>0.03</v>
      </c>
      <c r="K464">
        <f t="shared" si="55"/>
        <v>334</v>
      </c>
      <c r="L464" s="62">
        <f t="shared" si="56"/>
        <v>436</v>
      </c>
      <c r="M464" s="304">
        <v>1.36</v>
      </c>
      <c r="N464" s="301">
        <f>VLOOKUP(2476,季財報!A:N,8,0)</f>
        <v>3</v>
      </c>
    </row>
    <row r="465" spans="1:14">
      <c r="A465" s="187">
        <v>2535</v>
      </c>
      <c r="C465">
        <v>180</v>
      </c>
      <c r="D465">
        <v>5943</v>
      </c>
      <c r="E465">
        <v>463</v>
      </c>
      <c r="F465">
        <v>4597</v>
      </c>
      <c r="G465">
        <v>1115</v>
      </c>
      <c r="H465" s="200">
        <v>0.03</v>
      </c>
      <c r="I465">
        <f t="shared" si="54"/>
        <v>466</v>
      </c>
      <c r="J465" s="193">
        <v>0.03</v>
      </c>
      <c r="K465">
        <f t="shared" si="55"/>
        <v>334</v>
      </c>
      <c r="L465" s="62">
        <f t="shared" si="56"/>
        <v>436</v>
      </c>
      <c r="M465" s="304">
        <v>1.36</v>
      </c>
      <c r="N465" s="301">
        <f>VLOOKUP(2535,季財報!A:N,8,0)</f>
        <v>3</v>
      </c>
    </row>
    <row r="466" spans="1:14">
      <c r="A466" s="187">
        <v>2901</v>
      </c>
      <c r="C466">
        <v>24</v>
      </c>
      <c r="D466">
        <v>331</v>
      </c>
      <c r="E466">
        <v>451</v>
      </c>
      <c r="F466">
        <v>863</v>
      </c>
      <c r="G466">
        <v>0</v>
      </c>
      <c r="H466" s="200">
        <v>0.03</v>
      </c>
      <c r="I466">
        <f t="shared" si="54"/>
        <v>466</v>
      </c>
      <c r="J466" s="193">
        <v>0.03</v>
      </c>
      <c r="K466">
        <f t="shared" si="55"/>
        <v>334</v>
      </c>
      <c r="L466" s="62">
        <f t="shared" si="56"/>
        <v>436</v>
      </c>
      <c r="M466" s="304">
        <v>1.36</v>
      </c>
      <c r="N466" s="301">
        <f>VLOOKUP(2901,季財報!A:N,8,0)</f>
        <v>3</v>
      </c>
    </row>
    <row r="467" spans="1:14">
      <c r="A467" s="187">
        <v>2904</v>
      </c>
      <c r="C467">
        <v>29</v>
      </c>
      <c r="D467">
        <v>624</v>
      </c>
      <c r="E467">
        <v>250</v>
      </c>
      <c r="F467">
        <v>943</v>
      </c>
      <c r="G467">
        <v>0</v>
      </c>
      <c r="H467" s="200">
        <v>0.03</v>
      </c>
      <c r="I467">
        <f t="shared" si="54"/>
        <v>466</v>
      </c>
      <c r="J467" s="193">
        <v>0.03</v>
      </c>
      <c r="K467">
        <f t="shared" si="55"/>
        <v>334</v>
      </c>
      <c r="L467" s="62">
        <f t="shared" si="56"/>
        <v>436</v>
      </c>
      <c r="M467" s="304">
        <v>1.36</v>
      </c>
      <c r="N467" s="301">
        <f>VLOOKUP(2904,季財報!A:N,8,0)</f>
        <v>3</v>
      </c>
    </row>
    <row r="468" spans="1:14">
      <c r="A468" s="187">
        <v>3003</v>
      </c>
      <c r="C468">
        <v>121</v>
      </c>
      <c r="D468">
        <v>3179</v>
      </c>
      <c r="E468">
        <v>1095</v>
      </c>
      <c r="F468">
        <v>4071</v>
      </c>
      <c r="G468">
        <v>467</v>
      </c>
      <c r="H468" s="200">
        <v>0.03</v>
      </c>
      <c r="I468">
        <f t="shared" si="54"/>
        <v>466</v>
      </c>
      <c r="J468" s="193">
        <v>0.03</v>
      </c>
      <c r="K468">
        <f t="shared" si="55"/>
        <v>334</v>
      </c>
      <c r="L468" s="62">
        <f t="shared" si="56"/>
        <v>436</v>
      </c>
      <c r="M468" s="304">
        <v>1.36</v>
      </c>
      <c r="N468" s="301">
        <f>VLOOKUP(3003,季財報!A:N,8,0)</f>
        <v>2</v>
      </c>
    </row>
    <row r="469" spans="1:14">
      <c r="A469" s="187">
        <v>3017</v>
      </c>
      <c r="C469">
        <v>321</v>
      </c>
      <c r="D469">
        <v>4690</v>
      </c>
      <c r="E469">
        <v>5140</v>
      </c>
      <c r="F469">
        <v>8867</v>
      </c>
      <c r="G469">
        <v>2950</v>
      </c>
      <c r="H469" s="200">
        <v>0.03</v>
      </c>
      <c r="I469">
        <f t="shared" ref="I469:I500" si="57">RANK(0.03,H:H,0)</f>
        <v>466</v>
      </c>
      <c r="J469" s="193">
        <v>0.03</v>
      </c>
      <c r="K469">
        <f t="shared" ref="K469:K500" si="58">RANK(0.03,J:J,0)</f>
        <v>334</v>
      </c>
      <c r="L469" s="62">
        <f t="shared" ref="L469:L500" si="59">RANK(1.9,M:M,0)</f>
        <v>436</v>
      </c>
      <c r="M469" s="304">
        <v>1.36</v>
      </c>
      <c r="N469" s="301">
        <f>VLOOKUP(3017,季財報!A:N,8,0)</f>
        <v>3</v>
      </c>
    </row>
    <row r="470" spans="1:14">
      <c r="A470" s="187">
        <v>3029</v>
      </c>
      <c r="C470">
        <v>61</v>
      </c>
      <c r="D470">
        <v>1458</v>
      </c>
      <c r="E470">
        <v>309</v>
      </c>
      <c r="F470">
        <v>1868</v>
      </c>
      <c r="G470">
        <v>52</v>
      </c>
      <c r="H470" s="200">
        <v>0.03</v>
      </c>
      <c r="I470">
        <f t="shared" si="57"/>
        <v>466</v>
      </c>
      <c r="J470" s="193">
        <v>0.03</v>
      </c>
      <c r="K470">
        <f t="shared" si="58"/>
        <v>334</v>
      </c>
      <c r="L470" s="62">
        <f t="shared" si="59"/>
        <v>436</v>
      </c>
      <c r="M470" s="304">
        <v>1.36</v>
      </c>
      <c r="N470" s="301">
        <f>VLOOKUP(3029,季財報!A:N,8,0)</f>
        <v>2</v>
      </c>
    </row>
    <row r="471" spans="1:14">
      <c r="A471" s="187">
        <v>3093</v>
      </c>
      <c r="C471">
        <v>23</v>
      </c>
      <c r="D471">
        <v>620</v>
      </c>
      <c r="E471">
        <v>262</v>
      </c>
      <c r="F471">
        <v>914</v>
      </c>
      <c r="G471">
        <v>0</v>
      </c>
      <c r="H471" s="200">
        <v>0.03</v>
      </c>
      <c r="I471">
        <f t="shared" si="57"/>
        <v>466</v>
      </c>
      <c r="J471" s="193">
        <v>0.03</v>
      </c>
      <c r="K471">
        <f t="shared" si="58"/>
        <v>334</v>
      </c>
      <c r="L471" s="62">
        <f t="shared" si="59"/>
        <v>436</v>
      </c>
      <c r="M471" s="304">
        <v>1.36</v>
      </c>
      <c r="N471" s="301">
        <f>VLOOKUP(3093,季財報!A:N,8,0)</f>
        <v>4</v>
      </c>
    </row>
    <row r="472" spans="1:14">
      <c r="A472" s="187">
        <v>3171</v>
      </c>
      <c r="C472">
        <v>24</v>
      </c>
      <c r="D472">
        <v>372</v>
      </c>
      <c r="E472">
        <v>402</v>
      </c>
      <c r="F472">
        <v>610</v>
      </c>
      <c r="G472">
        <v>180</v>
      </c>
      <c r="H472" s="200">
        <v>0.03</v>
      </c>
      <c r="I472">
        <f t="shared" si="57"/>
        <v>466</v>
      </c>
      <c r="J472" s="193">
        <v>0.03</v>
      </c>
      <c r="K472">
        <f t="shared" si="58"/>
        <v>334</v>
      </c>
      <c r="L472" s="62">
        <f t="shared" si="59"/>
        <v>436</v>
      </c>
      <c r="M472" s="304">
        <v>1.36</v>
      </c>
      <c r="N472" s="301">
        <f>VLOOKUP(3171,季財報!A:N,8,0)</f>
        <v>3</v>
      </c>
    </row>
    <row r="473" spans="1:14">
      <c r="A473" s="187">
        <v>3189</v>
      </c>
      <c r="C473">
        <v>869</v>
      </c>
      <c r="D473">
        <v>12387</v>
      </c>
      <c r="E473">
        <v>15781</v>
      </c>
      <c r="F473">
        <v>30077</v>
      </c>
      <c r="G473">
        <v>4182</v>
      </c>
      <c r="H473" s="200">
        <v>0.03</v>
      </c>
      <c r="I473">
        <f t="shared" si="57"/>
        <v>466</v>
      </c>
      <c r="J473" s="193">
        <v>0.03</v>
      </c>
      <c r="K473">
        <f t="shared" si="58"/>
        <v>334</v>
      </c>
      <c r="L473" s="62">
        <f t="shared" si="59"/>
        <v>436</v>
      </c>
      <c r="M473" s="304">
        <v>1.36</v>
      </c>
      <c r="N473" s="301">
        <f>VLOOKUP(3189,季財報!A:N,8,0)</f>
        <v>2</v>
      </c>
    </row>
    <row r="474" spans="1:14">
      <c r="A474" s="187">
        <v>3303</v>
      </c>
      <c r="C474">
        <v>62</v>
      </c>
      <c r="D474">
        <v>644</v>
      </c>
      <c r="E474">
        <v>1375</v>
      </c>
      <c r="F474">
        <v>1754</v>
      </c>
      <c r="G474">
        <v>432</v>
      </c>
      <c r="H474" s="200">
        <v>0.03</v>
      </c>
      <c r="I474">
        <f t="shared" si="57"/>
        <v>466</v>
      </c>
      <c r="J474" s="193">
        <v>0.03</v>
      </c>
      <c r="K474">
        <f t="shared" si="58"/>
        <v>334</v>
      </c>
      <c r="L474" s="62">
        <f t="shared" si="59"/>
        <v>436</v>
      </c>
      <c r="M474" s="304">
        <v>1.36</v>
      </c>
      <c r="N474" s="301">
        <f>VLOOKUP(3303,季財報!A:N,8,0)</f>
        <v>5</v>
      </c>
    </row>
    <row r="475" spans="1:14">
      <c r="A475" s="187">
        <v>3338</v>
      </c>
      <c r="C475">
        <v>36</v>
      </c>
      <c r="D475">
        <v>861</v>
      </c>
      <c r="E475">
        <v>369</v>
      </c>
      <c r="F475">
        <v>1059</v>
      </c>
      <c r="G475">
        <v>43</v>
      </c>
      <c r="H475" s="200">
        <v>0.03</v>
      </c>
      <c r="I475">
        <f t="shared" si="57"/>
        <v>466</v>
      </c>
      <c r="J475" s="193">
        <v>0.03</v>
      </c>
      <c r="K475">
        <f t="shared" si="58"/>
        <v>334</v>
      </c>
      <c r="L475" s="62">
        <f t="shared" si="59"/>
        <v>436</v>
      </c>
      <c r="M475" s="304">
        <v>1.36</v>
      </c>
      <c r="N475" s="301">
        <f>VLOOKUP(3338,季財報!A:N,8,0)</f>
        <v>5</v>
      </c>
    </row>
    <row r="476" spans="1:14">
      <c r="A476" s="187">
        <v>3388</v>
      </c>
      <c r="C476">
        <v>102</v>
      </c>
      <c r="D476">
        <v>2869</v>
      </c>
      <c r="E476">
        <v>89</v>
      </c>
      <c r="F476">
        <v>3103</v>
      </c>
      <c r="G476">
        <v>85</v>
      </c>
      <c r="H476" s="200">
        <v>0.03</v>
      </c>
      <c r="I476">
        <f t="shared" si="57"/>
        <v>466</v>
      </c>
      <c r="J476" s="193">
        <v>0.03</v>
      </c>
      <c r="K476">
        <f t="shared" si="58"/>
        <v>334</v>
      </c>
      <c r="L476" s="62">
        <f t="shared" si="59"/>
        <v>436</v>
      </c>
      <c r="M476" s="304">
        <v>1.36</v>
      </c>
      <c r="N476" s="301">
        <f>VLOOKUP(3388,季財報!A:N,8,0)</f>
        <v>2</v>
      </c>
    </row>
    <row r="477" spans="1:14">
      <c r="A477" s="187">
        <v>3474</v>
      </c>
      <c r="C477">
        <v>3932</v>
      </c>
      <c r="D477">
        <v>32308</v>
      </c>
      <c r="E477">
        <v>97977</v>
      </c>
      <c r="F477">
        <v>134453</v>
      </c>
      <c r="G477">
        <v>5000</v>
      </c>
      <c r="H477" s="200">
        <v>0.03</v>
      </c>
      <c r="I477">
        <f t="shared" si="57"/>
        <v>466</v>
      </c>
      <c r="J477" s="193">
        <v>0.03</v>
      </c>
      <c r="K477">
        <f t="shared" si="58"/>
        <v>334</v>
      </c>
      <c r="L477" s="62">
        <f t="shared" si="59"/>
        <v>436</v>
      </c>
      <c r="M477" s="304">
        <v>1.36</v>
      </c>
      <c r="N477" s="301">
        <f>VLOOKUP(3474,季財報!A:N,8,0)</f>
        <v>3</v>
      </c>
    </row>
    <row r="478" spans="1:14">
      <c r="A478" s="187">
        <v>3548</v>
      </c>
      <c r="C478">
        <v>75</v>
      </c>
      <c r="D478">
        <v>1006</v>
      </c>
      <c r="E478">
        <v>1511</v>
      </c>
      <c r="F478">
        <v>2620</v>
      </c>
      <c r="G478">
        <v>89</v>
      </c>
      <c r="H478" s="200">
        <v>0.03</v>
      </c>
      <c r="I478">
        <f t="shared" si="57"/>
        <v>466</v>
      </c>
      <c r="J478" s="193">
        <v>0.03</v>
      </c>
      <c r="K478">
        <f t="shared" si="58"/>
        <v>334</v>
      </c>
      <c r="L478" s="62">
        <f t="shared" si="59"/>
        <v>436</v>
      </c>
      <c r="M478" s="304">
        <v>1.36</v>
      </c>
      <c r="N478" s="301">
        <f>VLOOKUP(3548,季財報!A:N,8,0)</f>
        <v>4</v>
      </c>
    </row>
    <row r="479" spans="1:14">
      <c r="A479" s="187">
        <v>3567</v>
      </c>
      <c r="C479">
        <v>14</v>
      </c>
      <c r="D479">
        <v>178</v>
      </c>
      <c r="E479">
        <v>248</v>
      </c>
      <c r="F479">
        <v>470</v>
      </c>
      <c r="G479">
        <v>2</v>
      </c>
      <c r="H479" s="200">
        <v>0.03</v>
      </c>
      <c r="I479">
        <f t="shared" si="57"/>
        <v>466</v>
      </c>
      <c r="J479" s="193">
        <v>0.03</v>
      </c>
      <c r="K479">
        <f t="shared" si="58"/>
        <v>334</v>
      </c>
      <c r="L479" s="62">
        <f t="shared" si="59"/>
        <v>436</v>
      </c>
      <c r="M479" s="304">
        <v>1.36</v>
      </c>
      <c r="N479" s="301">
        <f>VLOOKUP(3567,季財報!A:N,8,0)</f>
        <v>3</v>
      </c>
    </row>
    <row r="480" spans="1:14">
      <c r="A480" s="187">
        <v>3577</v>
      </c>
      <c r="C480">
        <v>23</v>
      </c>
      <c r="D480">
        <v>291</v>
      </c>
      <c r="E480">
        <v>556</v>
      </c>
      <c r="F480">
        <v>820</v>
      </c>
      <c r="G480">
        <v>36</v>
      </c>
      <c r="H480" s="200">
        <v>0.03</v>
      </c>
      <c r="I480">
        <f t="shared" si="57"/>
        <v>466</v>
      </c>
      <c r="J480" s="193">
        <v>0.03</v>
      </c>
      <c r="K480">
        <f t="shared" si="58"/>
        <v>334</v>
      </c>
      <c r="L480" s="62">
        <f t="shared" si="59"/>
        <v>436</v>
      </c>
      <c r="M480" s="304">
        <v>1.36</v>
      </c>
      <c r="N480" s="301">
        <f>VLOOKUP(3577,季財報!A:N,8,0)</f>
        <v>2</v>
      </c>
    </row>
    <row r="481" spans="1:14">
      <c r="A481" s="187">
        <v>3607</v>
      </c>
      <c r="C481">
        <v>231</v>
      </c>
      <c r="D481">
        <v>4152</v>
      </c>
      <c r="E481">
        <v>4436</v>
      </c>
      <c r="F481">
        <v>7763</v>
      </c>
      <c r="G481">
        <v>189</v>
      </c>
      <c r="H481" s="200">
        <v>0.03</v>
      </c>
      <c r="I481">
        <f t="shared" si="57"/>
        <v>466</v>
      </c>
      <c r="J481" s="193">
        <v>0.03</v>
      </c>
      <c r="K481">
        <f t="shared" si="58"/>
        <v>334</v>
      </c>
      <c r="L481" s="62">
        <f t="shared" si="59"/>
        <v>436</v>
      </c>
      <c r="M481" s="304">
        <v>1.36</v>
      </c>
      <c r="N481" s="301">
        <f>VLOOKUP(3607,季財報!A:N,8,0)</f>
        <v>2</v>
      </c>
    </row>
    <row r="482" spans="1:14">
      <c r="A482" s="187">
        <v>3645</v>
      </c>
      <c r="C482">
        <v>74</v>
      </c>
      <c r="D482">
        <v>572</v>
      </c>
      <c r="E482">
        <v>2220</v>
      </c>
      <c r="F482">
        <v>2006</v>
      </c>
      <c r="G482">
        <v>395</v>
      </c>
      <c r="H482" s="200">
        <v>0.03</v>
      </c>
      <c r="I482">
        <f t="shared" si="57"/>
        <v>466</v>
      </c>
      <c r="J482" s="193">
        <v>0.03</v>
      </c>
      <c r="K482">
        <f t="shared" si="58"/>
        <v>334</v>
      </c>
      <c r="L482" s="62">
        <f t="shared" si="59"/>
        <v>436</v>
      </c>
      <c r="M482" s="304">
        <v>1.36</v>
      </c>
      <c r="N482" s="301">
        <f>VLOOKUP(3645,季財報!A:N,8,0)</f>
        <v>2</v>
      </c>
    </row>
    <row r="483" spans="1:14">
      <c r="A483" s="187">
        <v>3675</v>
      </c>
      <c r="C483">
        <v>25</v>
      </c>
      <c r="D483">
        <v>468</v>
      </c>
      <c r="E483">
        <v>425</v>
      </c>
      <c r="F483">
        <v>934</v>
      </c>
      <c r="G483">
        <v>9</v>
      </c>
      <c r="H483" s="200">
        <v>0.03</v>
      </c>
      <c r="I483">
        <f t="shared" si="57"/>
        <v>466</v>
      </c>
      <c r="J483" s="193">
        <v>0.03</v>
      </c>
      <c r="K483">
        <f t="shared" si="58"/>
        <v>334</v>
      </c>
      <c r="L483" s="62">
        <f t="shared" si="59"/>
        <v>436</v>
      </c>
      <c r="M483" s="304">
        <v>1.36</v>
      </c>
      <c r="N483" s="301">
        <f>VLOOKUP(3675,季財報!A:N,8,0)</f>
        <v>4</v>
      </c>
    </row>
    <row r="484" spans="1:14">
      <c r="A484" s="187">
        <v>9958</v>
      </c>
      <c r="C484">
        <v>105</v>
      </c>
      <c r="D484">
        <v>1955</v>
      </c>
      <c r="E484">
        <v>2060</v>
      </c>
      <c r="F484">
        <v>2433</v>
      </c>
      <c r="G484">
        <v>839</v>
      </c>
      <c r="H484" s="200">
        <v>0.03</v>
      </c>
      <c r="I484">
        <f t="shared" si="57"/>
        <v>466</v>
      </c>
      <c r="J484" s="193">
        <v>0.03</v>
      </c>
      <c r="K484">
        <f t="shared" si="58"/>
        <v>334</v>
      </c>
      <c r="L484" s="62">
        <f t="shared" si="59"/>
        <v>436</v>
      </c>
      <c r="M484" s="304">
        <v>1.36</v>
      </c>
      <c r="N484" s="301">
        <f>VLOOKUP(9958,季財報!A:N,8,0)</f>
        <v>4</v>
      </c>
    </row>
    <row r="485" spans="1:14">
      <c r="A485" s="187">
        <v>8349</v>
      </c>
      <c r="C485">
        <v>183</v>
      </c>
      <c r="D485">
        <v>1760</v>
      </c>
      <c r="E485">
        <v>3858</v>
      </c>
      <c r="F485">
        <v>4249</v>
      </c>
      <c r="G485">
        <v>2488</v>
      </c>
      <c r="H485" s="200">
        <v>0.03</v>
      </c>
      <c r="I485">
        <f t="shared" si="57"/>
        <v>466</v>
      </c>
      <c r="J485" s="193">
        <v>0.03</v>
      </c>
      <c r="K485">
        <f t="shared" si="58"/>
        <v>334</v>
      </c>
      <c r="L485" s="62">
        <f t="shared" si="59"/>
        <v>436</v>
      </c>
      <c r="M485" s="304">
        <v>1.36</v>
      </c>
      <c r="N485" s="301">
        <f>VLOOKUP(8349,季財報!A:N,8,0)</f>
        <v>1</v>
      </c>
    </row>
    <row r="486" spans="1:14">
      <c r="A486" s="187">
        <v>8420</v>
      </c>
      <c r="C486">
        <v>22</v>
      </c>
      <c r="D486">
        <v>189</v>
      </c>
      <c r="E486">
        <v>520</v>
      </c>
      <c r="F486">
        <v>739</v>
      </c>
      <c r="G486">
        <v>50</v>
      </c>
      <c r="H486" s="200">
        <v>0.03</v>
      </c>
      <c r="I486">
        <f t="shared" si="57"/>
        <v>466</v>
      </c>
      <c r="J486" s="193">
        <v>0.03</v>
      </c>
      <c r="K486">
        <f t="shared" si="58"/>
        <v>334</v>
      </c>
      <c r="L486" s="62">
        <f t="shared" si="59"/>
        <v>436</v>
      </c>
      <c r="M486" s="304">
        <v>1.36</v>
      </c>
      <c r="N486" s="301">
        <f>VLOOKUP(8420,季財報!A:N,8,0)</f>
        <v>2</v>
      </c>
    </row>
    <row r="487" spans="1:14">
      <c r="A487" s="187">
        <v>8444</v>
      </c>
      <c r="C487">
        <v>78</v>
      </c>
      <c r="D487">
        <v>0</v>
      </c>
      <c r="E487">
        <v>3050</v>
      </c>
      <c r="F487">
        <v>1645</v>
      </c>
      <c r="G487">
        <v>666</v>
      </c>
      <c r="H487" s="200">
        <v>0.03</v>
      </c>
      <c r="I487">
        <f t="shared" si="57"/>
        <v>466</v>
      </c>
      <c r="J487" s="193">
        <v>0.03</v>
      </c>
      <c r="K487">
        <f t="shared" si="58"/>
        <v>334</v>
      </c>
      <c r="L487" s="62">
        <f t="shared" si="59"/>
        <v>436</v>
      </c>
      <c r="M487" s="304">
        <v>1.36</v>
      </c>
      <c r="N487" s="301">
        <f>VLOOKUP(8444,季財報!A:N,8,0)</f>
        <v>2</v>
      </c>
    </row>
    <row r="488" spans="1:14">
      <c r="A488" s="187">
        <v>6168</v>
      </c>
      <c r="C488">
        <v>83</v>
      </c>
      <c r="D488">
        <v>2019</v>
      </c>
      <c r="E488">
        <v>854</v>
      </c>
      <c r="F488">
        <v>2704</v>
      </c>
      <c r="G488">
        <v>34</v>
      </c>
      <c r="H488" s="200">
        <v>0.03</v>
      </c>
      <c r="I488">
        <f t="shared" si="57"/>
        <v>466</v>
      </c>
      <c r="J488" s="193">
        <v>0.03</v>
      </c>
      <c r="K488">
        <f t="shared" si="58"/>
        <v>334</v>
      </c>
      <c r="L488" s="62">
        <f t="shared" si="59"/>
        <v>436</v>
      </c>
      <c r="M488" s="304">
        <v>1.36</v>
      </c>
      <c r="N488" s="301">
        <f>VLOOKUP(6168,季財報!A:N,8,0)</f>
        <v>5</v>
      </c>
    </row>
    <row r="489" spans="1:14">
      <c r="A489" s="187">
        <v>8042</v>
      </c>
      <c r="C489">
        <v>114</v>
      </c>
      <c r="D489">
        <v>2055</v>
      </c>
      <c r="E489">
        <v>1215</v>
      </c>
      <c r="F489">
        <v>3645</v>
      </c>
      <c r="G489">
        <v>863</v>
      </c>
      <c r="H489" s="200">
        <v>0.03</v>
      </c>
      <c r="I489">
        <f t="shared" si="57"/>
        <v>466</v>
      </c>
      <c r="J489" s="193">
        <v>0.03</v>
      </c>
      <c r="K489">
        <f t="shared" si="58"/>
        <v>334</v>
      </c>
      <c r="L489" s="62">
        <f t="shared" si="59"/>
        <v>436</v>
      </c>
      <c r="M489" s="304">
        <v>1.36</v>
      </c>
      <c r="N489" s="301">
        <f>VLOOKUP(8042,季財報!A:N,8,0)</f>
        <v>2</v>
      </c>
    </row>
    <row r="490" spans="1:14">
      <c r="A490" s="187">
        <v>6187</v>
      </c>
      <c r="C490">
        <v>45</v>
      </c>
      <c r="D490">
        <v>1153</v>
      </c>
      <c r="E490">
        <v>374</v>
      </c>
      <c r="F490">
        <v>1757</v>
      </c>
      <c r="G490">
        <v>14</v>
      </c>
      <c r="H490" s="200">
        <v>0.03</v>
      </c>
      <c r="I490">
        <f t="shared" si="57"/>
        <v>466</v>
      </c>
      <c r="J490" s="193">
        <v>0.03</v>
      </c>
      <c r="K490">
        <f t="shared" si="58"/>
        <v>334</v>
      </c>
      <c r="L490" s="62">
        <f t="shared" si="59"/>
        <v>436</v>
      </c>
      <c r="M490" s="304">
        <v>1.36</v>
      </c>
      <c r="N490" s="301">
        <f>VLOOKUP(6187,季財報!A:N,8,0)</f>
        <v>1</v>
      </c>
    </row>
    <row r="491" spans="1:14">
      <c r="A491" s="187">
        <v>6203</v>
      </c>
      <c r="C491">
        <v>41</v>
      </c>
      <c r="D491">
        <v>1275</v>
      </c>
      <c r="E491">
        <v>201</v>
      </c>
      <c r="F491">
        <v>1423</v>
      </c>
      <c r="G491">
        <v>0</v>
      </c>
      <c r="H491" s="200">
        <v>0.03</v>
      </c>
      <c r="I491">
        <f t="shared" si="57"/>
        <v>466</v>
      </c>
      <c r="J491" s="193">
        <v>0.03</v>
      </c>
      <c r="K491">
        <f t="shared" si="58"/>
        <v>334</v>
      </c>
      <c r="L491" s="62">
        <f t="shared" si="59"/>
        <v>436</v>
      </c>
      <c r="M491" s="304">
        <v>1.36</v>
      </c>
      <c r="N491" s="301">
        <f>VLOOKUP(6203,季財報!A:N,8,0)</f>
        <v>5</v>
      </c>
    </row>
    <row r="492" spans="1:14">
      <c r="A492" s="187">
        <v>6242</v>
      </c>
      <c r="C492">
        <v>7</v>
      </c>
      <c r="D492">
        <v>159</v>
      </c>
      <c r="E492">
        <v>94</v>
      </c>
      <c r="F492">
        <v>263</v>
      </c>
      <c r="G492">
        <v>0</v>
      </c>
      <c r="H492" s="200">
        <v>0.03</v>
      </c>
      <c r="I492">
        <f t="shared" si="57"/>
        <v>466</v>
      </c>
      <c r="J492" s="193">
        <v>0.03</v>
      </c>
      <c r="K492">
        <f t="shared" si="58"/>
        <v>334</v>
      </c>
      <c r="L492" s="62">
        <f t="shared" si="59"/>
        <v>436</v>
      </c>
      <c r="M492" s="304">
        <v>1.36</v>
      </c>
      <c r="N492" s="301">
        <f>VLOOKUP(6242,季財報!A:N,8,0)</f>
        <v>1</v>
      </c>
    </row>
    <row r="493" spans="1:14">
      <c r="A493" s="187">
        <v>8032</v>
      </c>
      <c r="C493">
        <v>43</v>
      </c>
      <c r="D493">
        <v>1291</v>
      </c>
      <c r="E493">
        <v>104</v>
      </c>
      <c r="F493">
        <v>1405</v>
      </c>
      <c r="G493">
        <v>40</v>
      </c>
      <c r="H493" s="200">
        <v>0.03</v>
      </c>
      <c r="I493">
        <f t="shared" si="57"/>
        <v>466</v>
      </c>
      <c r="J493" s="193">
        <v>0.03</v>
      </c>
      <c r="K493">
        <f t="shared" si="58"/>
        <v>334</v>
      </c>
      <c r="L493" s="62">
        <f t="shared" si="59"/>
        <v>436</v>
      </c>
      <c r="M493" s="304">
        <v>1.36</v>
      </c>
      <c r="N493" s="301">
        <f>VLOOKUP(8032,季財報!A:N,8,0)</f>
        <v>3</v>
      </c>
    </row>
    <row r="494" spans="1:14">
      <c r="A494" s="187">
        <v>5013</v>
      </c>
      <c r="C494">
        <v>84</v>
      </c>
      <c r="D494">
        <v>1313</v>
      </c>
      <c r="E494">
        <v>1972</v>
      </c>
      <c r="F494">
        <v>2478</v>
      </c>
      <c r="G494">
        <v>822</v>
      </c>
      <c r="H494" s="200">
        <v>0.03</v>
      </c>
      <c r="I494">
        <f t="shared" si="57"/>
        <v>466</v>
      </c>
      <c r="J494" s="193">
        <v>0.03</v>
      </c>
      <c r="K494">
        <f t="shared" si="58"/>
        <v>334</v>
      </c>
      <c r="L494" s="62">
        <f t="shared" si="59"/>
        <v>436</v>
      </c>
      <c r="M494" s="304">
        <v>1.36</v>
      </c>
      <c r="N494" s="301">
        <f>VLOOKUP(5013,季財報!A:N,8,0)</f>
        <v>2</v>
      </c>
    </row>
    <row r="495" spans="1:14">
      <c r="A495" s="187">
        <v>5230</v>
      </c>
      <c r="C495">
        <v>56</v>
      </c>
      <c r="D495">
        <v>0</v>
      </c>
      <c r="E495">
        <v>1606</v>
      </c>
      <c r="F495">
        <v>1403</v>
      </c>
      <c r="G495">
        <v>572</v>
      </c>
      <c r="H495" s="200">
        <v>0.03</v>
      </c>
      <c r="I495">
        <f t="shared" si="57"/>
        <v>466</v>
      </c>
      <c r="J495" s="193">
        <v>0.03</v>
      </c>
      <c r="K495">
        <f t="shared" si="58"/>
        <v>334</v>
      </c>
      <c r="L495" s="62">
        <f t="shared" si="59"/>
        <v>436</v>
      </c>
      <c r="M495" s="304">
        <v>1.36</v>
      </c>
      <c r="N495" s="301">
        <f>VLOOKUP(5230,季財報!A:N,8,0)</f>
        <v>3</v>
      </c>
    </row>
    <row r="496" spans="1:14">
      <c r="A496" s="187">
        <v>5356</v>
      </c>
      <c r="C496">
        <v>177</v>
      </c>
      <c r="D496">
        <v>4724</v>
      </c>
      <c r="E496">
        <v>575</v>
      </c>
      <c r="F496">
        <v>5383</v>
      </c>
      <c r="G496">
        <v>0</v>
      </c>
      <c r="H496" s="200">
        <v>0.03</v>
      </c>
      <c r="I496">
        <f t="shared" si="57"/>
        <v>466</v>
      </c>
      <c r="J496" s="193">
        <v>0.03</v>
      </c>
      <c r="K496">
        <f t="shared" si="58"/>
        <v>334</v>
      </c>
      <c r="L496" s="62">
        <f t="shared" si="59"/>
        <v>436</v>
      </c>
      <c r="M496" s="304">
        <v>1.36</v>
      </c>
      <c r="N496" s="301">
        <f>VLOOKUP(5356,季財報!A:N,8,0)</f>
        <v>1</v>
      </c>
    </row>
    <row r="497" spans="1:14">
      <c r="A497" s="187">
        <v>5439</v>
      </c>
      <c r="C497">
        <v>39</v>
      </c>
      <c r="D497">
        <v>571</v>
      </c>
      <c r="E497">
        <v>681</v>
      </c>
      <c r="F497">
        <v>1211</v>
      </c>
      <c r="G497">
        <v>9</v>
      </c>
      <c r="H497" s="200">
        <v>0.03</v>
      </c>
      <c r="I497">
        <f t="shared" si="57"/>
        <v>466</v>
      </c>
      <c r="J497" s="193">
        <v>0.03</v>
      </c>
      <c r="K497">
        <f t="shared" si="58"/>
        <v>334</v>
      </c>
      <c r="L497" s="62">
        <f t="shared" si="59"/>
        <v>436</v>
      </c>
      <c r="M497" s="304">
        <v>1.36</v>
      </c>
      <c r="N497" s="301">
        <f>VLOOKUP(5439,季財報!A:N,8,0)</f>
        <v>3</v>
      </c>
    </row>
    <row r="498" spans="1:14">
      <c r="A498" s="187">
        <v>5483</v>
      </c>
      <c r="C498">
        <v>782</v>
      </c>
      <c r="D498">
        <v>9004</v>
      </c>
      <c r="E498">
        <v>17081</v>
      </c>
      <c r="F498">
        <v>28259</v>
      </c>
      <c r="G498">
        <v>1649</v>
      </c>
      <c r="H498" s="200">
        <v>0.03</v>
      </c>
      <c r="I498">
        <f t="shared" si="57"/>
        <v>466</v>
      </c>
      <c r="J498" s="193">
        <v>0.03</v>
      </c>
      <c r="K498">
        <f t="shared" si="58"/>
        <v>334</v>
      </c>
      <c r="L498" s="62">
        <f t="shared" si="59"/>
        <v>436</v>
      </c>
      <c r="M498" s="304">
        <v>1.36</v>
      </c>
      <c r="N498" s="301">
        <f>VLOOKUP(5483,季財報!A:N,8,0)</f>
        <v>3</v>
      </c>
    </row>
    <row r="499" spans="1:14">
      <c r="A499" s="187">
        <v>5508</v>
      </c>
      <c r="C499">
        <v>124</v>
      </c>
      <c r="D499">
        <v>4217</v>
      </c>
      <c r="E499">
        <v>17</v>
      </c>
      <c r="F499">
        <v>4186</v>
      </c>
      <c r="G499">
        <v>670</v>
      </c>
      <c r="H499" s="200">
        <v>0.03</v>
      </c>
      <c r="I499">
        <f t="shared" si="57"/>
        <v>466</v>
      </c>
      <c r="J499" s="193">
        <v>0.03</v>
      </c>
      <c r="K499">
        <f t="shared" si="58"/>
        <v>334</v>
      </c>
      <c r="L499" s="62">
        <f t="shared" si="59"/>
        <v>436</v>
      </c>
      <c r="M499" s="304">
        <v>1.36</v>
      </c>
      <c r="N499" s="301">
        <f>VLOOKUP(5508,季財報!A:N,8,0)</f>
        <v>1</v>
      </c>
    </row>
    <row r="500" spans="1:14">
      <c r="A500" s="187">
        <v>4720</v>
      </c>
      <c r="C500">
        <v>34</v>
      </c>
      <c r="D500">
        <v>549</v>
      </c>
      <c r="E500">
        <v>445</v>
      </c>
      <c r="F500">
        <v>1113</v>
      </c>
      <c r="G500">
        <v>230</v>
      </c>
      <c r="H500" s="200">
        <v>0.03</v>
      </c>
      <c r="I500">
        <f t="shared" si="57"/>
        <v>466</v>
      </c>
      <c r="J500" s="193">
        <v>0.03</v>
      </c>
      <c r="K500">
        <f t="shared" si="58"/>
        <v>334</v>
      </c>
      <c r="L500" s="62">
        <f t="shared" si="59"/>
        <v>436</v>
      </c>
      <c r="M500" s="304">
        <v>1.36</v>
      </c>
      <c r="N500" s="301">
        <f>VLOOKUP(4720,季財報!A:N,8,0)</f>
        <v>3</v>
      </c>
    </row>
    <row r="501" spans="1:14">
      <c r="A501" s="187">
        <v>1108</v>
      </c>
      <c r="C501">
        <v>152</v>
      </c>
      <c r="D501">
        <v>3106</v>
      </c>
      <c r="E501">
        <v>2155</v>
      </c>
      <c r="F501">
        <v>4775</v>
      </c>
      <c r="G501">
        <v>1082</v>
      </c>
      <c r="H501" s="200">
        <v>0.03</v>
      </c>
      <c r="I501">
        <f t="shared" ref="I501:I510" si="60">RANK(0.03,H:H,0)</f>
        <v>466</v>
      </c>
      <c r="J501" s="193">
        <v>0.03</v>
      </c>
      <c r="K501">
        <f t="shared" ref="K501:K510" si="61">RANK(0.03,J:J,0)</f>
        <v>334</v>
      </c>
      <c r="L501" s="62">
        <f t="shared" ref="L501:L510" si="62">RANK(1.9,M:M,0)</f>
        <v>436</v>
      </c>
      <c r="M501" s="304">
        <v>1.36</v>
      </c>
      <c r="N501" s="301">
        <f>VLOOKUP(1108,季財報!A:N,8,0)</f>
        <v>2</v>
      </c>
    </row>
    <row r="502" spans="1:14">
      <c r="A502" s="187">
        <v>1595</v>
      </c>
      <c r="C502">
        <v>51</v>
      </c>
      <c r="D502">
        <v>1358</v>
      </c>
      <c r="E502">
        <v>492</v>
      </c>
      <c r="F502">
        <v>1880</v>
      </c>
      <c r="G502">
        <v>80</v>
      </c>
      <c r="H502" s="200">
        <v>0.03</v>
      </c>
      <c r="I502">
        <f t="shared" si="60"/>
        <v>466</v>
      </c>
      <c r="J502" s="193">
        <v>0.03</v>
      </c>
      <c r="K502">
        <f t="shared" si="61"/>
        <v>334</v>
      </c>
      <c r="L502" s="62">
        <f t="shared" si="62"/>
        <v>436</v>
      </c>
      <c r="M502" s="304">
        <v>1.36</v>
      </c>
      <c r="N502" s="301">
        <f>VLOOKUP(1595,季財報!A:N,8,0)</f>
        <v>2</v>
      </c>
    </row>
    <row r="503" spans="1:14">
      <c r="A503" s="187">
        <v>1712</v>
      </c>
      <c r="C503">
        <v>238</v>
      </c>
      <c r="D503">
        <v>1067</v>
      </c>
      <c r="E503">
        <v>7786</v>
      </c>
      <c r="F503">
        <v>5294</v>
      </c>
      <c r="G503">
        <v>3505</v>
      </c>
      <c r="H503" s="200">
        <v>0.03</v>
      </c>
      <c r="I503">
        <f t="shared" si="60"/>
        <v>466</v>
      </c>
      <c r="J503" s="193">
        <v>0.03</v>
      </c>
      <c r="K503">
        <f t="shared" si="61"/>
        <v>334</v>
      </c>
      <c r="L503" s="62">
        <f t="shared" si="62"/>
        <v>436</v>
      </c>
      <c r="M503" s="304">
        <v>1.36</v>
      </c>
      <c r="N503" s="301">
        <f>VLOOKUP(1712,季財報!A:N,8,0)</f>
        <v>2</v>
      </c>
    </row>
    <row r="504" spans="1:14">
      <c r="A504" s="187">
        <v>1909</v>
      </c>
      <c r="C504">
        <v>833</v>
      </c>
      <c r="D504">
        <v>0</v>
      </c>
      <c r="E504">
        <v>26068</v>
      </c>
      <c r="F504">
        <v>15594</v>
      </c>
      <c r="G504">
        <v>14329</v>
      </c>
      <c r="H504" s="200">
        <v>0.03</v>
      </c>
      <c r="I504">
        <f t="shared" si="60"/>
        <v>466</v>
      </c>
      <c r="J504" s="193">
        <v>0.03</v>
      </c>
      <c r="K504">
        <f t="shared" si="61"/>
        <v>334</v>
      </c>
      <c r="L504" s="62">
        <f t="shared" si="62"/>
        <v>436</v>
      </c>
      <c r="M504" s="304">
        <v>1.36</v>
      </c>
      <c r="N504" s="301">
        <f>VLOOKUP(1909,季財報!A:N,8,0)</f>
        <v>2</v>
      </c>
    </row>
    <row r="505" spans="1:14">
      <c r="A505" s="187">
        <v>2063</v>
      </c>
      <c r="C505">
        <v>28</v>
      </c>
      <c r="D505">
        <v>242</v>
      </c>
      <c r="E505">
        <v>560</v>
      </c>
      <c r="F505">
        <v>596</v>
      </c>
      <c r="G505">
        <v>263</v>
      </c>
      <c r="H505" s="200">
        <v>0.03</v>
      </c>
      <c r="I505">
        <f t="shared" si="60"/>
        <v>466</v>
      </c>
      <c r="J505" s="193">
        <v>0.03</v>
      </c>
      <c r="K505">
        <f t="shared" si="61"/>
        <v>334</v>
      </c>
      <c r="L505" s="62">
        <f t="shared" si="62"/>
        <v>436</v>
      </c>
      <c r="M505" s="304">
        <v>1.36</v>
      </c>
      <c r="N505" s="301">
        <f>VLOOKUP(2063,季財報!A:N,8,0)</f>
        <v>2</v>
      </c>
    </row>
    <row r="506" spans="1:14">
      <c r="A506" s="187">
        <v>2221</v>
      </c>
      <c r="C506">
        <v>24</v>
      </c>
      <c r="D506">
        <v>403</v>
      </c>
      <c r="E506">
        <v>435</v>
      </c>
      <c r="F506">
        <v>594</v>
      </c>
      <c r="G506">
        <v>107</v>
      </c>
      <c r="H506" s="200">
        <v>0.03</v>
      </c>
      <c r="I506">
        <f t="shared" si="60"/>
        <v>466</v>
      </c>
      <c r="J506" s="193">
        <v>0.03</v>
      </c>
      <c r="K506">
        <f t="shared" si="61"/>
        <v>334</v>
      </c>
      <c r="L506" s="62">
        <f t="shared" si="62"/>
        <v>436</v>
      </c>
      <c r="M506" s="304">
        <v>1.36</v>
      </c>
      <c r="N506" s="301">
        <f>VLOOKUP(2221,季財報!A:N,8,0)</f>
        <v>1</v>
      </c>
    </row>
    <row r="507" spans="1:14">
      <c r="A507" s="187">
        <v>3051</v>
      </c>
      <c r="C507">
        <v>122</v>
      </c>
      <c r="D507">
        <v>728</v>
      </c>
      <c r="E507">
        <v>2924</v>
      </c>
      <c r="F507">
        <v>2025</v>
      </c>
      <c r="G507">
        <v>2383</v>
      </c>
      <c r="H507" s="200">
        <v>0.03</v>
      </c>
      <c r="I507">
        <f t="shared" si="60"/>
        <v>466</v>
      </c>
      <c r="J507" s="193">
        <v>0.03</v>
      </c>
      <c r="K507">
        <f t="shared" si="61"/>
        <v>334</v>
      </c>
      <c r="L507" s="62">
        <f t="shared" si="62"/>
        <v>436</v>
      </c>
      <c r="M507" s="304">
        <v>1.36</v>
      </c>
      <c r="N507" s="301">
        <f>VLOOKUP(3051,季財報!A:N,8,0)</f>
        <v>2</v>
      </c>
    </row>
    <row r="508" spans="1:14">
      <c r="A508" s="187">
        <v>3167</v>
      </c>
      <c r="C508">
        <v>64</v>
      </c>
      <c r="D508">
        <v>1506</v>
      </c>
      <c r="E508">
        <v>454</v>
      </c>
      <c r="F508">
        <v>1617</v>
      </c>
      <c r="G508">
        <v>530</v>
      </c>
      <c r="H508" s="200">
        <v>0.03</v>
      </c>
      <c r="I508">
        <f t="shared" si="60"/>
        <v>466</v>
      </c>
      <c r="J508" s="193">
        <v>0.03</v>
      </c>
      <c r="K508">
        <f t="shared" si="61"/>
        <v>334</v>
      </c>
      <c r="L508" s="62">
        <f t="shared" si="62"/>
        <v>436</v>
      </c>
      <c r="M508" s="304">
        <v>1.36</v>
      </c>
      <c r="N508" s="301">
        <f>VLOOKUP(3167,季財報!A:N,8,0)</f>
        <v>3</v>
      </c>
    </row>
    <row r="509" spans="1:14">
      <c r="A509" s="187">
        <v>3264</v>
      </c>
      <c r="C509">
        <v>343</v>
      </c>
      <c r="D509">
        <v>2030</v>
      </c>
      <c r="E509">
        <v>9188</v>
      </c>
      <c r="F509">
        <v>9334</v>
      </c>
      <c r="G509">
        <v>1162</v>
      </c>
      <c r="H509" s="200">
        <v>0.03</v>
      </c>
      <c r="I509">
        <f t="shared" si="60"/>
        <v>466</v>
      </c>
      <c r="J509" s="193">
        <v>0.03</v>
      </c>
      <c r="K509">
        <f t="shared" si="61"/>
        <v>334</v>
      </c>
      <c r="L509" s="62">
        <f t="shared" si="62"/>
        <v>436</v>
      </c>
      <c r="M509" s="304">
        <v>1.36</v>
      </c>
      <c r="N509" s="301">
        <f>VLOOKUP(3264,季財報!A:N,8,0)</f>
        <v>4</v>
      </c>
    </row>
    <row r="510" spans="1:14">
      <c r="A510" s="187">
        <v>3437</v>
      </c>
      <c r="C510">
        <v>89</v>
      </c>
      <c r="D510">
        <v>2333</v>
      </c>
      <c r="E510">
        <v>969</v>
      </c>
      <c r="F510">
        <v>3347</v>
      </c>
      <c r="G510">
        <v>0</v>
      </c>
      <c r="H510" s="200">
        <v>0.03</v>
      </c>
      <c r="I510">
        <f t="shared" si="60"/>
        <v>466</v>
      </c>
      <c r="J510" s="193">
        <v>0.03</v>
      </c>
      <c r="K510">
        <f t="shared" si="61"/>
        <v>334</v>
      </c>
      <c r="L510" s="62">
        <f t="shared" si="62"/>
        <v>436</v>
      </c>
      <c r="M510" s="304">
        <v>1.36</v>
      </c>
      <c r="N510" s="301">
        <f>VLOOKUP(3437,季財報!A:N,8,0)</f>
        <v>2</v>
      </c>
    </row>
    <row r="511" spans="1:14">
      <c r="A511" s="187">
        <v>9933</v>
      </c>
      <c r="C511">
        <v>500</v>
      </c>
      <c r="D511">
        <v>6576</v>
      </c>
      <c r="E511">
        <v>6955</v>
      </c>
      <c r="F511">
        <v>19232</v>
      </c>
      <c r="G511">
        <v>3295</v>
      </c>
      <c r="H511" s="200">
        <v>0.04</v>
      </c>
      <c r="I511">
        <f t="shared" ref="I511:I535" si="63">RANK(0.04,H:H,0)</f>
        <v>330</v>
      </c>
      <c r="J511" s="193">
        <v>0.02</v>
      </c>
      <c r="K511">
        <f t="shared" ref="K511:K535" si="64">RANK(0.02,J:J,0)</f>
        <v>496</v>
      </c>
      <c r="L511" s="62">
        <f t="shared" ref="L511:L535" si="65">RANK(1.84,M:M,0)</f>
        <v>510</v>
      </c>
      <c r="M511" s="304">
        <v>1.36</v>
      </c>
      <c r="N511" s="301">
        <f>VLOOKUP(9933,季財報!A:N,8,0)</f>
        <v>1</v>
      </c>
    </row>
    <row r="512" spans="1:14">
      <c r="A512" s="187">
        <v>8936</v>
      </c>
      <c r="C512">
        <v>162</v>
      </c>
      <c r="D512">
        <v>3032</v>
      </c>
      <c r="E512">
        <v>1191</v>
      </c>
      <c r="F512">
        <v>4866</v>
      </c>
      <c r="G512">
        <v>2945</v>
      </c>
      <c r="H512" s="200">
        <v>0.04</v>
      </c>
      <c r="I512">
        <f t="shared" si="63"/>
        <v>330</v>
      </c>
      <c r="J512" s="193">
        <v>0.02</v>
      </c>
      <c r="K512">
        <f t="shared" si="64"/>
        <v>496</v>
      </c>
      <c r="L512" s="62">
        <f t="shared" si="65"/>
        <v>510</v>
      </c>
      <c r="M512" s="304">
        <v>1.36</v>
      </c>
      <c r="N512" s="301">
        <f>VLOOKUP(8936,季財報!A:N,8,0)</f>
        <v>1</v>
      </c>
    </row>
    <row r="513" spans="1:14">
      <c r="A513" s="187">
        <v>9925</v>
      </c>
      <c r="C513">
        <v>282</v>
      </c>
      <c r="D513">
        <v>3453</v>
      </c>
      <c r="E513">
        <v>3418</v>
      </c>
      <c r="F513">
        <v>9476</v>
      </c>
      <c r="G513">
        <v>2423</v>
      </c>
      <c r="H513" s="200">
        <v>0.04</v>
      </c>
      <c r="I513">
        <f t="shared" si="63"/>
        <v>330</v>
      </c>
      <c r="J513" s="193">
        <v>0.02</v>
      </c>
      <c r="K513">
        <f t="shared" si="64"/>
        <v>496</v>
      </c>
      <c r="L513" s="62">
        <f t="shared" si="65"/>
        <v>510</v>
      </c>
      <c r="M513" s="304">
        <v>1.36</v>
      </c>
      <c r="N513" s="301">
        <f>VLOOKUP(9925,季財報!A:N,8,0)</f>
        <v>2</v>
      </c>
    </row>
    <row r="514" spans="1:14">
      <c r="A514" s="187">
        <v>6112</v>
      </c>
      <c r="C514">
        <v>54</v>
      </c>
      <c r="D514">
        <v>1138</v>
      </c>
      <c r="E514">
        <v>378</v>
      </c>
      <c r="F514">
        <v>1896</v>
      </c>
      <c r="G514">
        <v>1301</v>
      </c>
      <c r="H514" s="200">
        <v>0.04</v>
      </c>
      <c r="I514">
        <f t="shared" si="63"/>
        <v>330</v>
      </c>
      <c r="J514" s="193">
        <v>0.02</v>
      </c>
      <c r="K514">
        <f t="shared" si="64"/>
        <v>496</v>
      </c>
      <c r="L514" s="62">
        <f t="shared" si="65"/>
        <v>510</v>
      </c>
      <c r="M514" s="304">
        <v>1.36</v>
      </c>
      <c r="N514" s="301">
        <f>VLOOKUP(6112,季財報!A:N,8,0)</f>
        <v>2</v>
      </c>
    </row>
    <row r="515" spans="1:14">
      <c r="A515" s="187">
        <v>6147</v>
      </c>
      <c r="C515">
        <v>751</v>
      </c>
      <c r="D515">
        <v>4727</v>
      </c>
      <c r="E515">
        <v>15083</v>
      </c>
      <c r="F515">
        <v>23991</v>
      </c>
      <c r="G515">
        <v>8126</v>
      </c>
      <c r="H515" s="200">
        <v>0.04</v>
      </c>
      <c r="I515">
        <f t="shared" si="63"/>
        <v>330</v>
      </c>
      <c r="J515" s="193">
        <v>0.02</v>
      </c>
      <c r="K515">
        <f t="shared" si="64"/>
        <v>496</v>
      </c>
      <c r="L515" s="62">
        <f t="shared" si="65"/>
        <v>510</v>
      </c>
      <c r="M515" s="304">
        <v>1.36</v>
      </c>
      <c r="N515" s="301">
        <f>VLOOKUP(6147,季財報!A:N,8,0)</f>
        <v>4</v>
      </c>
    </row>
    <row r="516" spans="1:14">
      <c r="A516" s="187">
        <v>5349</v>
      </c>
      <c r="C516">
        <v>106</v>
      </c>
      <c r="D516">
        <v>734</v>
      </c>
      <c r="E516">
        <v>2226</v>
      </c>
      <c r="F516">
        <v>3590</v>
      </c>
      <c r="G516">
        <v>850</v>
      </c>
      <c r="H516" s="200">
        <v>0.04</v>
      </c>
      <c r="I516">
        <f t="shared" si="63"/>
        <v>330</v>
      </c>
      <c r="J516" s="193">
        <v>0.02</v>
      </c>
      <c r="K516">
        <f t="shared" si="64"/>
        <v>496</v>
      </c>
      <c r="L516" s="62">
        <f t="shared" si="65"/>
        <v>510</v>
      </c>
      <c r="M516" s="304">
        <v>1.36</v>
      </c>
      <c r="N516" s="301">
        <f>VLOOKUP(5349,季財報!A:N,8,0)</f>
        <v>1</v>
      </c>
    </row>
    <row r="517" spans="1:14">
      <c r="A517" s="187">
        <v>4721</v>
      </c>
      <c r="C517">
        <v>36</v>
      </c>
      <c r="D517">
        <v>454</v>
      </c>
      <c r="E517">
        <v>453</v>
      </c>
      <c r="F517">
        <v>1081</v>
      </c>
      <c r="G517">
        <v>387</v>
      </c>
      <c r="H517" s="200">
        <v>0.04</v>
      </c>
      <c r="I517">
        <f t="shared" si="63"/>
        <v>330</v>
      </c>
      <c r="J517" s="193">
        <v>0.02</v>
      </c>
      <c r="K517">
        <f t="shared" si="64"/>
        <v>496</v>
      </c>
      <c r="L517" s="62">
        <f t="shared" si="65"/>
        <v>510</v>
      </c>
      <c r="M517" s="304">
        <v>1.36</v>
      </c>
      <c r="N517" s="301">
        <f>VLOOKUP(4721,季財報!A:N,8,0)</f>
        <v>3</v>
      </c>
    </row>
    <row r="518" spans="1:14">
      <c r="A518" s="187">
        <v>1210</v>
      </c>
      <c r="C518">
        <v>608</v>
      </c>
      <c r="D518">
        <v>4193</v>
      </c>
      <c r="E518">
        <v>12819</v>
      </c>
      <c r="F518">
        <v>19759</v>
      </c>
      <c r="G518">
        <v>7700</v>
      </c>
      <c r="H518" s="200">
        <v>0.04</v>
      </c>
      <c r="I518">
        <f t="shared" si="63"/>
        <v>330</v>
      </c>
      <c r="J518" s="193">
        <v>0.02</v>
      </c>
      <c r="K518">
        <f t="shared" si="64"/>
        <v>496</v>
      </c>
      <c r="L518" s="62">
        <f t="shared" si="65"/>
        <v>510</v>
      </c>
      <c r="M518" s="304">
        <v>1.36</v>
      </c>
      <c r="N518" s="301">
        <f>VLOOKUP(1210,季財報!A:N,8,0)</f>
        <v>2</v>
      </c>
    </row>
    <row r="519" spans="1:14">
      <c r="A519" s="187">
        <v>2301</v>
      </c>
      <c r="C519">
        <v>2577</v>
      </c>
      <c r="D519">
        <v>36596</v>
      </c>
      <c r="E519">
        <v>35674</v>
      </c>
      <c r="F519">
        <v>78688</v>
      </c>
      <c r="G519">
        <v>26903</v>
      </c>
      <c r="H519" s="200">
        <v>0.04</v>
      </c>
      <c r="I519">
        <f t="shared" si="63"/>
        <v>330</v>
      </c>
      <c r="J519" s="193">
        <v>0.02</v>
      </c>
      <c r="K519">
        <f t="shared" si="64"/>
        <v>496</v>
      </c>
      <c r="L519" s="62">
        <f t="shared" si="65"/>
        <v>510</v>
      </c>
      <c r="M519" s="304">
        <v>1.36</v>
      </c>
      <c r="N519" s="301">
        <f>VLOOKUP(2301,季財報!A:N,8,0)</f>
        <v>3</v>
      </c>
    </row>
    <row r="520" spans="1:14">
      <c r="A520" s="187">
        <v>2327</v>
      </c>
      <c r="C520">
        <v>907</v>
      </c>
      <c r="D520">
        <v>5949</v>
      </c>
      <c r="E520">
        <v>14695</v>
      </c>
      <c r="F520">
        <v>25353</v>
      </c>
      <c r="G520">
        <v>12121</v>
      </c>
      <c r="H520" s="200">
        <v>0.04</v>
      </c>
      <c r="I520">
        <f t="shared" si="63"/>
        <v>330</v>
      </c>
      <c r="J520" s="193">
        <v>0.02</v>
      </c>
      <c r="K520">
        <f t="shared" si="64"/>
        <v>496</v>
      </c>
      <c r="L520" s="62">
        <f t="shared" si="65"/>
        <v>510</v>
      </c>
      <c r="M520" s="304">
        <v>1.36</v>
      </c>
      <c r="N520" s="301">
        <f>VLOOKUP(2327,季財報!A:N,8,0)</f>
        <v>3</v>
      </c>
    </row>
    <row r="521" spans="1:14">
      <c r="A521" s="187">
        <v>2382</v>
      </c>
      <c r="C521">
        <v>5007</v>
      </c>
      <c r="D521">
        <v>90409</v>
      </c>
      <c r="E521">
        <v>50732</v>
      </c>
      <c r="F521">
        <v>135508</v>
      </c>
      <c r="G521">
        <v>153508</v>
      </c>
      <c r="H521" s="200">
        <v>0.04</v>
      </c>
      <c r="I521">
        <f t="shared" si="63"/>
        <v>330</v>
      </c>
      <c r="J521" s="193">
        <v>0.02</v>
      </c>
      <c r="K521">
        <f t="shared" si="64"/>
        <v>496</v>
      </c>
      <c r="L521" s="62">
        <f t="shared" si="65"/>
        <v>510</v>
      </c>
      <c r="M521" s="304">
        <v>1.36</v>
      </c>
      <c r="N521" s="301">
        <f>VLOOKUP(2382,季財報!A:N,8,0)</f>
        <v>2</v>
      </c>
    </row>
    <row r="522" spans="1:14">
      <c r="A522" s="187">
        <v>2415</v>
      </c>
      <c r="C522">
        <v>60</v>
      </c>
      <c r="D522">
        <v>530</v>
      </c>
      <c r="E522">
        <v>825</v>
      </c>
      <c r="F522">
        <v>1756</v>
      </c>
      <c r="G522">
        <v>1109</v>
      </c>
      <c r="H522" s="200">
        <v>0.04</v>
      </c>
      <c r="I522">
        <f t="shared" si="63"/>
        <v>330</v>
      </c>
      <c r="J522" s="193">
        <v>0.02</v>
      </c>
      <c r="K522">
        <f t="shared" si="64"/>
        <v>496</v>
      </c>
      <c r="L522" s="62">
        <f t="shared" si="65"/>
        <v>510</v>
      </c>
      <c r="M522" s="304">
        <v>1.36</v>
      </c>
      <c r="N522" s="301">
        <f>VLOOKUP(2415,季財報!A:N,8,0)</f>
        <v>4</v>
      </c>
    </row>
    <row r="523" spans="1:14">
      <c r="A523" s="187">
        <v>2433</v>
      </c>
      <c r="C523">
        <v>127</v>
      </c>
      <c r="D523">
        <v>424</v>
      </c>
      <c r="E523">
        <v>2899</v>
      </c>
      <c r="F523">
        <v>3985</v>
      </c>
      <c r="G523">
        <v>2228</v>
      </c>
      <c r="H523" s="200">
        <v>0.04</v>
      </c>
      <c r="I523">
        <f t="shared" si="63"/>
        <v>330</v>
      </c>
      <c r="J523" s="193">
        <v>0.02</v>
      </c>
      <c r="K523">
        <f t="shared" si="64"/>
        <v>496</v>
      </c>
      <c r="L523" s="62">
        <f t="shared" si="65"/>
        <v>510</v>
      </c>
      <c r="M523" s="304">
        <v>1.36</v>
      </c>
      <c r="N523" s="301">
        <f>VLOOKUP(2433,季財報!A:N,8,0)</f>
        <v>4</v>
      </c>
    </row>
    <row r="524" spans="1:14">
      <c r="A524" s="187">
        <v>2472</v>
      </c>
      <c r="C524">
        <v>158</v>
      </c>
      <c r="D524">
        <v>1690</v>
      </c>
      <c r="E524">
        <v>2704</v>
      </c>
      <c r="F524">
        <v>4866</v>
      </c>
      <c r="G524">
        <v>2000</v>
      </c>
      <c r="H524" s="200">
        <v>0.04</v>
      </c>
      <c r="I524">
        <f t="shared" si="63"/>
        <v>330</v>
      </c>
      <c r="J524" s="193">
        <v>0.02</v>
      </c>
      <c r="K524">
        <f t="shared" si="64"/>
        <v>496</v>
      </c>
      <c r="L524" s="62">
        <f t="shared" si="65"/>
        <v>510</v>
      </c>
      <c r="M524" s="304">
        <v>1.36</v>
      </c>
      <c r="N524" s="301">
        <f>VLOOKUP(2472,季財報!A:N,8,0)</f>
        <v>3</v>
      </c>
    </row>
    <row r="525" spans="1:14">
      <c r="A525" s="187">
        <v>2536</v>
      </c>
      <c r="C525">
        <v>364</v>
      </c>
      <c r="D525">
        <v>9500</v>
      </c>
      <c r="E525">
        <v>3</v>
      </c>
      <c r="F525">
        <v>11192</v>
      </c>
      <c r="G525">
        <v>5686</v>
      </c>
      <c r="H525" s="200">
        <v>0.04</v>
      </c>
      <c r="I525">
        <f t="shared" si="63"/>
        <v>330</v>
      </c>
      <c r="J525" s="193">
        <v>0.02</v>
      </c>
      <c r="K525">
        <f t="shared" si="64"/>
        <v>496</v>
      </c>
      <c r="L525" s="62">
        <f t="shared" si="65"/>
        <v>510</v>
      </c>
      <c r="M525" s="304">
        <v>1.36</v>
      </c>
      <c r="N525" s="301">
        <f>VLOOKUP(2536,季財報!A:N,8,0)</f>
        <v>3</v>
      </c>
    </row>
    <row r="526" spans="1:14">
      <c r="A526" s="187">
        <v>3044</v>
      </c>
      <c r="C526">
        <v>1033</v>
      </c>
      <c r="D526">
        <v>11819</v>
      </c>
      <c r="E526">
        <v>14873</v>
      </c>
      <c r="F526">
        <v>29482</v>
      </c>
      <c r="G526">
        <v>16389</v>
      </c>
      <c r="H526" s="200">
        <v>0.04</v>
      </c>
      <c r="I526">
        <f t="shared" si="63"/>
        <v>330</v>
      </c>
      <c r="J526" s="193">
        <v>0.02</v>
      </c>
      <c r="K526">
        <f t="shared" si="64"/>
        <v>496</v>
      </c>
      <c r="L526" s="62">
        <f t="shared" si="65"/>
        <v>510</v>
      </c>
      <c r="M526" s="304">
        <v>1.36</v>
      </c>
      <c r="N526" s="301">
        <f>VLOOKUP(3044,季財報!A:N,8,0)</f>
        <v>5</v>
      </c>
    </row>
    <row r="527" spans="1:14">
      <c r="A527" s="187">
        <v>3068</v>
      </c>
      <c r="C527">
        <v>57</v>
      </c>
      <c r="D527">
        <v>180</v>
      </c>
      <c r="E527">
        <v>1294</v>
      </c>
      <c r="F527">
        <v>1406</v>
      </c>
      <c r="G527">
        <v>1640</v>
      </c>
      <c r="H527" s="200">
        <v>0.04</v>
      </c>
      <c r="I527">
        <f t="shared" si="63"/>
        <v>330</v>
      </c>
      <c r="J527" s="193">
        <v>0.02</v>
      </c>
      <c r="K527">
        <f t="shared" si="64"/>
        <v>496</v>
      </c>
      <c r="L527" s="62">
        <f t="shared" si="65"/>
        <v>510</v>
      </c>
      <c r="M527" s="304">
        <v>1.36</v>
      </c>
      <c r="N527" s="301">
        <f>VLOOKUP(3068,季財報!A:N,8,0)</f>
        <v>5</v>
      </c>
    </row>
    <row r="528" spans="1:14">
      <c r="A528" s="187">
        <v>8933</v>
      </c>
      <c r="C528">
        <v>87</v>
      </c>
      <c r="D528">
        <v>1575</v>
      </c>
      <c r="E528">
        <v>639</v>
      </c>
      <c r="F528">
        <v>2468</v>
      </c>
      <c r="G528">
        <v>1561</v>
      </c>
      <c r="H528" s="200">
        <v>0.04</v>
      </c>
      <c r="I528">
        <f t="shared" si="63"/>
        <v>330</v>
      </c>
      <c r="J528" s="193">
        <v>0.02</v>
      </c>
      <c r="K528">
        <f t="shared" si="64"/>
        <v>496</v>
      </c>
      <c r="L528" s="62">
        <f t="shared" si="65"/>
        <v>510</v>
      </c>
      <c r="M528" s="304">
        <v>1.36</v>
      </c>
      <c r="N528" s="301">
        <f>VLOOKUP(8933,季財報!A:N,8,0)</f>
        <v>4</v>
      </c>
    </row>
    <row r="529" spans="1:14">
      <c r="A529" s="187">
        <v>8112</v>
      </c>
      <c r="C529">
        <v>210</v>
      </c>
      <c r="D529">
        <v>5414</v>
      </c>
      <c r="E529">
        <v>261</v>
      </c>
      <c r="F529">
        <v>5304</v>
      </c>
      <c r="G529">
        <v>6793</v>
      </c>
      <c r="H529" s="200">
        <v>0.04</v>
      </c>
      <c r="I529">
        <f t="shared" si="63"/>
        <v>330</v>
      </c>
      <c r="J529" s="193">
        <v>0.02</v>
      </c>
      <c r="K529">
        <f t="shared" si="64"/>
        <v>496</v>
      </c>
      <c r="L529" s="62">
        <f t="shared" si="65"/>
        <v>510</v>
      </c>
      <c r="M529" s="304">
        <v>1.36</v>
      </c>
      <c r="N529" s="301">
        <f>VLOOKUP(8112,季財報!A:N,8,0)</f>
        <v>4</v>
      </c>
    </row>
    <row r="530" spans="1:14">
      <c r="A530" s="187">
        <v>4745</v>
      </c>
      <c r="C530">
        <v>43</v>
      </c>
      <c r="D530">
        <v>808</v>
      </c>
      <c r="E530">
        <v>283</v>
      </c>
      <c r="F530">
        <v>1592</v>
      </c>
      <c r="G530">
        <v>976</v>
      </c>
      <c r="H530" s="200">
        <v>0.04</v>
      </c>
      <c r="I530">
        <f t="shared" si="63"/>
        <v>330</v>
      </c>
      <c r="J530" s="193">
        <v>0.02</v>
      </c>
      <c r="K530">
        <f t="shared" si="64"/>
        <v>496</v>
      </c>
      <c r="L530" s="62">
        <f t="shared" si="65"/>
        <v>510</v>
      </c>
      <c r="M530" s="304">
        <v>1.29</v>
      </c>
      <c r="N530" s="301">
        <f>VLOOKUP(4745,季財報!A:N,8,0)</f>
        <v>0</v>
      </c>
    </row>
    <row r="531" spans="1:14">
      <c r="A531" s="187">
        <v>2392</v>
      </c>
      <c r="C531">
        <v>940</v>
      </c>
      <c r="D531">
        <v>2962</v>
      </c>
      <c r="E531">
        <v>22098</v>
      </c>
      <c r="F531">
        <v>29850</v>
      </c>
      <c r="G531">
        <v>12501</v>
      </c>
      <c r="H531" s="200">
        <v>0.04</v>
      </c>
      <c r="I531">
        <f t="shared" si="63"/>
        <v>330</v>
      </c>
      <c r="J531" s="193">
        <v>0.02</v>
      </c>
      <c r="K531">
        <f t="shared" si="64"/>
        <v>496</v>
      </c>
      <c r="L531" s="62">
        <f t="shared" si="65"/>
        <v>510</v>
      </c>
      <c r="M531" s="304">
        <v>1.29</v>
      </c>
      <c r="N531" s="301">
        <f>VLOOKUP(2392,季財報!A:N,8,0)</f>
        <v>3</v>
      </c>
    </row>
    <row r="532" spans="1:14">
      <c r="A532" s="187">
        <v>3010</v>
      </c>
      <c r="C532">
        <v>372</v>
      </c>
      <c r="D532">
        <v>7070</v>
      </c>
      <c r="E532">
        <v>2258</v>
      </c>
      <c r="F532">
        <v>10649</v>
      </c>
      <c r="G532">
        <v>4665</v>
      </c>
      <c r="H532" s="200">
        <v>0.04</v>
      </c>
      <c r="I532">
        <f t="shared" si="63"/>
        <v>330</v>
      </c>
      <c r="J532" s="193">
        <v>0.02</v>
      </c>
      <c r="K532">
        <f t="shared" si="64"/>
        <v>496</v>
      </c>
      <c r="L532" s="62">
        <f t="shared" si="65"/>
        <v>510</v>
      </c>
      <c r="M532" s="304">
        <v>1.29</v>
      </c>
      <c r="N532" s="301">
        <f>VLOOKUP(3010,季財報!A:N,8,0)</f>
        <v>1</v>
      </c>
    </row>
    <row r="533" spans="1:14">
      <c r="A533" s="187">
        <v>3360</v>
      </c>
      <c r="C533">
        <v>48</v>
      </c>
      <c r="D533">
        <v>959</v>
      </c>
      <c r="E533">
        <v>110</v>
      </c>
      <c r="F533">
        <v>1128</v>
      </c>
      <c r="G533">
        <v>2044</v>
      </c>
      <c r="H533" s="200">
        <v>0.04</v>
      </c>
      <c r="I533">
        <f t="shared" si="63"/>
        <v>330</v>
      </c>
      <c r="J533" s="193">
        <v>0.02</v>
      </c>
      <c r="K533">
        <f t="shared" si="64"/>
        <v>496</v>
      </c>
      <c r="L533" s="62">
        <f t="shared" si="65"/>
        <v>510</v>
      </c>
      <c r="M533" s="304">
        <v>1.18</v>
      </c>
      <c r="N533" s="301">
        <f>VLOOKUP(3360,季財報!A:N,8,0)</f>
        <v>1</v>
      </c>
    </row>
    <row r="534" spans="1:14">
      <c r="A534" s="187">
        <v>3434</v>
      </c>
      <c r="C534">
        <v>7</v>
      </c>
      <c r="D534">
        <v>90</v>
      </c>
      <c r="E534">
        <v>73</v>
      </c>
      <c r="F534">
        <v>233</v>
      </c>
      <c r="G534">
        <v>146</v>
      </c>
      <c r="H534" s="200">
        <v>0.04</v>
      </c>
      <c r="I534">
        <f t="shared" si="63"/>
        <v>330</v>
      </c>
      <c r="J534" s="193">
        <v>0.02</v>
      </c>
      <c r="K534">
        <f t="shared" si="64"/>
        <v>496</v>
      </c>
      <c r="L534" s="62">
        <f t="shared" si="65"/>
        <v>510</v>
      </c>
      <c r="M534" s="304">
        <v>1.18</v>
      </c>
      <c r="N534" s="301">
        <f>VLOOKUP(3434,季財報!A:N,8,0)</f>
        <v>4</v>
      </c>
    </row>
    <row r="535" spans="1:14">
      <c r="A535" s="187">
        <v>5534</v>
      </c>
      <c r="C535">
        <v>397</v>
      </c>
      <c r="D535">
        <v>8915</v>
      </c>
      <c r="E535">
        <v>89</v>
      </c>
      <c r="F535">
        <v>9455</v>
      </c>
      <c r="G535">
        <v>11083</v>
      </c>
      <c r="H535" s="200">
        <v>0.04</v>
      </c>
      <c r="I535">
        <f t="shared" si="63"/>
        <v>330</v>
      </c>
      <c r="J535" s="193">
        <v>0.02</v>
      </c>
      <c r="K535">
        <f t="shared" si="64"/>
        <v>496</v>
      </c>
      <c r="L535" s="62">
        <f t="shared" si="65"/>
        <v>510</v>
      </c>
      <c r="M535" s="304">
        <v>1.18</v>
      </c>
      <c r="N535" s="301">
        <f>VLOOKUP(5534,季財報!A:N,8,0)</f>
        <v>2</v>
      </c>
    </row>
    <row r="536" spans="1:14">
      <c r="A536" s="187">
        <v>1527</v>
      </c>
      <c r="C536">
        <v>190</v>
      </c>
      <c r="D536">
        <v>2522</v>
      </c>
      <c r="E536">
        <v>925</v>
      </c>
      <c r="F536">
        <v>3423</v>
      </c>
      <c r="G536">
        <v>9464</v>
      </c>
      <c r="H536" s="200">
        <v>0.06</v>
      </c>
      <c r="I536">
        <f>RANK(0.06,H:H,0)</f>
        <v>155</v>
      </c>
      <c r="J536" s="193">
        <v>0.01</v>
      </c>
      <c r="K536">
        <f>RANK(0.01,J:J,0)</f>
        <v>708</v>
      </c>
      <c r="L536" s="62">
        <f>RANK(1.76,M:M,0)</f>
        <v>535</v>
      </c>
      <c r="M536" s="304">
        <v>1.1399999999999999</v>
      </c>
      <c r="N536" s="301">
        <f>VLOOKUP(1527,季財報!A:N,8,0)</f>
        <v>3</v>
      </c>
    </row>
    <row r="537" spans="1:14">
      <c r="A537" s="187">
        <v>5871</v>
      </c>
      <c r="C537">
        <v>2255</v>
      </c>
      <c r="D537">
        <v>25366</v>
      </c>
      <c r="E537">
        <v>9891</v>
      </c>
      <c r="F537">
        <v>38783</v>
      </c>
      <c r="G537">
        <v>150776</v>
      </c>
      <c r="H537" s="200">
        <v>0.06</v>
      </c>
      <c r="I537">
        <f>RANK(0.06,H:H,0)</f>
        <v>155</v>
      </c>
      <c r="J537" s="193">
        <v>0.01</v>
      </c>
      <c r="K537">
        <f>RANK(0.01,J:J,0)</f>
        <v>708</v>
      </c>
      <c r="L537" s="62">
        <f>RANK(1.76,M:M,0)</f>
        <v>535</v>
      </c>
      <c r="M537" s="304">
        <v>1.1399999999999999</v>
      </c>
      <c r="N537" s="301">
        <f>VLOOKUP(5871,季財報!A:N,8,0)</f>
        <v>4</v>
      </c>
    </row>
    <row r="538" spans="1:14">
      <c r="A538" s="187">
        <v>6172</v>
      </c>
      <c r="C538">
        <v>2</v>
      </c>
      <c r="D538">
        <v>12</v>
      </c>
      <c r="E538">
        <v>29</v>
      </c>
      <c r="F538">
        <v>283</v>
      </c>
      <c r="G538">
        <v>72</v>
      </c>
      <c r="H538" s="200">
        <v>0.05</v>
      </c>
      <c r="I538">
        <f>RANK(0.05,H:H,0)</f>
        <v>231</v>
      </c>
      <c r="J538" s="193">
        <v>0.01</v>
      </c>
      <c r="K538">
        <f>RANK(0.01,J:J,0)</f>
        <v>708</v>
      </c>
      <c r="L538" s="62">
        <f>RANK(1.62,M:M,0)</f>
        <v>537</v>
      </c>
      <c r="M538" s="304">
        <v>1.1399999999999999</v>
      </c>
      <c r="N538" s="301">
        <f>VLOOKUP(6172,季財報!A:N,8,0)</f>
        <v>3</v>
      </c>
    </row>
    <row r="539" spans="1:14">
      <c r="A539" s="187">
        <v>1437</v>
      </c>
      <c r="C539">
        <v>47</v>
      </c>
      <c r="D539">
        <v>687</v>
      </c>
      <c r="E539">
        <v>296</v>
      </c>
      <c r="F539">
        <v>4728</v>
      </c>
      <c r="G539">
        <v>329</v>
      </c>
      <c r="H539" s="200">
        <v>0.05</v>
      </c>
      <c r="I539">
        <f>RANK(0.05,H:H,0)</f>
        <v>231</v>
      </c>
      <c r="J539" s="193">
        <v>0.01</v>
      </c>
      <c r="K539">
        <f>RANK(0.01,J:J,0)</f>
        <v>708</v>
      </c>
      <c r="L539" s="62">
        <f>RANK(1.62,M:M,0)</f>
        <v>537</v>
      </c>
      <c r="M539" s="304">
        <v>1.1399999999999999</v>
      </c>
      <c r="N539" s="301">
        <f>VLOOKUP(1437,季財報!A:N,8,0)</f>
        <v>4</v>
      </c>
    </row>
    <row r="540" spans="1:14">
      <c r="A540" s="187">
        <v>3252</v>
      </c>
      <c r="C540">
        <v>5</v>
      </c>
      <c r="D540">
        <v>0</v>
      </c>
      <c r="E540">
        <v>12</v>
      </c>
      <c r="F540">
        <v>1063</v>
      </c>
      <c r="G540">
        <v>1287</v>
      </c>
      <c r="H540" s="200">
        <v>0.42</v>
      </c>
      <c r="I540">
        <f>RANK(0.42,H:H,0)</f>
        <v>6</v>
      </c>
      <c r="J540" s="193">
        <v>0</v>
      </c>
      <c r="K540">
        <f>RANK(0,J:J,0)</f>
        <v>945</v>
      </c>
      <c r="L540" s="62">
        <f>RANK(1.6,M:M,0)</f>
        <v>539</v>
      </c>
      <c r="M540" s="304">
        <v>1.1399999999999999</v>
      </c>
      <c r="N540" s="301">
        <f>VLOOKUP(3252,季財報!A:N,8,0)</f>
        <v>1</v>
      </c>
    </row>
    <row r="541" spans="1:14">
      <c r="A541" s="187">
        <v>9926</v>
      </c>
      <c r="C541">
        <v>76</v>
      </c>
      <c r="D541">
        <v>995</v>
      </c>
      <c r="E541">
        <v>2135</v>
      </c>
      <c r="F541">
        <v>2629</v>
      </c>
      <c r="G541">
        <v>0</v>
      </c>
      <c r="H541" s="200">
        <v>0.02</v>
      </c>
      <c r="I541">
        <f t="shared" ref="I541:I547" si="66">RANK(0.02,H:H,0)</f>
        <v>619</v>
      </c>
      <c r="J541" s="193">
        <v>0.03</v>
      </c>
      <c r="K541">
        <f t="shared" ref="K541:K547" si="67">RANK(0.03,J:J,0)</f>
        <v>334</v>
      </c>
      <c r="L541" s="62">
        <f t="shared" ref="L541:L547" si="68">RANK(1.59,M:M,0)</f>
        <v>540</v>
      </c>
      <c r="M541" s="304">
        <v>1.1399999999999999</v>
      </c>
      <c r="N541" s="301">
        <f>VLOOKUP(9926,季財報!A:N,8,0)</f>
        <v>2</v>
      </c>
    </row>
    <row r="542" spans="1:14">
      <c r="A542" s="187">
        <v>8450</v>
      </c>
      <c r="C542">
        <v>44</v>
      </c>
      <c r="D542">
        <v>1772</v>
      </c>
      <c r="E542">
        <v>286</v>
      </c>
      <c r="F542">
        <v>1501</v>
      </c>
      <c r="G542">
        <v>10</v>
      </c>
      <c r="H542" s="200">
        <v>0.02</v>
      </c>
      <c r="I542">
        <f t="shared" si="66"/>
        <v>619</v>
      </c>
      <c r="J542" s="193">
        <v>0.03</v>
      </c>
      <c r="K542">
        <f t="shared" si="67"/>
        <v>334</v>
      </c>
      <c r="L542" s="62">
        <f t="shared" si="68"/>
        <v>540</v>
      </c>
      <c r="M542" s="304">
        <v>1.1399999999999999</v>
      </c>
      <c r="N542" s="301">
        <f>VLOOKUP(8450,季財報!A:N,8,0)</f>
        <v>3</v>
      </c>
    </row>
    <row r="543" spans="1:14">
      <c r="A543" s="187">
        <v>2449</v>
      </c>
      <c r="C543">
        <v>715</v>
      </c>
      <c r="D543">
        <v>5804</v>
      </c>
      <c r="E543">
        <v>25442</v>
      </c>
      <c r="F543">
        <v>22045</v>
      </c>
      <c r="G543">
        <v>2451</v>
      </c>
      <c r="H543" s="200">
        <v>0.02</v>
      </c>
      <c r="I543">
        <f t="shared" si="66"/>
        <v>619</v>
      </c>
      <c r="J543" s="193">
        <v>0.03</v>
      </c>
      <c r="K543">
        <f t="shared" si="67"/>
        <v>334</v>
      </c>
      <c r="L543" s="62">
        <f t="shared" si="68"/>
        <v>540</v>
      </c>
      <c r="M543" s="304">
        <v>1.1399999999999999</v>
      </c>
      <c r="N543" s="301">
        <f>VLOOKUP(2449,季財報!A:N,8,0)</f>
        <v>1</v>
      </c>
    </row>
    <row r="544" spans="1:14">
      <c r="A544" s="187">
        <v>2605</v>
      </c>
      <c r="C544">
        <v>583</v>
      </c>
      <c r="D544">
        <v>3812</v>
      </c>
      <c r="E544">
        <v>21625</v>
      </c>
      <c r="F544">
        <v>19511</v>
      </c>
      <c r="G544">
        <v>2820</v>
      </c>
      <c r="H544" s="200">
        <v>0.02</v>
      </c>
      <c r="I544">
        <f t="shared" si="66"/>
        <v>619</v>
      </c>
      <c r="J544" s="193">
        <v>0.03</v>
      </c>
      <c r="K544">
        <f t="shared" si="67"/>
        <v>334</v>
      </c>
      <c r="L544" s="62">
        <f t="shared" si="68"/>
        <v>540</v>
      </c>
      <c r="M544" s="304">
        <v>1.1399999999999999</v>
      </c>
      <c r="N544" s="301">
        <f>VLOOKUP(2605,季財報!A:N,8,0)</f>
        <v>5</v>
      </c>
    </row>
    <row r="545" spans="1:14">
      <c r="A545" s="187">
        <v>2610</v>
      </c>
      <c r="C545">
        <v>2732</v>
      </c>
      <c r="D545">
        <v>0</v>
      </c>
      <c r="E545">
        <v>132189</v>
      </c>
      <c r="F545">
        <v>60540</v>
      </c>
      <c r="G545">
        <v>32100</v>
      </c>
      <c r="H545" s="200">
        <v>0.02</v>
      </c>
      <c r="I545">
        <f t="shared" si="66"/>
        <v>619</v>
      </c>
      <c r="J545" s="193">
        <v>0.03</v>
      </c>
      <c r="K545">
        <f t="shared" si="67"/>
        <v>334</v>
      </c>
      <c r="L545" s="62">
        <f t="shared" si="68"/>
        <v>540</v>
      </c>
      <c r="M545" s="304">
        <v>1.1399999999999999</v>
      </c>
      <c r="N545" s="301">
        <f>VLOOKUP(2610,季財報!A:N,8,0)</f>
        <v>4</v>
      </c>
    </row>
    <row r="546" spans="1:14">
      <c r="A546" s="187">
        <v>8917</v>
      </c>
      <c r="C546">
        <v>46</v>
      </c>
      <c r="D546">
        <v>619</v>
      </c>
      <c r="E546">
        <v>1441</v>
      </c>
      <c r="F546">
        <v>1769</v>
      </c>
      <c r="G546">
        <v>0</v>
      </c>
      <c r="H546" s="200">
        <v>0.02</v>
      </c>
      <c r="I546">
        <f t="shared" si="66"/>
        <v>619</v>
      </c>
      <c r="J546" s="193">
        <v>0.03</v>
      </c>
      <c r="K546">
        <f t="shared" si="67"/>
        <v>334</v>
      </c>
      <c r="L546" s="62">
        <f t="shared" si="68"/>
        <v>540</v>
      </c>
      <c r="M546" s="304">
        <v>1.1399999999999999</v>
      </c>
      <c r="N546" s="301">
        <f>VLOOKUP(8917,季財報!A:N,8,0)</f>
        <v>3</v>
      </c>
    </row>
    <row r="547" spans="1:14">
      <c r="A547" s="187">
        <v>1752</v>
      </c>
      <c r="C547">
        <v>53</v>
      </c>
      <c r="D547">
        <v>401</v>
      </c>
      <c r="E547">
        <v>1821</v>
      </c>
      <c r="F547">
        <v>1770</v>
      </c>
      <c r="G547">
        <v>187</v>
      </c>
      <c r="H547" s="200">
        <v>0.02</v>
      </c>
      <c r="I547">
        <f t="shared" si="66"/>
        <v>619</v>
      </c>
      <c r="J547" s="193">
        <v>0.03</v>
      </c>
      <c r="K547">
        <f t="shared" si="67"/>
        <v>334</v>
      </c>
      <c r="L547" s="62">
        <f t="shared" si="68"/>
        <v>540</v>
      </c>
      <c r="M547" s="304">
        <v>1.1399999999999999</v>
      </c>
      <c r="N547" s="301">
        <f>VLOOKUP(1752,季財報!A:N,8,0)</f>
        <v>3</v>
      </c>
    </row>
    <row r="548" spans="1:14">
      <c r="A548" s="187">
        <v>1906</v>
      </c>
      <c r="C548">
        <v>6</v>
      </c>
      <c r="D548">
        <v>0</v>
      </c>
      <c r="E548">
        <v>39</v>
      </c>
      <c r="F548">
        <v>2288</v>
      </c>
      <c r="G548">
        <v>950</v>
      </c>
      <c r="H548" s="200">
        <v>0.15</v>
      </c>
      <c r="I548">
        <f>RANK(0.15,H:H,0)</f>
        <v>17</v>
      </c>
      <c r="J548" s="193">
        <v>0</v>
      </c>
      <c r="K548">
        <f>RANK(0,J:J,0)</f>
        <v>945</v>
      </c>
      <c r="L548" s="62">
        <f t="shared" ref="L548:L579" si="69">RANK(1.58,M:M,0)</f>
        <v>547</v>
      </c>
      <c r="M548" s="304">
        <v>1.1399999999999999</v>
      </c>
      <c r="N548" s="301">
        <f>VLOOKUP(1906,季財報!A:N,8,0)</f>
        <v>3</v>
      </c>
    </row>
    <row r="549" spans="1:14">
      <c r="A549" s="187">
        <v>8081</v>
      </c>
      <c r="C549">
        <v>108</v>
      </c>
      <c r="D549">
        <v>2700</v>
      </c>
      <c r="E549">
        <v>524</v>
      </c>
      <c r="F549">
        <v>3792</v>
      </c>
      <c r="G549">
        <v>625</v>
      </c>
      <c r="H549" s="200">
        <v>0.03</v>
      </c>
      <c r="I549">
        <f t="shared" ref="I549:I580" si="70">RANK(0.03,H:H,0)</f>
        <v>466</v>
      </c>
      <c r="J549" s="193">
        <v>0.02</v>
      </c>
      <c r="K549">
        <f t="shared" ref="K549:K580" si="71">RANK(0.02,J:J,0)</f>
        <v>496</v>
      </c>
      <c r="L549" s="62">
        <f t="shared" si="69"/>
        <v>547</v>
      </c>
      <c r="M549" s="304">
        <v>1.1399999999999999</v>
      </c>
      <c r="N549" s="301">
        <f>VLOOKUP(8081,季財報!A:N,8,0)</f>
        <v>2</v>
      </c>
    </row>
    <row r="550" spans="1:14">
      <c r="A550" s="187">
        <v>8213</v>
      </c>
      <c r="C550">
        <v>481</v>
      </c>
      <c r="D550">
        <v>3226</v>
      </c>
      <c r="E550">
        <v>11000</v>
      </c>
      <c r="F550">
        <v>13582</v>
      </c>
      <c r="G550">
        <v>7885</v>
      </c>
      <c r="H550" s="200">
        <v>0.03</v>
      </c>
      <c r="I550">
        <f t="shared" si="70"/>
        <v>466</v>
      </c>
      <c r="J550" s="193">
        <v>0.02</v>
      </c>
      <c r="K550">
        <f t="shared" si="71"/>
        <v>496</v>
      </c>
      <c r="L550" s="62">
        <f t="shared" si="69"/>
        <v>547</v>
      </c>
      <c r="M550" s="304">
        <v>1.1399999999999999</v>
      </c>
      <c r="N550" s="301">
        <f>VLOOKUP(8213,季財報!A:N,8,0)</f>
        <v>3</v>
      </c>
    </row>
    <row r="551" spans="1:14">
      <c r="A551" s="187">
        <v>6247</v>
      </c>
      <c r="C551">
        <v>22</v>
      </c>
      <c r="D551">
        <v>297</v>
      </c>
      <c r="E551">
        <v>536</v>
      </c>
      <c r="F551">
        <v>929</v>
      </c>
      <c r="G551">
        <v>262</v>
      </c>
      <c r="H551" s="200">
        <v>0.03</v>
      </c>
      <c r="I551">
        <f t="shared" si="70"/>
        <v>466</v>
      </c>
      <c r="J551" s="193">
        <v>0.02</v>
      </c>
      <c r="K551">
        <f t="shared" si="71"/>
        <v>496</v>
      </c>
      <c r="L551" s="62">
        <f t="shared" si="69"/>
        <v>547</v>
      </c>
      <c r="M551" s="304">
        <v>1.1399999999999999</v>
      </c>
      <c r="N551" s="301">
        <f>VLOOKUP(6247,季財報!A:N,8,0)</f>
        <v>3</v>
      </c>
    </row>
    <row r="552" spans="1:14">
      <c r="A552" s="187">
        <v>6257</v>
      </c>
      <c r="C552">
        <v>228</v>
      </c>
      <c r="D552">
        <v>2839</v>
      </c>
      <c r="E552">
        <v>6142</v>
      </c>
      <c r="F552">
        <v>7746</v>
      </c>
      <c r="G552">
        <v>2149</v>
      </c>
      <c r="H552" s="200">
        <v>0.03</v>
      </c>
      <c r="I552">
        <f t="shared" si="70"/>
        <v>466</v>
      </c>
      <c r="J552" s="193">
        <v>0.02</v>
      </c>
      <c r="K552">
        <f t="shared" si="71"/>
        <v>496</v>
      </c>
      <c r="L552" s="62">
        <f t="shared" si="69"/>
        <v>547</v>
      </c>
      <c r="M552" s="304">
        <v>1.1399999999999999</v>
      </c>
      <c r="N552" s="301">
        <f>VLOOKUP(6257,季財報!A:N,8,0)</f>
        <v>2</v>
      </c>
    </row>
    <row r="553" spans="1:14">
      <c r="A553" s="187">
        <v>8099</v>
      </c>
      <c r="C553">
        <v>27</v>
      </c>
      <c r="D553">
        <v>750</v>
      </c>
      <c r="E553">
        <v>103</v>
      </c>
      <c r="F553">
        <v>969</v>
      </c>
      <c r="G553">
        <v>200</v>
      </c>
      <c r="H553" s="200">
        <v>0.03</v>
      </c>
      <c r="I553">
        <f t="shared" si="70"/>
        <v>466</v>
      </c>
      <c r="J553" s="193">
        <v>0.02</v>
      </c>
      <c r="K553">
        <f t="shared" si="71"/>
        <v>496</v>
      </c>
      <c r="L553" s="62">
        <f t="shared" si="69"/>
        <v>547</v>
      </c>
      <c r="M553" s="304">
        <v>1.1399999999999999</v>
      </c>
      <c r="N553" s="301">
        <f>VLOOKUP(8099,季財報!A:N,8,0)</f>
        <v>1</v>
      </c>
    </row>
    <row r="554" spans="1:14">
      <c r="A554" s="187">
        <v>6205</v>
      </c>
      <c r="C554">
        <v>38</v>
      </c>
      <c r="D554">
        <v>1111</v>
      </c>
      <c r="E554">
        <v>289</v>
      </c>
      <c r="F554">
        <v>1679</v>
      </c>
      <c r="G554">
        <v>0</v>
      </c>
      <c r="H554" s="200">
        <v>0.03</v>
      </c>
      <c r="I554">
        <f t="shared" si="70"/>
        <v>466</v>
      </c>
      <c r="J554" s="193">
        <v>0.02</v>
      </c>
      <c r="K554">
        <f t="shared" si="71"/>
        <v>496</v>
      </c>
      <c r="L554" s="62">
        <f t="shared" si="69"/>
        <v>547</v>
      </c>
      <c r="M554" s="304">
        <v>1.1399999999999999</v>
      </c>
      <c r="N554" s="301">
        <f>VLOOKUP(6205,季財報!A:N,8,0)</f>
        <v>5</v>
      </c>
    </row>
    <row r="555" spans="1:14">
      <c r="A555" s="187">
        <v>4129</v>
      </c>
      <c r="C555">
        <v>38</v>
      </c>
      <c r="D555">
        <v>326</v>
      </c>
      <c r="E555">
        <v>846</v>
      </c>
      <c r="F555">
        <v>1130</v>
      </c>
      <c r="G555">
        <v>460</v>
      </c>
      <c r="H555" s="200">
        <v>0.03</v>
      </c>
      <c r="I555">
        <f t="shared" si="70"/>
        <v>466</v>
      </c>
      <c r="J555" s="193">
        <v>0.02</v>
      </c>
      <c r="K555">
        <f t="shared" si="71"/>
        <v>496</v>
      </c>
      <c r="L555" s="62">
        <f t="shared" si="69"/>
        <v>547</v>
      </c>
      <c r="M555" s="304">
        <v>1.1399999999999999</v>
      </c>
      <c r="N555" s="301">
        <f>VLOOKUP(4129,季財報!A:N,8,0)</f>
        <v>3</v>
      </c>
    </row>
    <row r="556" spans="1:14">
      <c r="A556" s="187">
        <v>4138</v>
      </c>
      <c r="C556">
        <v>32</v>
      </c>
      <c r="D556">
        <v>1147</v>
      </c>
      <c r="E556">
        <v>81</v>
      </c>
      <c r="F556">
        <v>1361</v>
      </c>
      <c r="G556">
        <v>0</v>
      </c>
      <c r="H556" s="200">
        <v>0.03</v>
      </c>
      <c r="I556">
        <f t="shared" si="70"/>
        <v>466</v>
      </c>
      <c r="J556" s="193">
        <v>0.02</v>
      </c>
      <c r="K556">
        <f t="shared" si="71"/>
        <v>496</v>
      </c>
      <c r="L556" s="62">
        <f t="shared" si="69"/>
        <v>547</v>
      </c>
      <c r="M556" s="304">
        <v>1.1399999999999999</v>
      </c>
      <c r="N556" s="301">
        <f>VLOOKUP(4138,季財報!A:N,8,0)</f>
        <v>3</v>
      </c>
    </row>
    <row r="557" spans="1:14">
      <c r="A557" s="187">
        <v>4164</v>
      </c>
      <c r="C557">
        <v>145</v>
      </c>
      <c r="D557">
        <v>287</v>
      </c>
      <c r="E557">
        <v>4619</v>
      </c>
      <c r="F557">
        <v>4925</v>
      </c>
      <c r="G557">
        <v>1388</v>
      </c>
      <c r="H557" s="200">
        <v>0.03</v>
      </c>
      <c r="I557">
        <f t="shared" si="70"/>
        <v>466</v>
      </c>
      <c r="J557" s="193">
        <v>0.02</v>
      </c>
      <c r="K557">
        <f t="shared" si="71"/>
        <v>496</v>
      </c>
      <c r="L557" s="62">
        <f t="shared" si="69"/>
        <v>547</v>
      </c>
      <c r="M557" s="304">
        <v>1.1399999999999999</v>
      </c>
      <c r="N557" s="301">
        <f>VLOOKUP(4164,季財報!A:N,8,0)</f>
        <v>2</v>
      </c>
    </row>
    <row r="558" spans="1:14">
      <c r="A558" s="187">
        <v>4532</v>
      </c>
      <c r="C558">
        <v>277</v>
      </c>
      <c r="D558">
        <v>4659</v>
      </c>
      <c r="E558">
        <v>6016</v>
      </c>
      <c r="F558">
        <v>9922</v>
      </c>
      <c r="G558">
        <v>4429</v>
      </c>
      <c r="H558" s="200">
        <v>0.03</v>
      </c>
      <c r="I558">
        <f t="shared" si="70"/>
        <v>466</v>
      </c>
      <c r="J558" s="193">
        <v>0.02</v>
      </c>
      <c r="K558">
        <f t="shared" si="71"/>
        <v>496</v>
      </c>
      <c r="L558" s="62">
        <f t="shared" si="69"/>
        <v>547</v>
      </c>
      <c r="M558" s="304">
        <v>1.1399999999999999</v>
      </c>
      <c r="N558" s="301">
        <f>VLOOKUP(4532,季財報!A:N,8,0)</f>
        <v>2</v>
      </c>
    </row>
    <row r="559" spans="1:14">
      <c r="A559" s="187">
        <v>4746</v>
      </c>
      <c r="C559">
        <v>94</v>
      </c>
      <c r="D559">
        <v>756</v>
      </c>
      <c r="E559">
        <v>2627</v>
      </c>
      <c r="F559">
        <v>3008</v>
      </c>
      <c r="G559">
        <v>1066</v>
      </c>
      <c r="H559" s="200">
        <v>0.03</v>
      </c>
      <c r="I559">
        <f t="shared" si="70"/>
        <v>466</v>
      </c>
      <c r="J559" s="193">
        <v>0.02</v>
      </c>
      <c r="K559">
        <f t="shared" si="71"/>
        <v>496</v>
      </c>
      <c r="L559" s="62">
        <f t="shared" si="69"/>
        <v>547</v>
      </c>
      <c r="M559" s="304">
        <v>1.1399999999999999</v>
      </c>
      <c r="N559" s="301">
        <f>VLOOKUP(4746,季財報!A:N,8,0)</f>
        <v>5</v>
      </c>
    </row>
    <row r="560" spans="1:14">
      <c r="A560" s="187">
        <v>5403</v>
      </c>
      <c r="C560">
        <v>28</v>
      </c>
      <c r="D560">
        <v>41</v>
      </c>
      <c r="E560">
        <v>845</v>
      </c>
      <c r="F560">
        <v>1140</v>
      </c>
      <c r="G560">
        <v>313</v>
      </c>
      <c r="H560" s="200">
        <v>0.03</v>
      </c>
      <c r="I560">
        <f t="shared" si="70"/>
        <v>466</v>
      </c>
      <c r="J560" s="193">
        <v>0.02</v>
      </c>
      <c r="K560">
        <f t="shared" si="71"/>
        <v>496</v>
      </c>
      <c r="L560" s="62">
        <f t="shared" si="69"/>
        <v>547</v>
      </c>
      <c r="M560" s="304">
        <v>1.1399999999999999</v>
      </c>
      <c r="N560" s="301">
        <f>VLOOKUP(5403,季財報!A:N,8,0)</f>
        <v>1</v>
      </c>
    </row>
    <row r="561" spans="1:14">
      <c r="A561" s="187">
        <v>1220</v>
      </c>
      <c r="C561">
        <v>58</v>
      </c>
      <c r="D561">
        <v>1376</v>
      </c>
      <c r="E561">
        <v>901</v>
      </c>
      <c r="F561">
        <v>2280</v>
      </c>
      <c r="G561">
        <v>239</v>
      </c>
      <c r="H561" s="200">
        <v>0.03</v>
      </c>
      <c r="I561">
        <f t="shared" si="70"/>
        <v>466</v>
      </c>
      <c r="J561" s="193">
        <v>0.02</v>
      </c>
      <c r="K561">
        <f t="shared" si="71"/>
        <v>496</v>
      </c>
      <c r="L561" s="62">
        <f t="shared" si="69"/>
        <v>547</v>
      </c>
      <c r="M561" s="304">
        <v>1.1399999999999999</v>
      </c>
      <c r="N561" s="301">
        <f>VLOOKUP(1220,季財報!A:N,8,0)</f>
        <v>2</v>
      </c>
    </row>
    <row r="562" spans="1:14">
      <c r="A562" s="187">
        <v>1225</v>
      </c>
      <c r="C562">
        <v>95</v>
      </c>
      <c r="D562">
        <v>1480</v>
      </c>
      <c r="E562">
        <v>2226</v>
      </c>
      <c r="F562">
        <v>2993</v>
      </c>
      <c r="G562">
        <v>1229</v>
      </c>
      <c r="H562" s="200">
        <v>0.03</v>
      </c>
      <c r="I562">
        <f t="shared" si="70"/>
        <v>466</v>
      </c>
      <c r="J562" s="193">
        <v>0.02</v>
      </c>
      <c r="K562">
        <f t="shared" si="71"/>
        <v>496</v>
      </c>
      <c r="L562" s="62">
        <f t="shared" si="69"/>
        <v>547</v>
      </c>
      <c r="M562" s="304">
        <v>1.1399999999999999</v>
      </c>
      <c r="N562" s="301">
        <f>VLOOKUP(1225,季財報!A:N,8,0)</f>
        <v>1</v>
      </c>
    </row>
    <row r="563" spans="1:14">
      <c r="A563" s="187">
        <v>1312</v>
      </c>
      <c r="C563">
        <v>369</v>
      </c>
      <c r="D563">
        <v>3983</v>
      </c>
      <c r="E563">
        <v>8329</v>
      </c>
      <c r="F563">
        <v>19005</v>
      </c>
      <c r="G563">
        <v>613</v>
      </c>
      <c r="H563" s="200">
        <v>0.03</v>
      </c>
      <c r="I563">
        <f t="shared" si="70"/>
        <v>466</v>
      </c>
      <c r="J563" s="193">
        <v>0.02</v>
      </c>
      <c r="K563">
        <f t="shared" si="71"/>
        <v>496</v>
      </c>
      <c r="L563" s="62">
        <f t="shared" si="69"/>
        <v>547</v>
      </c>
      <c r="M563" s="304">
        <v>1.1399999999999999</v>
      </c>
      <c r="N563" s="301">
        <f>VLOOKUP(1312,季財報!A:N,8,0)</f>
        <v>2</v>
      </c>
    </row>
    <row r="564" spans="1:14">
      <c r="A564" s="187">
        <v>1504</v>
      </c>
      <c r="C564">
        <v>1018</v>
      </c>
      <c r="D564">
        <v>25154</v>
      </c>
      <c r="E564">
        <v>14571</v>
      </c>
      <c r="F564">
        <v>50235</v>
      </c>
      <c r="G564">
        <v>3915</v>
      </c>
      <c r="H564" s="200">
        <v>0.03</v>
      </c>
      <c r="I564">
        <f t="shared" si="70"/>
        <v>466</v>
      </c>
      <c r="J564" s="193">
        <v>0.02</v>
      </c>
      <c r="K564">
        <f t="shared" si="71"/>
        <v>496</v>
      </c>
      <c r="L564" s="62">
        <f t="shared" si="69"/>
        <v>547</v>
      </c>
      <c r="M564" s="304">
        <v>1.1399999999999999</v>
      </c>
      <c r="N564" s="301">
        <f>VLOOKUP(1504,季財報!A:N,8,0)</f>
        <v>2</v>
      </c>
    </row>
    <row r="565" spans="1:14">
      <c r="A565" s="187">
        <v>1568</v>
      </c>
      <c r="C565">
        <v>48</v>
      </c>
      <c r="D565">
        <v>476</v>
      </c>
      <c r="E565">
        <v>1361</v>
      </c>
      <c r="F565">
        <v>1597</v>
      </c>
      <c r="G565">
        <v>356</v>
      </c>
      <c r="H565" s="200">
        <v>0.03</v>
      </c>
      <c r="I565">
        <f t="shared" si="70"/>
        <v>466</v>
      </c>
      <c r="J565" s="193">
        <v>0.02</v>
      </c>
      <c r="K565">
        <f t="shared" si="71"/>
        <v>496</v>
      </c>
      <c r="L565" s="62">
        <f t="shared" si="69"/>
        <v>547</v>
      </c>
      <c r="M565" s="304">
        <v>1.1399999999999999</v>
      </c>
      <c r="N565" s="301">
        <f>VLOOKUP(1568,季財報!A:N,8,0)</f>
        <v>3</v>
      </c>
    </row>
    <row r="566" spans="1:14">
      <c r="A566" s="187">
        <v>1720</v>
      </c>
      <c r="C566">
        <v>93</v>
      </c>
      <c r="D566">
        <v>1329</v>
      </c>
      <c r="E566">
        <v>1913</v>
      </c>
      <c r="F566">
        <v>3742</v>
      </c>
      <c r="G566">
        <v>375</v>
      </c>
      <c r="H566" s="200">
        <v>0.03</v>
      </c>
      <c r="I566">
        <f t="shared" si="70"/>
        <v>466</v>
      </c>
      <c r="J566" s="193">
        <v>0.02</v>
      </c>
      <c r="K566">
        <f t="shared" si="71"/>
        <v>496</v>
      </c>
      <c r="L566" s="62">
        <f t="shared" si="69"/>
        <v>547</v>
      </c>
      <c r="M566" s="304">
        <v>1.1399999999999999</v>
      </c>
      <c r="N566" s="301">
        <f>VLOOKUP(1720,季財報!A:N,8,0)</f>
        <v>3</v>
      </c>
    </row>
    <row r="567" spans="1:14">
      <c r="A567" s="187">
        <v>1724</v>
      </c>
      <c r="C567">
        <v>39</v>
      </c>
      <c r="D567">
        <v>279</v>
      </c>
      <c r="E567">
        <v>1192</v>
      </c>
      <c r="F567">
        <v>1856</v>
      </c>
      <c r="G567">
        <v>200</v>
      </c>
      <c r="H567" s="200">
        <v>0.03</v>
      </c>
      <c r="I567">
        <f t="shared" si="70"/>
        <v>466</v>
      </c>
      <c r="J567" s="193">
        <v>0.02</v>
      </c>
      <c r="K567">
        <f t="shared" si="71"/>
        <v>496</v>
      </c>
      <c r="L567" s="62">
        <f t="shared" si="69"/>
        <v>547</v>
      </c>
      <c r="M567" s="304">
        <v>1.1399999999999999</v>
      </c>
      <c r="N567" s="301">
        <f>VLOOKUP(1724,季財報!A:N,8,0)</f>
        <v>4</v>
      </c>
    </row>
    <row r="568" spans="1:14">
      <c r="A568" s="187">
        <v>1789</v>
      </c>
      <c r="C568">
        <v>221</v>
      </c>
      <c r="D568">
        <v>3331</v>
      </c>
      <c r="E568">
        <v>5143</v>
      </c>
      <c r="F568">
        <v>9701</v>
      </c>
      <c r="G568">
        <v>1679</v>
      </c>
      <c r="H568" s="200">
        <v>0.03</v>
      </c>
      <c r="I568">
        <f t="shared" si="70"/>
        <v>466</v>
      </c>
      <c r="J568" s="193">
        <v>0.02</v>
      </c>
      <c r="K568">
        <f t="shared" si="71"/>
        <v>496</v>
      </c>
      <c r="L568" s="62">
        <f t="shared" si="69"/>
        <v>547</v>
      </c>
      <c r="M568" s="304">
        <v>1.1399999999999999</v>
      </c>
      <c r="N568" s="301">
        <f>VLOOKUP(1789,季財報!A:N,8,0)</f>
        <v>3</v>
      </c>
    </row>
    <row r="569" spans="1:14">
      <c r="A569" s="187">
        <v>2015</v>
      </c>
      <c r="C569">
        <v>364</v>
      </c>
      <c r="D569">
        <v>5869</v>
      </c>
      <c r="E569">
        <v>7849</v>
      </c>
      <c r="F569">
        <v>15686</v>
      </c>
      <c r="G569">
        <v>184</v>
      </c>
      <c r="H569" s="200">
        <v>0.03</v>
      </c>
      <c r="I569">
        <f t="shared" si="70"/>
        <v>466</v>
      </c>
      <c r="J569" s="193">
        <v>0.02</v>
      </c>
      <c r="K569">
        <f t="shared" si="71"/>
        <v>496</v>
      </c>
      <c r="L569" s="62">
        <f t="shared" si="69"/>
        <v>547</v>
      </c>
      <c r="M569" s="304">
        <v>1.1399999999999999</v>
      </c>
      <c r="N569" s="301">
        <f>VLOOKUP(2015,季財報!A:N,8,0)</f>
        <v>3</v>
      </c>
    </row>
    <row r="570" spans="1:14">
      <c r="A570" s="187">
        <v>2103</v>
      </c>
      <c r="C570">
        <v>432</v>
      </c>
      <c r="D570">
        <v>4335</v>
      </c>
      <c r="E570">
        <v>10165</v>
      </c>
      <c r="F570">
        <v>18261</v>
      </c>
      <c r="G570">
        <v>6291</v>
      </c>
      <c r="H570" s="200">
        <v>0.03</v>
      </c>
      <c r="I570">
        <f t="shared" si="70"/>
        <v>466</v>
      </c>
      <c r="J570" s="193">
        <v>0.02</v>
      </c>
      <c r="K570">
        <f t="shared" si="71"/>
        <v>496</v>
      </c>
      <c r="L570" s="62">
        <f t="shared" si="69"/>
        <v>547</v>
      </c>
      <c r="M570" s="304">
        <v>1.1399999999999999</v>
      </c>
      <c r="N570" s="301">
        <f>VLOOKUP(2103,季財報!A:N,8,0)</f>
        <v>0</v>
      </c>
    </row>
    <row r="571" spans="1:14">
      <c r="A571" s="187">
        <v>2324</v>
      </c>
      <c r="C571">
        <v>2749</v>
      </c>
      <c r="D571">
        <v>69867</v>
      </c>
      <c r="E571">
        <v>24530</v>
      </c>
      <c r="F571">
        <v>107247</v>
      </c>
      <c r="G571">
        <v>48769</v>
      </c>
      <c r="H571" s="200">
        <v>0.03</v>
      </c>
      <c r="I571">
        <f t="shared" si="70"/>
        <v>466</v>
      </c>
      <c r="J571" s="193">
        <v>0.02</v>
      </c>
      <c r="K571">
        <f t="shared" si="71"/>
        <v>496</v>
      </c>
      <c r="L571" s="62">
        <f t="shared" si="69"/>
        <v>547</v>
      </c>
      <c r="M571" s="304">
        <v>1.1399999999999999</v>
      </c>
      <c r="N571" s="301">
        <f>VLOOKUP(2324,季財報!A:N,8,0)</f>
        <v>2</v>
      </c>
    </row>
    <row r="572" spans="1:14">
      <c r="A572" s="187">
        <v>2328</v>
      </c>
      <c r="C572">
        <v>241</v>
      </c>
      <c r="D572">
        <v>5605</v>
      </c>
      <c r="E572">
        <v>2882</v>
      </c>
      <c r="F572">
        <v>11075</v>
      </c>
      <c r="G572">
        <v>974</v>
      </c>
      <c r="H572" s="200">
        <v>0.03</v>
      </c>
      <c r="I572">
        <f t="shared" si="70"/>
        <v>466</v>
      </c>
      <c r="J572" s="193">
        <v>0.02</v>
      </c>
      <c r="K572">
        <f t="shared" si="71"/>
        <v>496</v>
      </c>
      <c r="L572" s="62">
        <f t="shared" si="69"/>
        <v>547</v>
      </c>
      <c r="M572" s="304">
        <v>1.1399999999999999</v>
      </c>
      <c r="N572" s="301">
        <f>VLOOKUP(2328,季財報!A:N,8,0)</f>
        <v>2</v>
      </c>
    </row>
    <row r="573" spans="1:14">
      <c r="A573" s="187">
        <v>2356</v>
      </c>
      <c r="C573">
        <v>1752</v>
      </c>
      <c r="D573">
        <v>23271</v>
      </c>
      <c r="E573">
        <v>35834</v>
      </c>
      <c r="F573">
        <v>62150</v>
      </c>
      <c r="G573">
        <v>27739</v>
      </c>
      <c r="H573" s="200">
        <v>0.03</v>
      </c>
      <c r="I573">
        <f t="shared" si="70"/>
        <v>466</v>
      </c>
      <c r="J573" s="193">
        <v>0.02</v>
      </c>
      <c r="K573">
        <f t="shared" si="71"/>
        <v>496</v>
      </c>
      <c r="L573" s="62">
        <f t="shared" si="69"/>
        <v>547</v>
      </c>
      <c r="M573" s="304">
        <v>1.1399999999999999</v>
      </c>
      <c r="N573" s="301">
        <f>VLOOKUP(2356,季財報!A:N,8,0)</f>
        <v>4</v>
      </c>
    </row>
    <row r="574" spans="1:14">
      <c r="A574" s="187">
        <v>2373</v>
      </c>
      <c r="C574">
        <v>169</v>
      </c>
      <c r="D574">
        <v>3679</v>
      </c>
      <c r="E574">
        <v>1811</v>
      </c>
      <c r="F574">
        <v>8112</v>
      </c>
      <c r="G574">
        <v>2317</v>
      </c>
      <c r="H574" s="200">
        <v>0.03</v>
      </c>
      <c r="I574">
        <f t="shared" si="70"/>
        <v>466</v>
      </c>
      <c r="J574" s="193">
        <v>0.02</v>
      </c>
      <c r="K574">
        <f t="shared" si="71"/>
        <v>496</v>
      </c>
      <c r="L574" s="62">
        <f t="shared" si="69"/>
        <v>547</v>
      </c>
      <c r="M574" s="304">
        <v>1.1399999999999999</v>
      </c>
      <c r="N574" s="301">
        <f>VLOOKUP(2373,季財報!A:N,8,0)</f>
        <v>1</v>
      </c>
    </row>
    <row r="575" spans="1:14">
      <c r="A575" s="187">
        <v>2374</v>
      </c>
      <c r="C575">
        <v>214</v>
      </c>
      <c r="D575">
        <v>3516</v>
      </c>
      <c r="E575">
        <v>3558</v>
      </c>
      <c r="F575">
        <v>8713</v>
      </c>
      <c r="G575">
        <v>410</v>
      </c>
      <c r="H575" s="200">
        <v>0.03</v>
      </c>
      <c r="I575">
        <f t="shared" si="70"/>
        <v>466</v>
      </c>
      <c r="J575" s="193">
        <v>0.02</v>
      </c>
      <c r="K575">
        <f t="shared" si="71"/>
        <v>496</v>
      </c>
      <c r="L575" s="62">
        <f t="shared" si="69"/>
        <v>547</v>
      </c>
      <c r="M575" s="304">
        <v>1.1399999999999999</v>
      </c>
      <c r="N575" s="301">
        <f>VLOOKUP(2374,季財報!A:N,8,0)</f>
        <v>2</v>
      </c>
    </row>
    <row r="576" spans="1:14">
      <c r="A576" s="187">
        <v>2401</v>
      </c>
      <c r="C576">
        <v>290</v>
      </c>
      <c r="D576">
        <v>5295</v>
      </c>
      <c r="E576">
        <v>3573</v>
      </c>
      <c r="F576">
        <v>10724</v>
      </c>
      <c r="G576">
        <v>1744</v>
      </c>
      <c r="H576" s="200">
        <v>0.03</v>
      </c>
      <c r="I576">
        <f t="shared" si="70"/>
        <v>466</v>
      </c>
      <c r="J576" s="193">
        <v>0.02</v>
      </c>
      <c r="K576">
        <f t="shared" si="71"/>
        <v>496</v>
      </c>
      <c r="L576" s="62">
        <f t="shared" si="69"/>
        <v>547</v>
      </c>
      <c r="M576" s="304">
        <v>1.1399999999999999</v>
      </c>
      <c r="N576" s="301">
        <f>VLOOKUP(2401,季財報!A:N,8,0)</f>
        <v>0</v>
      </c>
    </row>
    <row r="577" spans="1:14">
      <c r="A577" s="187">
        <v>2413</v>
      </c>
      <c r="C577">
        <v>59</v>
      </c>
      <c r="D577">
        <v>944</v>
      </c>
      <c r="E577">
        <v>1332</v>
      </c>
      <c r="F577">
        <v>2024</v>
      </c>
      <c r="G577">
        <v>510</v>
      </c>
      <c r="H577" s="200">
        <v>0.03</v>
      </c>
      <c r="I577">
        <f t="shared" si="70"/>
        <v>466</v>
      </c>
      <c r="J577" s="193">
        <v>0.02</v>
      </c>
      <c r="K577">
        <f t="shared" si="71"/>
        <v>496</v>
      </c>
      <c r="L577" s="62">
        <f t="shared" si="69"/>
        <v>547</v>
      </c>
      <c r="M577" s="304">
        <v>1.1399999999999999</v>
      </c>
      <c r="N577" s="301">
        <f>VLOOKUP(2413,季財報!A:N,8,0)</f>
        <v>4</v>
      </c>
    </row>
    <row r="578" spans="1:14">
      <c r="A578" s="187">
        <v>2414</v>
      </c>
      <c r="C578">
        <v>75</v>
      </c>
      <c r="D578">
        <v>1754</v>
      </c>
      <c r="E578">
        <v>1050</v>
      </c>
      <c r="F578">
        <v>2927</v>
      </c>
      <c r="G578">
        <v>954</v>
      </c>
      <c r="H578" s="200">
        <v>0.03</v>
      </c>
      <c r="I578">
        <f t="shared" si="70"/>
        <v>466</v>
      </c>
      <c r="J578" s="193">
        <v>0.02</v>
      </c>
      <c r="K578">
        <f t="shared" si="71"/>
        <v>496</v>
      </c>
      <c r="L578" s="62">
        <f t="shared" si="69"/>
        <v>547</v>
      </c>
      <c r="M578" s="304">
        <v>1.01</v>
      </c>
      <c r="N578" s="301">
        <f>VLOOKUP(2414,季財報!A:N,8,0)</f>
        <v>1</v>
      </c>
    </row>
    <row r="579" spans="1:14">
      <c r="A579" s="187">
        <v>2419</v>
      </c>
      <c r="C579">
        <v>87</v>
      </c>
      <c r="D579">
        <v>2260</v>
      </c>
      <c r="E579">
        <v>965</v>
      </c>
      <c r="F579">
        <v>3365</v>
      </c>
      <c r="G579">
        <v>922</v>
      </c>
      <c r="H579" s="200">
        <v>0.03</v>
      </c>
      <c r="I579">
        <f t="shared" si="70"/>
        <v>466</v>
      </c>
      <c r="J579" s="193">
        <v>0.02</v>
      </c>
      <c r="K579">
        <f t="shared" si="71"/>
        <v>496</v>
      </c>
      <c r="L579" s="62">
        <f t="shared" si="69"/>
        <v>547</v>
      </c>
      <c r="M579" s="304">
        <v>1.01</v>
      </c>
      <c r="N579" s="301">
        <f>VLOOKUP(2419,季財報!A:N,8,0)</f>
        <v>4</v>
      </c>
    </row>
    <row r="580" spans="1:14">
      <c r="A580" s="187">
        <v>2426</v>
      </c>
      <c r="C580">
        <v>78</v>
      </c>
      <c r="D580">
        <v>1702</v>
      </c>
      <c r="E580">
        <v>1189</v>
      </c>
      <c r="F580">
        <v>3429</v>
      </c>
      <c r="G580">
        <v>732</v>
      </c>
      <c r="H580" s="200">
        <v>0.03</v>
      </c>
      <c r="I580">
        <f t="shared" si="70"/>
        <v>466</v>
      </c>
      <c r="J580" s="193">
        <v>0.02</v>
      </c>
      <c r="K580">
        <f t="shared" si="71"/>
        <v>496</v>
      </c>
      <c r="L580" s="62">
        <f t="shared" ref="L580:L607" si="72">RANK(1.58,M:M,0)</f>
        <v>547</v>
      </c>
      <c r="M580" s="304">
        <v>1.01</v>
      </c>
      <c r="N580" s="301">
        <f>VLOOKUP(2426,季財報!A:N,8,0)</f>
        <v>2</v>
      </c>
    </row>
    <row r="581" spans="1:14">
      <c r="A581" s="187">
        <v>2481</v>
      </c>
      <c r="C581">
        <v>264</v>
      </c>
      <c r="D581">
        <v>2399</v>
      </c>
      <c r="E581">
        <v>7965</v>
      </c>
      <c r="F581">
        <v>8040</v>
      </c>
      <c r="G581">
        <v>3438</v>
      </c>
      <c r="H581" s="200">
        <v>0.03</v>
      </c>
      <c r="I581">
        <f t="shared" ref="I581:I607" si="73">RANK(0.03,H:H,0)</f>
        <v>466</v>
      </c>
      <c r="J581" s="193">
        <v>0.02</v>
      </c>
      <c r="K581">
        <f t="shared" ref="K581:K607" si="74">RANK(0.02,J:J,0)</f>
        <v>496</v>
      </c>
      <c r="L581" s="62">
        <f t="shared" si="72"/>
        <v>547</v>
      </c>
      <c r="M581" s="304">
        <v>1.01</v>
      </c>
      <c r="N581" s="301">
        <f>VLOOKUP(2481,季財報!A:N,8,0)</f>
        <v>2</v>
      </c>
    </row>
    <row r="582" spans="1:14">
      <c r="A582" s="187">
        <v>2492</v>
      </c>
      <c r="C582">
        <v>393</v>
      </c>
      <c r="D582">
        <v>6563</v>
      </c>
      <c r="E582">
        <v>5721</v>
      </c>
      <c r="F582">
        <v>15344</v>
      </c>
      <c r="G582">
        <v>2787</v>
      </c>
      <c r="H582" s="200">
        <v>0.03</v>
      </c>
      <c r="I582">
        <f t="shared" si="73"/>
        <v>466</v>
      </c>
      <c r="J582" s="193">
        <v>0.02</v>
      </c>
      <c r="K582">
        <f t="shared" si="74"/>
        <v>496</v>
      </c>
      <c r="L582" s="62">
        <f t="shared" si="72"/>
        <v>547</v>
      </c>
      <c r="M582" s="304">
        <v>1.01</v>
      </c>
      <c r="N582" s="301">
        <f>VLOOKUP(2492,季財報!A:N,8,0)</f>
        <v>4</v>
      </c>
    </row>
    <row r="583" spans="1:14">
      <c r="A583" s="187">
        <v>2497</v>
      </c>
      <c r="C583">
        <v>49</v>
      </c>
      <c r="D583">
        <v>871</v>
      </c>
      <c r="E583">
        <v>1051</v>
      </c>
      <c r="F583">
        <v>2041</v>
      </c>
      <c r="G583">
        <v>573</v>
      </c>
      <c r="H583" s="200">
        <v>0.03</v>
      </c>
      <c r="I583">
        <f t="shared" si="73"/>
        <v>466</v>
      </c>
      <c r="J583" s="193">
        <v>0.02</v>
      </c>
      <c r="K583">
        <f t="shared" si="74"/>
        <v>496</v>
      </c>
      <c r="L583" s="62">
        <f t="shared" si="72"/>
        <v>547</v>
      </c>
      <c r="M583" s="304">
        <v>1.01</v>
      </c>
      <c r="N583" s="301">
        <f>VLOOKUP(2497,季財報!A:N,8,0)</f>
        <v>1</v>
      </c>
    </row>
    <row r="584" spans="1:14">
      <c r="A584" s="187">
        <v>2540</v>
      </c>
      <c r="C584">
        <v>89</v>
      </c>
      <c r="D584">
        <v>2724</v>
      </c>
      <c r="E584">
        <v>146</v>
      </c>
      <c r="F584">
        <v>3658</v>
      </c>
      <c r="G584">
        <v>951</v>
      </c>
      <c r="H584" s="200">
        <v>0.03</v>
      </c>
      <c r="I584">
        <f t="shared" si="73"/>
        <v>466</v>
      </c>
      <c r="J584" s="193">
        <v>0.02</v>
      </c>
      <c r="K584">
        <f t="shared" si="74"/>
        <v>496</v>
      </c>
      <c r="L584" s="62">
        <f t="shared" si="72"/>
        <v>547</v>
      </c>
      <c r="M584" s="304">
        <v>1.01</v>
      </c>
      <c r="N584" s="301">
        <f>VLOOKUP(2540,季財報!A:N,8,0)</f>
        <v>1</v>
      </c>
    </row>
    <row r="585" spans="1:14">
      <c r="A585" s="187">
        <v>2727</v>
      </c>
      <c r="C585">
        <v>105</v>
      </c>
      <c r="D585">
        <v>815</v>
      </c>
      <c r="E585">
        <v>2938</v>
      </c>
      <c r="F585">
        <v>4755</v>
      </c>
      <c r="G585">
        <v>111</v>
      </c>
      <c r="H585" s="200">
        <v>0.03</v>
      </c>
      <c r="I585">
        <f t="shared" si="73"/>
        <v>466</v>
      </c>
      <c r="J585" s="193">
        <v>0.02</v>
      </c>
      <c r="K585">
        <f t="shared" si="74"/>
        <v>496</v>
      </c>
      <c r="L585" s="62">
        <f t="shared" si="72"/>
        <v>547</v>
      </c>
      <c r="M585" s="304">
        <v>1.01</v>
      </c>
      <c r="N585" s="301">
        <f>VLOOKUP(2727,季財報!A:N,8,0)</f>
        <v>1</v>
      </c>
    </row>
    <row r="586" spans="1:14">
      <c r="A586" s="187">
        <v>3005</v>
      </c>
      <c r="C586">
        <v>356</v>
      </c>
      <c r="D586">
        <v>6472</v>
      </c>
      <c r="E586">
        <v>6200</v>
      </c>
      <c r="F586">
        <v>14854</v>
      </c>
      <c r="G586">
        <v>1338</v>
      </c>
      <c r="H586" s="200">
        <v>0.03</v>
      </c>
      <c r="I586">
        <f t="shared" si="73"/>
        <v>466</v>
      </c>
      <c r="J586" s="193">
        <v>0.02</v>
      </c>
      <c r="K586">
        <f t="shared" si="74"/>
        <v>496</v>
      </c>
      <c r="L586" s="62">
        <f t="shared" si="72"/>
        <v>547</v>
      </c>
      <c r="M586" s="304">
        <v>1.01</v>
      </c>
      <c r="N586" s="301">
        <f>VLOOKUP(3005,季財報!A:N,8,0)</f>
        <v>2</v>
      </c>
    </row>
    <row r="587" spans="1:14">
      <c r="A587" s="187">
        <v>3042</v>
      </c>
      <c r="C587">
        <v>246</v>
      </c>
      <c r="D587">
        <v>4955</v>
      </c>
      <c r="E587">
        <v>4877</v>
      </c>
      <c r="F587">
        <v>9922</v>
      </c>
      <c r="G587">
        <v>1736</v>
      </c>
      <c r="H587" s="200">
        <v>0.03</v>
      </c>
      <c r="I587">
        <f t="shared" si="73"/>
        <v>466</v>
      </c>
      <c r="J587" s="193">
        <v>0.02</v>
      </c>
      <c r="K587">
        <f t="shared" si="74"/>
        <v>496</v>
      </c>
      <c r="L587" s="62">
        <f t="shared" si="72"/>
        <v>547</v>
      </c>
      <c r="M587" s="304">
        <v>1.01</v>
      </c>
      <c r="N587" s="301">
        <f>VLOOKUP(3042,季財報!A:N,8,0)</f>
        <v>4</v>
      </c>
    </row>
    <row r="588" spans="1:14">
      <c r="A588" s="187">
        <v>3090</v>
      </c>
      <c r="C588">
        <v>98</v>
      </c>
      <c r="D588">
        <v>2362</v>
      </c>
      <c r="E588">
        <v>664</v>
      </c>
      <c r="F588">
        <v>2876</v>
      </c>
      <c r="G588">
        <v>1565</v>
      </c>
      <c r="H588" s="200">
        <v>0.03</v>
      </c>
      <c r="I588">
        <f t="shared" si="73"/>
        <v>466</v>
      </c>
      <c r="J588" s="193">
        <v>0.02</v>
      </c>
      <c r="K588">
        <f t="shared" si="74"/>
        <v>496</v>
      </c>
      <c r="L588" s="62">
        <f t="shared" si="72"/>
        <v>547</v>
      </c>
      <c r="M588" s="304">
        <v>1.01</v>
      </c>
      <c r="N588" s="301">
        <f>VLOOKUP(3090,季財報!A:N,8,0)</f>
        <v>2</v>
      </c>
    </row>
    <row r="589" spans="1:14">
      <c r="A589" s="187">
        <v>3689</v>
      </c>
      <c r="C589">
        <v>65</v>
      </c>
      <c r="D589">
        <v>1295</v>
      </c>
      <c r="E589">
        <v>1008</v>
      </c>
      <c r="F589">
        <v>2675</v>
      </c>
      <c r="G589">
        <v>812</v>
      </c>
      <c r="H589" s="200">
        <v>0.03</v>
      </c>
      <c r="I589">
        <f t="shared" si="73"/>
        <v>466</v>
      </c>
      <c r="J589" s="193">
        <v>0.02</v>
      </c>
      <c r="K589">
        <f t="shared" si="74"/>
        <v>496</v>
      </c>
      <c r="L589" s="62">
        <f t="shared" si="72"/>
        <v>547</v>
      </c>
      <c r="M589" s="304">
        <v>1.01</v>
      </c>
      <c r="N589" s="301">
        <f>VLOOKUP(3689,季財報!A:N,8,0)</f>
        <v>1</v>
      </c>
    </row>
    <row r="590" spans="1:14">
      <c r="A590" s="187">
        <v>8931</v>
      </c>
      <c r="C590">
        <v>47</v>
      </c>
      <c r="D590">
        <v>38</v>
      </c>
      <c r="E590">
        <v>1630</v>
      </c>
      <c r="F590">
        <v>1623</v>
      </c>
      <c r="G590">
        <v>485</v>
      </c>
      <c r="H590" s="200">
        <v>0.03</v>
      </c>
      <c r="I590">
        <f t="shared" si="73"/>
        <v>466</v>
      </c>
      <c r="J590" s="193">
        <v>0.02</v>
      </c>
      <c r="K590">
        <f t="shared" si="74"/>
        <v>496</v>
      </c>
      <c r="L590" s="62">
        <f t="shared" si="72"/>
        <v>547</v>
      </c>
      <c r="M590" s="304">
        <v>1.01</v>
      </c>
      <c r="N590" s="301">
        <f>VLOOKUP(8931,季財報!A:N,8,0)</f>
        <v>4</v>
      </c>
    </row>
    <row r="591" spans="1:14">
      <c r="A591" s="187">
        <v>6223</v>
      </c>
      <c r="C591">
        <v>98</v>
      </c>
      <c r="D591">
        <v>1021</v>
      </c>
      <c r="E591">
        <v>2847</v>
      </c>
      <c r="F591">
        <v>3681</v>
      </c>
      <c r="G591">
        <v>563</v>
      </c>
      <c r="H591" s="200">
        <v>0.03</v>
      </c>
      <c r="I591">
        <f t="shared" si="73"/>
        <v>466</v>
      </c>
      <c r="J591" s="193">
        <v>0.02</v>
      </c>
      <c r="K591">
        <f t="shared" si="74"/>
        <v>496</v>
      </c>
      <c r="L591" s="62">
        <f t="shared" si="72"/>
        <v>547</v>
      </c>
      <c r="M591" s="304">
        <v>1.01</v>
      </c>
      <c r="N591" s="301">
        <f>VLOOKUP(6223,季財報!A:N,8,0)</f>
        <v>1</v>
      </c>
    </row>
    <row r="592" spans="1:14">
      <c r="A592" s="187">
        <v>6167</v>
      </c>
      <c r="C592">
        <v>27</v>
      </c>
      <c r="D592">
        <v>0</v>
      </c>
      <c r="E592">
        <v>851</v>
      </c>
      <c r="F592">
        <v>902</v>
      </c>
      <c r="G592">
        <v>697</v>
      </c>
      <c r="H592" s="200">
        <v>0.03</v>
      </c>
      <c r="I592">
        <f t="shared" si="73"/>
        <v>466</v>
      </c>
      <c r="J592" s="193">
        <v>0.02</v>
      </c>
      <c r="K592">
        <f t="shared" si="74"/>
        <v>496</v>
      </c>
      <c r="L592" s="62">
        <f t="shared" si="72"/>
        <v>547</v>
      </c>
      <c r="M592" s="304">
        <v>1.01</v>
      </c>
      <c r="N592" s="301">
        <f>VLOOKUP(6167,季財報!A:N,8,0)</f>
        <v>1</v>
      </c>
    </row>
    <row r="593" spans="1:14">
      <c r="A593" s="187">
        <v>6115</v>
      </c>
      <c r="C593">
        <v>127</v>
      </c>
      <c r="D593">
        <v>3972</v>
      </c>
      <c r="E593">
        <v>867</v>
      </c>
      <c r="F593">
        <v>5198</v>
      </c>
      <c r="G593">
        <v>1698</v>
      </c>
      <c r="H593" s="200">
        <v>0.03</v>
      </c>
      <c r="I593">
        <f t="shared" si="73"/>
        <v>466</v>
      </c>
      <c r="J593" s="193">
        <v>0.02</v>
      </c>
      <c r="K593">
        <f t="shared" si="74"/>
        <v>496</v>
      </c>
      <c r="L593" s="62">
        <f t="shared" si="72"/>
        <v>547</v>
      </c>
      <c r="M593" s="304">
        <v>1.01</v>
      </c>
      <c r="N593" s="301">
        <f>VLOOKUP(6115,季財報!A:N,8,0)</f>
        <v>5</v>
      </c>
    </row>
    <row r="594" spans="1:14">
      <c r="A594" s="187">
        <v>6154</v>
      </c>
      <c r="C594">
        <v>30</v>
      </c>
      <c r="D594">
        <v>782</v>
      </c>
      <c r="E594">
        <v>362</v>
      </c>
      <c r="F594">
        <v>1256</v>
      </c>
      <c r="G594">
        <v>0</v>
      </c>
      <c r="H594" s="200">
        <v>0.03</v>
      </c>
      <c r="I594">
        <f t="shared" si="73"/>
        <v>466</v>
      </c>
      <c r="J594" s="193">
        <v>0.02</v>
      </c>
      <c r="K594">
        <f t="shared" si="74"/>
        <v>496</v>
      </c>
      <c r="L594" s="62">
        <f t="shared" si="72"/>
        <v>547</v>
      </c>
      <c r="M594" s="304">
        <v>1.01</v>
      </c>
      <c r="N594" s="301">
        <f>VLOOKUP(6154,季財報!A:N,8,0)</f>
        <v>2</v>
      </c>
    </row>
    <row r="595" spans="1:14">
      <c r="A595" s="187">
        <v>5438</v>
      </c>
      <c r="C595">
        <v>34</v>
      </c>
      <c r="D595">
        <v>992</v>
      </c>
      <c r="E595">
        <v>30</v>
      </c>
      <c r="F595">
        <v>1854</v>
      </c>
      <c r="G595">
        <v>0</v>
      </c>
      <c r="H595" s="200">
        <v>0.03</v>
      </c>
      <c r="I595">
        <f t="shared" si="73"/>
        <v>466</v>
      </c>
      <c r="J595" s="193">
        <v>0.02</v>
      </c>
      <c r="K595">
        <f t="shared" si="74"/>
        <v>496</v>
      </c>
      <c r="L595" s="62">
        <f t="shared" si="72"/>
        <v>547</v>
      </c>
      <c r="M595" s="304">
        <v>1.01</v>
      </c>
      <c r="N595" s="301">
        <f>VLOOKUP(5438,季財報!A:N,8,0)</f>
        <v>4</v>
      </c>
    </row>
    <row r="596" spans="1:14">
      <c r="A596" s="187">
        <v>4153</v>
      </c>
      <c r="C596">
        <v>26</v>
      </c>
      <c r="D596">
        <v>692</v>
      </c>
      <c r="E596">
        <v>254</v>
      </c>
      <c r="F596">
        <v>990</v>
      </c>
      <c r="G596">
        <v>160</v>
      </c>
      <c r="H596" s="200">
        <v>0.03</v>
      </c>
      <c r="I596">
        <f t="shared" si="73"/>
        <v>466</v>
      </c>
      <c r="J596" s="193">
        <v>0.02</v>
      </c>
      <c r="K596">
        <f t="shared" si="74"/>
        <v>496</v>
      </c>
      <c r="L596" s="62">
        <f t="shared" si="72"/>
        <v>547</v>
      </c>
      <c r="M596" s="304">
        <v>1.01</v>
      </c>
      <c r="N596" s="301">
        <f>VLOOKUP(4153,季財報!A:N,8,0)</f>
        <v>3</v>
      </c>
    </row>
    <row r="597" spans="1:14">
      <c r="A597" s="187">
        <v>4755</v>
      </c>
      <c r="C597">
        <v>48</v>
      </c>
      <c r="D597">
        <v>998</v>
      </c>
      <c r="E597">
        <v>762</v>
      </c>
      <c r="F597">
        <v>2528</v>
      </c>
      <c r="G597">
        <v>304</v>
      </c>
      <c r="H597" s="200">
        <v>0.03</v>
      </c>
      <c r="I597">
        <f t="shared" si="73"/>
        <v>466</v>
      </c>
      <c r="J597" s="193">
        <v>0.02</v>
      </c>
      <c r="K597">
        <f t="shared" si="74"/>
        <v>496</v>
      </c>
      <c r="L597" s="62">
        <f t="shared" si="72"/>
        <v>547</v>
      </c>
      <c r="M597" s="304">
        <v>1.01</v>
      </c>
      <c r="N597" s="301">
        <f>VLOOKUP(4755,季財報!A:N,8,0)</f>
        <v>3</v>
      </c>
    </row>
    <row r="598" spans="1:14">
      <c r="A598" s="187">
        <v>1339</v>
      </c>
      <c r="C598">
        <v>79</v>
      </c>
      <c r="D598">
        <v>587</v>
      </c>
      <c r="E598">
        <v>2489</v>
      </c>
      <c r="F598">
        <v>3049</v>
      </c>
      <c r="G598">
        <v>302</v>
      </c>
      <c r="H598" s="200">
        <v>0.03</v>
      </c>
      <c r="I598">
        <f t="shared" si="73"/>
        <v>466</v>
      </c>
      <c r="J598" s="193">
        <v>0.02</v>
      </c>
      <c r="K598">
        <f t="shared" si="74"/>
        <v>496</v>
      </c>
      <c r="L598" s="62">
        <f t="shared" si="72"/>
        <v>547</v>
      </c>
      <c r="M598" s="304">
        <v>1.01</v>
      </c>
      <c r="N598" s="301">
        <f>VLOOKUP(1339,季財報!A:N,8,0)</f>
        <v>3</v>
      </c>
    </row>
    <row r="599" spans="1:14">
      <c r="A599" s="187">
        <v>1533</v>
      </c>
      <c r="C599">
        <v>62</v>
      </c>
      <c r="D599">
        <v>1416</v>
      </c>
      <c r="E599">
        <v>979</v>
      </c>
      <c r="F599">
        <v>2289</v>
      </c>
      <c r="G599">
        <v>1019</v>
      </c>
      <c r="H599" s="200">
        <v>0.03</v>
      </c>
      <c r="I599">
        <f t="shared" si="73"/>
        <v>466</v>
      </c>
      <c r="J599" s="193">
        <v>0.02</v>
      </c>
      <c r="K599">
        <f t="shared" si="74"/>
        <v>496</v>
      </c>
      <c r="L599" s="62">
        <f t="shared" si="72"/>
        <v>547</v>
      </c>
      <c r="M599" s="304">
        <v>1.01</v>
      </c>
      <c r="N599" s="301">
        <f>VLOOKUP(1533,季財報!A:N,8,0)</f>
        <v>3</v>
      </c>
    </row>
    <row r="600" spans="1:14">
      <c r="A600" s="187">
        <v>2233</v>
      </c>
      <c r="C600">
        <v>55</v>
      </c>
      <c r="D600">
        <v>1039</v>
      </c>
      <c r="E600">
        <v>1127</v>
      </c>
      <c r="F600">
        <v>2141</v>
      </c>
      <c r="G600">
        <v>123</v>
      </c>
      <c r="H600" s="200">
        <v>0.03</v>
      </c>
      <c r="I600">
        <f t="shared" si="73"/>
        <v>466</v>
      </c>
      <c r="J600" s="193">
        <v>0.02</v>
      </c>
      <c r="K600">
        <f t="shared" si="74"/>
        <v>496</v>
      </c>
      <c r="L600" s="62">
        <f t="shared" si="72"/>
        <v>547</v>
      </c>
      <c r="M600" s="304">
        <v>1.01</v>
      </c>
      <c r="N600" s="301">
        <f>VLOOKUP(2233,季財報!A:N,8,0)</f>
        <v>1</v>
      </c>
    </row>
    <row r="601" spans="1:14">
      <c r="A601" s="187">
        <v>2430</v>
      </c>
      <c r="C601">
        <v>105</v>
      </c>
      <c r="D601">
        <v>0</v>
      </c>
      <c r="E601">
        <v>3687</v>
      </c>
      <c r="F601">
        <v>4530</v>
      </c>
      <c r="G601">
        <v>1</v>
      </c>
      <c r="H601" s="200">
        <v>0.03</v>
      </c>
      <c r="I601">
        <f t="shared" si="73"/>
        <v>466</v>
      </c>
      <c r="J601" s="193">
        <v>0.02</v>
      </c>
      <c r="K601">
        <f t="shared" si="74"/>
        <v>496</v>
      </c>
      <c r="L601" s="62">
        <f t="shared" si="72"/>
        <v>547</v>
      </c>
      <c r="M601" s="304">
        <v>1.01</v>
      </c>
      <c r="N601" s="301">
        <f>VLOOKUP(2430,季財報!A:N,8,0)</f>
        <v>2</v>
      </c>
    </row>
    <row r="602" spans="1:14">
      <c r="A602" s="187">
        <v>2543</v>
      </c>
      <c r="C602">
        <v>74</v>
      </c>
      <c r="D602">
        <v>2056</v>
      </c>
      <c r="E602">
        <v>689</v>
      </c>
      <c r="F602">
        <v>2757</v>
      </c>
      <c r="G602">
        <v>670</v>
      </c>
      <c r="H602" s="200">
        <v>0.03</v>
      </c>
      <c r="I602">
        <f t="shared" si="73"/>
        <v>466</v>
      </c>
      <c r="J602" s="193">
        <v>0.02</v>
      </c>
      <c r="K602">
        <f t="shared" si="74"/>
        <v>496</v>
      </c>
      <c r="L602" s="62">
        <f t="shared" si="72"/>
        <v>547</v>
      </c>
      <c r="M602" s="304">
        <v>1.01</v>
      </c>
      <c r="N602" s="301">
        <f>VLOOKUP(2543,季財報!A:N,8,0)</f>
        <v>1</v>
      </c>
    </row>
    <row r="603" spans="1:14">
      <c r="A603" s="187">
        <v>2908</v>
      </c>
      <c r="C603">
        <v>225</v>
      </c>
      <c r="D603">
        <v>860</v>
      </c>
      <c r="E603">
        <v>6429</v>
      </c>
      <c r="F603">
        <v>7447</v>
      </c>
      <c r="G603">
        <v>4704</v>
      </c>
      <c r="H603" s="200">
        <v>0.03</v>
      </c>
      <c r="I603">
        <f t="shared" si="73"/>
        <v>466</v>
      </c>
      <c r="J603" s="193">
        <v>0.02</v>
      </c>
      <c r="K603">
        <f t="shared" si="74"/>
        <v>496</v>
      </c>
      <c r="L603" s="62">
        <f t="shared" si="72"/>
        <v>547</v>
      </c>
      <c r="M603" s="304">
        <v>1.01</v>
      </c>
      <c r="N603" s="301">
        <f>VLOOKUP(2908,季財報!A:N,8,0)</f>
        <v>1</v>
      </c>
    </row>
    <row r="604" spans="1:14">
      <c r="A604" s="187">
        <v>3114</v>
      </c>
      <c r="C604">
        <v>19</v>
      </c>
      <c r="D604">
        <v>538</v>
      </c>
      <c r="E604">
        <v>123</v>
      </c>
      <c r="F604">
        <v>835</v>
      </c>
      <c r="G604">
        <v>345</v>
      </c>
      <c r="H604" s="200">
        <v>0.03</v>
      </c>
      <c r="I604">
        <f t="shared" si="73"/>
        <v>466</v>
      </c>
      <c r="J604" s="193">
        <v>0.02</v>
      </c>
      <c r="K604">
        <f t="shared" si="74"/>
        <v>496</v>
      </c>
      <c r="L604" s="62">
        <f t="shared" si="72"/>
        <v>547</v>
      </c>
      <c r="M604" s="304">
        <v>1.01</v>
      </c>
      <c r="N604" s="301">
        <f>VLOOKUP(3114,季財報!A:N,8,0)</f>
        <v>4</v>
      </c>
    </row>
    <row r="605" spans="1:14">
      <c r="A605" s="187">
        <v>3211</v>
      </c>
      <c r="C605">
        <v>203</v>
      </c>
      <c r="D605">
        <v>6120</v>
      </c>
      <c r="E605">
        <v>1663</v>
      </c>
      <c r="F605">
        <v>7373</v>
      </c>
      <c r="G605">
        <v>950</v>
      </c>
      <c r="H605" s="200">
        <v>0.03</v>
      </c>
      <c r="I605">
        <f t="shared" si="73"/>
        <v>466</v>
      </c>
      <c r="J605" s="193">
        <v>0.02</v>
      </c>
      <c r="K605">
        <f t="shared" si="74"/>
        <v>496</v>
      </c>
      <c r="L605" s="62">
        <f t="shared" si="72"/>
        <v>547</v>
      </c>
      <c r="M605" s="304">
        <v>1.01</v>
      </c>
      <c r="N605" s="301">
        <f>VLOOKUP(3211,季財報!A:N,8,0)</f>
        <v>2</v>
      </c>
    </row>
    <row r="606" spans="1:14">
      <c r="A606" s="187">
        <v>3332</v>
      </c>
      <c r="C606">
        <v>34</v>
      </c>
      <c r="D606">
        <v>1071</v>
      </c>
      <c r="E606">
        <v>227</v>
      </c>
      <c r="F606">
        <v>1392</v>
      </c>
      <c r="G606">
        <v>0</v>
      </c>
      <c r="H606" s="200">
        <v>0.03</v>
      </c>
      <c r="I606">
        <f t="shared" si="73"/>
        <v>466</v>
      </c>
      <c r="J606" s="193">
        <v>0.02</v>
      </c>
      <c r="K606">
        <f t="shared" si="74"/>
        <v>496</v>
      </c>
      <c r="L606" s="62">
        <f t="shared" si="72"/>
        <v>547</v>
      </c>
      <c r="M606" s="304">
        <v>1.01</v>
      </c>
      <c r="N606" s="301">
        <f>VLOOKUP(3332,季財報!A:N,8,0)</f>
        <v>4</v>
      </c>
    </row>
    <row r="607" spans="1:14">
      <c r="A607" s="187">
        <v>3527</v>
      </c>
      <c r="C607">
        <v>38</v>
      </c>
      <c r="D607">
        <v>1071</v>
      </c>
      <c r="E607">
        <v>176</v>
      </c>
      <c r="F607">
        <v>1499</v>
      </c>
      <c r="G607">
        <v>35</v>
      </c>
      <c r="H607" s="200">
        <v>0.03</v>
      </c>
      <c r="I607">
        <f t="shared" si="73"/>
        <v>466</v>
      </c>
      <c r="J607" s="193">
        <v>0.02</v>
      </c>
      <c r="K607">
        <f t="shared" si="74"/>
        <v>496</v>
      </c>
      <c r="L607" s="62">
        <f t="shared" si="72"/>
        <v>547</v>
      </c>
      <c r="M607" s="304">
        <v>1.01</v>
      </c>
      <c r="N607" s="301">
        <f>VLOOKUP(3527,季財報!A:N,8,0)</f>
        <v>1</v>
      </c>
    </row>
    <row r="608" spans="1:14">
      <c r="A608" s="187">
        <v>1456</v>
      </c>
      <c r="C608">
        <v>11</v>
      </c>
      <c r="D608">
        <v>0</v>
      </c>
      <c r="E608">
        <v>145</v>
      </c>
      <c r="F608">
        <v>938</v>
      </c>
      <c r="G608">
        <v>2825</v>
      </c>
      <c r="H608" s="200">
        <v>0.08</v>
      </c>
      <c r="I608">
        <f>RANK(0.08,H:H,0)</f>
        <v>80</v>
      </c>
      <c r="J608" s="193">
        <v>0</v>
      </c>
      <c r="K608">
        <f>RANK(0,J:J,0)</f>
        <v>945</v>
      </c>
      <c r="L608" s="62">
        <f>RANK(1.48,M:M,0)</f>
        <v>607</v>
      </c>
      <c r="M608" s="304">
        <v>1.01</v>
      </c>
      <c r="N608" s="301">
        <f>VLOOKUP(1456,季財報!A:N,8,0)</f>
        <v>3</v>
      </c>
    </row>
    <row r="609" spans="1:14">
      <c r="A609" s="187">
        <v>6148</v>
      </c>
      <c r="C609">
        <v>40</v>
      </c>
      <c r="D609">
        <v>925</v>
      </c>
      <c r="E609">
        <v>12</v>
      </c>
      <c r="F609">
        <v>1328</v>
      </c>
      <c r="G609">
        <v>2089</v>
      </c>
      <c r="H609" s="200">
        <v>0.04</v>
      </c>
      <c r="I609">
        <f t="shared" ref="I609:I615" si="75">RANK(0.04,H:H,0)</f>
        <v>330</v>
      </c>
      <c r="J609" s="193">
        <v>0.01</v>
      </c>
      <c r="K609">
        <f t="shared" ref="K609:K615" si="76">RANK(0.01,J:J,0)</f>
        <v>708</v>
      </c>
      <c r="L609" s="62">
        <f t="shared" ref="L609:L615" si="77">RANK(1.46,M:M,0)</f>
        <v>608</v>
      </c>
      <c r="M609" s="304">
        <v>1.01</v>
      </c>
      <c r="N609" s="301">
        <f>VLOOKUP(6148,季財報!A:N,8,0)</f>
        <v>3</v>
      </c>
    </row>
    <row r="610" spans="1:14">
      <c r="A610" s="187">
        <v>6184</v>
      </c>
      <c r="C610">
        <v>79</v>
      </c>
      <c r="D610">
        <v>0</v>
      </c>
      <c r="E610">
        <v>2169</v>
      </c>
      <c r="F610">
        <v>4995</v>
      </c>
      <c r="G610">
        <v>1704</v>
      </c>
      <c r="H610" s="200">
        <v>0.04</v>
      </c>
      <c r="I610">
        <f t="shared" si="75"/>
        <v>330</v>
      </c>
      <c r="J610" s="193">
        <v>0.01</v>
      </c>
      <c r="K610">
        <f t="shared" si="76"/>
        <v>708</v>
      </c>
      <c r="L610" s="62">
        <f t="shared" si="77"/>
        <v>608</v>
      </c>
      <c r="M610" s="304">
        <v>1.01</v>
      </c>
      <c r="N610" s="301">
        <f>VLOOKUP(6184,季財報!A:N,8,0)</f>
        <v>1</v>
      </c>
    </row>
    <row r="611" spans="1:14">
      <c r="A611" s="187">
        <v>2207</v>
      </c>
      <c r="C611">
        <v>1738</v>
      </c>
      <c r="D611">
        <v>9564</v>
      </c>
      <c r="E611">
        <v>35778</v>
      </c>
      <c r="F611">
        <v>43553</v>
      </c>
      <c r="G611">
        <v>77684</v>
      </c>
      <c r="H611" s="200">
        <v>0.04</v>
      </c>
      <c r="I611">
        <f t="shared" si="75"/>
        <v>330</v>
      </c>
      <c r="J611" s="193">
        <v>0.01</v>
      </c>
      <c r="K611">
        <f t="shared" si="76"/>
        <v>708</v>
      </c>
      <c r="L611" s="62">
        <f t="shared" si="77"/>
        <v>608</v>
      </c>
      <c r="M611" s="304">
        <v>1.01</v>
      </c>
      <c r="N611" s="301">
        <f>VLOOKUP(2207,季財報!A:N,8,0)</f>
        <v>2</v>
      </c>
    </row>
    <row r="612" spans="1:14">
      <c r="A612" s="187">
        <v>2509</v>
      </c>
      <c r="C612">
        <v>96</v>
      </c>
      <c r="D612">
        <v>2406</v>
      </c>
      <c r="E612">
        <v>204</v>
      </c>
      <c r="F612">
        <v>3245</v>
      </c>
      <c r="G612">
        <v>3778</v>
      </c>
      <c r="H612" s="200">
        <v>0.04</v>
      </c>
      <c r="I612">
        <f t="shared" si="75"/>
        <v>330</v>
      </c>
      <c r="J612" s="193">
        <v>0.01</v>
      </c>
      <c r="K612">
        <f t="shared" si="76"/>
        <v>708</v>
      </c>
      <c r="L612" s="62">
        <f t="shared" si="77"/>
        <v>608</v>
      </c>
      <c r="M612" s="304">
        <v>1.01</v>
      </c>
      <c r="N612" s="301">
        <f>VLOOKUP(2509,季財報!A:N,8,0)</f>
        <v>5</v>
      </c>
    </row>
    <row r="613" spans="1:14">
      <c r="A613" s="187">
        <v>9941</v>
      </c>
      <c r="C613">
        <v>619</v>
      </c>
      <c r="D613">
        <v>0</v>
      </c>
      <c r="E613">
        <v>15835</v>
      </c>
      <c r="F613">
        <v>9774</v>
      </c>
      <c r="G613">
        <v>74537</v>
      </c>
      <c r="H613" s="200">
        <v>0.04</v>
      </c>
      <c r="I613">
        <f t="shared" si="75"/>
        <v>330</v>
      </c>
      <c r="J613" s="193">
        <v>0.01</v>
      </c>
      <c r="K613">
        <f t="shared" si="76"/>
        <v>708</v>
      </c>
      <c r="L613" s="62">
        <f t="shared" si="77"/>
        <v>608</v>
      </c>
      <c r="M613" s="304">
        <v>1.01</v>
      </c>
      <c r="N613" s="301">
        <f>VLOOKUP(9941,季財報!A:N,8,0)</f>
        <v>0</v>
      </c>
    </row>
    <row r="614" spans="1:14">
      <c r="A614" s="187">
        <v>1333</v>
      </c>
      <c r="C614">
        <v>5</v>
      </c>
      <c r="D614">
        <v>0</v>
      </c>
      <c r="E614">
        <v>115</v>
      </c>
      <c r="F614">
        <v>518</v>
      </c>
      <c r="G614">
        <v>327</v>
      </c>
      <c r="H614" s="200">
        <v>0.04</v>
      </c>
      <c r="I614">
        <f t="shared" si="75"/>
        <v>330</v>
      </c>
      <c r="J614" s="193">
        <v>0.01</v>
      </c>
      <c r="K614">
        <f t="shared" si="76"/>
        <v>708</v>
      </c>
      <c r="L614" s="62">
        <f t="shared" si="77"/>
        <v>608</v>
      </c>
      <c r="M614" s="304">
        <v>1.01</v>
      </c>
      <c r="N614" s="301">
        <f>VLOOKUP(1333,季財報!A:N,8,0)</f>
        <v>3</v>
      </c>
    </row>
    <row r="615" spans="1:14">
      <c r="A615" s="187">
        <v>2352</v>
      </c>
      <c r="C615">
        <v>750</v>
      </c>
      <c r="D615">
        <v>545</v>
      </c>
      <c r="E615">
        <v>19707</v>
      </c>
      <c r="F615">
        <v>30780</v>
      </c>
      <c r="G615">
        <v>21068</v>
      </c>
      <c r="H615" s="200">
        <v>0.04</v>
      </c>
      <c r="I615">
        <f t="shared" si="75"/>
        <v>330</v>
      </c>
      <c r="J615" s="193">
        <v>0.01</v>
      </c>
      <c r="K615">
        <f t="shared" si="76"/>
        <v>708</v>
      </c>
      <c r="L615" s="62">
        <f t="shared" si="77"/>
        <v>608</v>
      </c>
      <c r="M615" s="304">
        <v>1.01</v>
      </c>
      <c r="N615" s="301">
        <f>VLOOKUP(2352,季財報!A:N,8,0)</f>
        <v>1</v>
      </c>
    </row>
    <row r="616" spans="1:14">
      <c r="A616" s="187">
        <v>1229</v>
      </c>
      <c r="C616">
        <v>95</v>
      </c>
      <c r="D616">
        <v>0</v>
      </c>
      <c r="E616">
        <v>1501</v>
      </c>
      <c r="F616">
        <v>20002</v>
      </c>
      <c r="G616">
        <v>2890</v>
      </c>
      <c r="H616" s="200">
        <v>0.06</v>
      </c>
      <c r="I616">
        <f>RANK(0.06,H:H,0)</f>
        <v>155</v>
      </c>
      <c r="J616" s="193">
        <v>0</v>
      </c>
      <c r="K616">
        <f>RANK(0,J:J,0)</f>
        <v>945</v>
      </c>
      <c r="L616" s="62">
        <f>RANK(1.38,M:M,0)</f>
        <v>615</v>
      </c>
      <c r="M616" s="304">
        <v>1.01</v>
      </c>
      <c r="N616" s="301">
        <f>VLOOKUP(1229,季財報!A:N,8,0)</f>
        <v>1</v>
      </c>
    </row>
    <row r="617" spans="1:14">
      <c r="A617" s="187">
        <v>9939</v>
      </c>
      <c r="C617">
        <v>391</v>
      </c>
      <c r="D617">
        <v>0</v>
      </c>
      <c r="E617">
        <v>18675</v>
      </c>
      <c r="F617">
        <v>13636</v>
      </c>
      <c r="G617">
        <v>10013</v>
      </c>
      <c r="H617" s="200">
        <v>0.02</v>
      </c>
      <c r="I617">
        <f t="shared" ref="I617:I648" si="78">RANK(0.02,H:H,0)</f>
        <v>619</v>
      </c>
      <c r="J617" s="193">
        <v>0.02</v>
      </c>
      <c r="K617">
        <f t="shared" ref="K617:K648" si="79">RANK(0.02,J:J,0)</f>
        <v>496</v>
      </c>
      <c r="L617" s="62">
        <f t="shared" ref="L617:L648" si="80">RANK(1.36,M:M,0)</f>
        <v>616</v>
      </c>
      <c r="M617" s="304">
        <v>1.01</v>
      </c>
      <c r="N617" s="301">
        <f>VLOOKUP(9939,季財報!A:N,8,0)</f>
        <v>1</v>
      </c>
    </row>
    <row r="618" spans="1:14">
      <c r="A618" s="187">
        <v>9907</v>
      </c>
      <c r="C618">
        <v>662</v>
      </c>
      <c r="D618">
        <v>0</v>
      </c>
      <c r="E618">
        <v>33846</v>
      </c>
      <c r="F618">
        <v>20739</v>
      </c>
      <c r="G618">
        <v>9910</v>
      </c>
      <c r="H618" s="200">
        <v>0.02</v>
      </c>
      <c r="I618">
        <f t="shared" si="78"/>
        <v>619</v>
      </c>
      <c r="J618" s="193">
        <v>0.02</v>
      </c>
      <c r="K618">
        <f t="shared" si="79"/>
        <v>496</v>
      </c>
      <c r="L618" s="62">
        <f t="shared" si="80"/>
        <v>616</v>
      </c>
      <c r="M618" s="304">
        <v>1.01</v>
      </c>
      <c r="N618" s="301">
        <f>VLOOKUP(9907,季財報!A:N,8,0)</f>
        <v>2</v>
      </c>
    </row>
    <row r="619" spans="1:14">
      <c r="A619" s="187">
        <v>9927</v>
      </c>
      <c r="C619">
        <v>93</v>
      </c>
      <c r="D619">
        <v>3427</v>
      </c>
      <c r="E619">
        <v>621</v>
      </c>
      <c r="F619">
        <v>4445</v>
      </c>
      <c r="G619">
        <v>1477</v>
      </c>
      <c r="H619" s="200">
        <v>0.02</v>
      </c>
      <c r="I619">
        <f t="shared" si="78"/>
        <v>619</v>
      </c>
      <c r="J619" s="193">
        <v>0.02</v>
      </c>
      <c r="K619">
        <f t="shared" si="79"/>
        <v>496</v>
      </c>
      <c r="L619" s="62">
        <f t="shared" si="80"/>
        <v>616</v>
      </c>
      <c r="M619" s="304">
        <v>1.01</v>
      </c>
      <c r="N619" s="301">
        <f>VLOOKUP(9927,季財報!A:N,8,0)</f>
        <v>3</v>
      </c>
    </row>
    <row r="620" spans="1:14">
      <c r="A620" s="187">
        <v>9904</v>
      </c>
      <c r="C620">
        <v>3081</v>
      </c>
      <c r="D620">
        <v>55094</v>
      </c>
      <c r="E620">
        <v>68204</v>
      </c>
      <c r="F620">
        <v>153888</v>
      </c>
      <c r="G620">
        <v>39209</v>
      </c>
      <c r="H620" s="200">
        <v>0.02</v>
      </c>
      <c r="I620">
        <f t="shared" si="78"/>
        <v>619</v>
      </c>
      <c r="J620" s="193">
        <v>0.02</v>
      </c>
      <c r="K620">
        <f t="shared" si="79"/>
        <v>496</v>
      </c>
      <c r="L620" s="62">
        <f t="shared" si="80"/>
        <v>616</v>
      </c>
      <c r="M620" s="304">
        <v>1.01</v>
      </c>
      <c r="N620" s="301">
        <f>VLOOKUP(9904,季財報!A:N,8,0)</f>
        <v>3</v>
      </c>
    </row>
    <row r="621" spans="1:14">
      <c r="A621" s="187">
        <v>8411</v>
      </c>
      <c r="C621">
        <v>131</v>
      </c>
      <c r="D621">
        <v>1980</v>
      </c>
      <c r="E621">
        <v>4297</v>
      </c>
      <c r="F621">
        <v>6128</v>
      </c>
      <c r="G621">
        <v>1347</v>
      </c>
      <c r="H621" s="200">
        <v>0.02</v>
      </c>
      <c r="I621">
        <f t="shared" si="78"/>
        <v>619</v>
      </c>
      <c r="J621" s="193">
        <v>0.02</v>
      </c>
      <c r="K621">
        <f t="shared" si="79"/>
        <v>496</v>
      </c>
      <c r="L621" s="62">
        <f t="shared" si="80"/>
        <v>616</v>
      </c>
      <c r="M621" s="304">
        <v>1.01</v>
      </c>
      <c r="N621" s="301">
        <f>VLOOKUP(8411,季財報!A:N,8,0)</f>
        <v>5</v>
      </c>
    </row>
    <row r="622" spans="1:14">
      <c r="A622" s="187">
        <v>8929</v>
      </c>
      <c r="C622">
        <v>15</v>
      </c>
      <c r="D622">
        <v>608</v>
      </c>
      <c r="E622">
        <v>294</v>
      </c>
      <c r="F622">
        <v>878</v>
      </c>
      <c r="G622">
        <v>93</v>
      </c>
      <c r="H622" s="200">
        <v>0.02</v>
      </c>
      <c r="I622">
        <f t="shared" si="78"/>
        <v>619</v>
      </c>
      <c r="J622" s="193">
        <v>0.02</v>
      </c>
      <c r="K622">
        <f t="shared" si="79"/>
        <v>496</v>
      </c>
      <c r="L622" s="62">
        <f t="shared" si="80"/>
        <v>616</v>
      </c>
      <c r="M622" s="304">
        <v>1.01</v>
      </c>
      <c r="N622" s="301">
        <f>VLOOKUP(8929,季財報!A:N,8,0)</f>
        <v>1</v>
      </c>
    </row>
    <row r="623" spans="1:14">
      <c r="A623" s="187">
        <v>8234</v>
      </c>
      <c r="C623">
        <v>44</v>
      </c>
      <c r="D623">
        <v>699</v>
      </c>
      <c r="E623">
        <v>1507</v>
      </c>
      <c r="F623">
        <v>2297</v>
      </c>
      <c r="G623">
        <v>601</v>
      </c>
      <c r="H623" s="200">
        <v>0.02</v>
      </c>
      <c r="I623">
        <f t="shared" si="78"/>
        <v>619</v>
      </c>
      <c r="J623" s="193">
        <v>0.02</v>
      </c>
      <c r="K623">
        <f t="shared" si="79"/>
        <v>496</v>
      </c>
      <c r="L623" s="62">
        <f t="shared" si="80"/>
        <v>616</v>
      </c>
      <c r="M623" s="304">
        <v>1.01</v>
      </c>
      <c r="N623" s="301">
        <f>VLOOKUP(8234,季財報!A:N,8,0)</f>
        <v>2</v>
      </c>
    </row>
    <row r="624" spans="1:14">
      <c r="A624" s="187">
        <v>8261</v>
      </c>
      <c r="C624">
        <v>23</v>
      </c>
      <c r="D624">
        <v>904</v>
      </c>
      <c r="E624">
        <v>275</v>
      </c>
      <c r="F624">
        <v>1328</v>
      </c>
      <c r="G624">
        <v>0</v>
      </c>
      <c r="H624" s="200">
        <v>0.02</v>
      </c>
      <c r="I624">
        <f t="shared" si="78"/>
        <v>619</v>
      </c>
      <c r="J624" s="193">
        <v>0.02</v>
      </c>
      <c r="K624">
        <f t="shared" si="79"/>
        <v>496</v>
      </c>
      <c r="L624" s="62">
        <f t="shared" si="80"/>
        <v>616</v>
      </c>
      <c r="M624" s="304">
        <v>1.01</v>
      </c>
      <c r="N624" s="301">
        <f>VLOOKUP(8261,季財報!A:N,8,0)</f>
        <v>3</v>
      </c>
    </row>
    <row r="625" spans="1:14">
      <c r="A625" s="187">
        <v>6426</v>
      </c>
      <c r="C625">
        <v>12</v>
      </c>
      <c r="D625">
        <v>322</v>
      </c>
      <c r="E625">
        <v>291</v>
      </c>
      <c r="F625">
        <v>612</v>
      </c>
      <c r="G625">
        <v>25</v>
      </c>
      <c r="H625" s="200">
        <v>0.02</v>
      </c>
      <c r="I625">
        <f t="shared" si="78"/>
        <v>619</v>
      </c>
      <c r="J625" s="193">
        <v>0.02</v>
      </c>
      <c r="K625">
        <f t="shared" si="79"/>
        <v>496</v>
      </c>
      <c r="L625" s="62">
        <f t="shared" si="80"/>
        <v>616</v>
      </c>
      <c r="M625" s="304">
        <v>1.01</v>
      </c>
      <c r="N625" s="301">
        <f>VLOOKUP(6426,季財報!A:N,8,0)</f>
        <v>3</v>
      </c>
    </row>
    <row r="626" spans="1:14">
      <c r="A626" s="187">
        <v>8047</v>
      </c>
      <c r="C626">
        <v>10</v>
      </c>
      <c r="D626">
        <v>377</v>
      </c>
      <c r="E626">
        <v>148</v>
      </c>
      <c r="F626">
        <v>542</v>
      </c>
      <c r="G626">
        <v>0</v>
      </c>
      <c r="H626" s="200">
        <v>0.02</v>
      </c>
      <c r="I626">
        <f t="shared" si="78"/>
        <v>619</v>
      </c>
      <c r="J626" s="193">
        <v>0.02</v>
      </c>
      <c r="K626">
        <f t="shared" si="79"/>
        <v>496</v>
      </c>
      <c r="L626" s="62">
        <f t="shared" si="80"/>
        <v>616</v>
      </c>
      <c r="M626" s="304">
        <v>1.01</v>
      </c>
      <c r="N626" s="301">
        <f>VLOOKUP(8047,季財報!A:N,8,0)</f>
        <v>0</v>
      </c>
    </row>
    <row r="627" spans="1:14">
      <c r="A627" s="187">
        <v>6174</v>
      </c>
      <c r="C627">
        <v>14</v>
      </c>
      <c r="D627">
        <v>349</v>
      </c>
      <c r="E627">
        <v>225</v>
      </c>
      <c r="F627">
        <v>579</v>
      </c>
      <c r="G627">
        <v>7</v>
      </c>
      <c r="H627" s="200">
        <v>0.02</v>
      </c>
      <c r="I627">
        <f t="shared" si="78"/>
        <v>619</v>
      </c>
      <c r="J627" s="193">
        <v>0.02</v>
      </c>
      <c r="K627">
        <f t="shared" si="79"/>
        <v>496</v>
      </c>
      <c r="L627" s="62">
        <f t="shared" si="80"/>
        <v>616</v>
      </c>
      <c r="M627" s="304">
        <v>1.01</v>
      </c>
      <c r="N627" s="301">
        <f>VLOOKUP(6174,季財報!A:N,8,0)</f>
        <v>4</v>
      </c>
    </row>
    <row r="628" spans="1:14">
      <c r="A628" s="187">
        <v>6261</v>
      </c>
      <c r="C628">
        <v>111</v>
      </c>
      <c r="D628">
        <v>1427</v>
      </c>
      <c r="E628">
        <v>3833</v>
      </c>
      <c r="F628">
        <v>5867</v>
      </c>
      <c r="G628">
        <v>953</v>
      </c>
      <c r="H628" s="200">
        <v>0.02</v>
      </c>
      <c r="I628">
        <f t="shared" si="78"/>
        <v>619</v>
      </c>
      <c r="J628" s="193">
        <v>0.02</v>
      </c>
      <c r="K628">
        <f t="shared" si="79"/>
        <v>496</v>
      </c>
      <c r="L628" s="62">
        <f t="shared" si="80"/>
        <v>616</v>
      </c>
      <c r="M628" s="304">
        <v>1.01</v>
      </c>
      <c r="N628" s="301">
        <f>VLOOKUP(6261,季財報!A:N,8,0)</f>
        <v>1</v>
      </c>
    </row>
    <row r="629" spans="1:14">
      <c r="A629" s="187">
        <v>6282</v>
      </c>
      <c r="C629">
        <v>182</v>
      </c>
      <c r="D629">
        <v>4477</v>
      </c>
      <c r="E629">
        <v>3609</v>
      </c>
      <c r="F629">
        <v>8848</v>
      </c>
      <c r="G629">
        <v>266</v>
      </c>
      <c r="H629" s="200">
        <v>0.02</v>
      </c>
      <c r="I629">
        <f t="shared" si="78"/>
        <v>619</v>
      </c>
      <c r="J629" s="193">
        <v>0.02</v>
      </c>
      <c r="K629">
        <f t="shared" si="79"/>
        <v>496</v>
      </c>
      <c r="L629" s="62">
        <f t="shared" si="80"/>
        <v>616</v>
      </c>
      <c r="M629" s="304">
        <v>1.01</v>
      </c>
      <c r="N629" s="301">
        <f>VLOOKUP(6282,季財報!A:N,8,0)</f>
        <v>3</v>
      </c>
    </row>
    <row r="630" spans="1:14">
      <c r="A630" s="187">
        <v>6505</v>
      </c>
      <c r="C630">
        <v>5392</v>
      </c>
      <c r="D630">
        <v>138625</v>
      </c>
      <c r="E630">
        <v>134335</v>
      </c>
      <c r="F630">
        <v>248726</v>
      </c>
      <c r="G630">
        <v>30732</v>
      </c>
      <c r="H630" s="200">
        <v>0.02</v>
      </c>
      <c r="I630">
        <f t="shared" si="78"/>
        <v>619</v>
      </c>
      <c r="J630" s="193">
        <v>0.02</v>
      </c>
      <c r="K630">
        <f t="shared" si="79"/>
        <v>496</v>
      </c>
      <c r="L630" s="62">
        <f t="shared" si="80"/>
        <v>616</v>
      </c>
      <c r="M630" s="304">
        <v>1.01</v>
      </c>
      <c r="N630" s="301">
        <f>VLOOKUP(6505,季財報!A:N,8,0)</f>
        <v>2</v>
      </c>
    </row>
    <row r="631" spans="1:14">
      <c r="A631" s="187">
        <v>6508</v>
      </c>
      <c r="C631">
        <v>39</v>
      </c>
      <c r="D631">
        <v>1135</v>
      </c>
      <c r="E631">
        <v>767</v>
      </c>
      <c r="F631">
        <v>2045</v>
      </c>
      <c r="G631">
        <v>299</v>
      </c>
      <c r="H631" s="200">
        <v>0.02</v>
      </c>
      <c r="I631">
        <f t="shared" si="78"/>
        <v>619</v>
      </c>
      <c r="J631" s="193">
        <v>0.02</v>
      </c>
      <c r="K631">
        <f t="shared" si="79"/>
        <v>496</v>
      </c>
      <c r="L631" s="62">
        <f t="shared" si="80"/>
        <v>616</v>
      </c>
      <c r="M631" s="304">
        <v>1.01</v>
      </c>
      <c r="N631" s="301">
        <f>VLOOKUP(6508,季財報!A:N,8,0)</f>
        <v>1</v>
      </c>
    </row>
    <row r="632" spans="1:14">
      <c r="A632" s="187">
        <v>8222</v>
      </c>
      <c r="C632">
        <v>16</v>
      </c>
      <c r="D632">
        <v>424</v>
      </c>
      <c r="E632">
        <v>577</v>
      </c>
      <c r="F632">
        <v>869</v>
      </c>
      <c r="G632">
        <v>186</v>
      </c>
      <c r="H632" s="200">
        <v>0.02</v>
      </c>
      <c r="I632">
        <f t="shared" si="78"/>
        <v>619</v>
      </c>
      <c r="J632" s="193">
        <v>0.02</v>
      </c>
      <c r="K632">
        <f t="shared" si="79"/>
        <v>496</v>
      </c>
      <c r="L632" s="62">
        <f t="shared" si="80"/>
        <v>616</v>
      </c>
      <c r="M632" s="304">
        <v>1.01</v>
      </c>
      <c r="N632" s="301">
        <f>VLOOKUP(8222,季財報!A:N,8,0)</f>
        <v>3</v>
      </c>
    </row>
    <row r="633" spans="1:14">
      <c r="A633" s="187">
        <v>6127</v>
      </c>
      <c r="C633">
        <v>31</v>
      </c>
      <c r="D633">
        <v>84</v>
      </c>
      <c r="E633">
        <v>1177</v>
      </c>
      <c r="F633">
        <v>1173</v>
      </c>
      <c r="G633">
        <v>746</v>
      </c>
      <c r="H633" s="200">
        <v>0.02</v>
      </c>
      <c r="I633">
        <f t="shared" si="78"/>
        <v>619</v>
      </c>
      <c r="J633" s="193">
        <v>0.02</v>
      </c>
      <c r="K633">
        <f t="shared" si="79"/>
        <v>496</v>
      </c>
      <c r="L633" s="62">
        <f t="shared" si="80"/>
        <v>616</v>
      </c>
      <c r="M633" s="304">
        <v>1.01</v>
      </c>
      <c r="N633" s="301">
        <f>VLOOKUP(6127,季財報!A:N,8,0)</f>
        <v>1</v>
      </c>
    </row>
    <row r="634" spans="1:14">
      <c r="A634" s="187">
        <v>6201</v>
      </c>
      <c r="C634">
        <v>47</v>
      </c>
      <c r="D634">
        <v>1764</v>
      </c>
      <c r="E634">
        <v>688</v>
      </c>
      <c r="F634">
        <v>2409</v>
      </c>
      <c r="G634">
        <v>4</v>
      </c>
      <c r="H634" s="200">
        <v>0.02</v>
      </c>
      <c r="I634">
        <f t="shared" si="78"/>
        <v>619</v>
      </c>
      <c r="J634" s="193">
        <v>0.02</v>
      </c>
      <c r="K634">
        <f t="shared" si="79"/>
        <v>496</v>
      </c>
      <c r="L634" s="62">
        <f t="shared" si="80"/>
        <v>616</v>
      </c>
      <c r="M634" s="304">
        <v>1.01</v>
      </c>
      <c r="N634" s="301">
        <f>VLOOKUP(6201,季財報!A:N,8,0)</f>
        <v>3</v>
      </c>
    </row>
    <row r="635" spans="1:14">
      <c r="A635" s="187">
        <v>5102</v>
      </c>
      <c r="C635">
        <v>17</v>
      </c>
      <c r="D635">
        <v>302</v>
      </c>
      <c r="E635">
        <v>471</v>
      </c>
      <c r="F635">
        <v>855</v>
      </c>
      <c r="G635">
        <v>270</v>
      </c>
      <c r="H635" s="200">
        <v>0.02</v>
      </c>
      <c r="I635">
        <f t="shared" si="78"/>
        <v>619</v>
      </c>
      <c r="J635" s="193">
        <v>0.02</v>
      </c>
      <c r="K635">
        <f t="shared" si="79"/>
        <v>496</v>
      </c>
      <c r="L635" s="62">
        <f t="shared" si="80"/>
        <v>616</v>
      </c>
      <c r="M635" s="304">
        <v>1.01</v>
      </c>
      <c r="N635" s="301">
        <f>VLOOKUP(5102,季財報!A:N,8,0)</f>
        <v>1</v>
      </c>
    </row>
    <row r="636" spans="1:14">
      <c r="A636" s="187">
        <v>5209</v>
      </c>
      <c r="C636">
        <v>10</v>
      </c>
      <c r="D636">
        <v>403</v>
      </c>
      <c r="E636">
        <v>73</v>
      </c>
      <c r="F636">
        <v>496</v>
      </c>
      <c r="G636">
        <v>0</v>
      </c>
      <c r="H636" s="200">
        <v>0.02</v>
      </c>
      <c r="I636">
        <f t="shared" si="78"/>
        <v>619</v>
      </c>
      <c r="J636" s="193">
        <v>0.02</v>
      </c>
      <c r="K636">
        <f t="shared" si="79"/>
        <v>496</v>
      </c>
      <c r="L636" s="62">
        <f t="shared" si="80"/>
        <v>616</v>
      </c>
      <c r="M636" s="304">
        <v>1.01</v>
      </c>
      <c r="N636" s="301">
        <f>VLOOKUP(5209,季財報!A:N,8,0)</f>
        <v>3</v>
      </c>
    </row>
    <row r="637" spans="1:14">
      <c r="A637" s="187">
        <v>5457</v>
      </c>
      <c r="C637">
        <v>38</v>
      </c>
      <c r="D637">
        <v>704</v>
      </c>
      <c r="E637">
        <v>1022</v>
      </c>
      <c r="F637">
        <v>1881</v>
      </c>
      <c r="G637">
        <v>511</v>
      </c>
      <c r="H637" s="200">
        <v>0.02</v>
      </c>
      <c r="I637">
        <f t="shared" si="78"/>
        <v>619</v>
      </c>
      <c r="J637" s="193">
        <v>0.02</v>
      </c>
      <c r="K637">
        <f t="shared" si="79"/>
        <v>496</v>
      </c>
      <c r="L637" s="62">
        <f t="shared" si="80"/>
        <v>616</v>
      </c>
      <c r="M637" s="304">
        <v>1.01</v>
      </c>
      <c r="N637" s="301">
        <f>VLOOKUP(5457,季財報!A:N,8,0)</f>
        <v>0</v>
      </c>
    </row>
    <row r="638" spans="1:14">
      <c r="A638" s="187">
        <v>5519</v>
      </c>
      <c r="C638">
        <v>77</v>
      </c>
      <c r="D638">
        <v>4446</v>
      </c>
      <c r="E638">
        <v>111</v>
      </c>
      <c r="F638">
        <v>2881</v>
      </c>
      <c r="G638">
        <v>729</v>
      </c>
      <c r="H638" s="200">
        <v>0.02</v>
      </c>
      <c r="I638">
        <f t="shared" si="78"/>
        <v>619</v>
      </c>
      <c r="J638" s="193">
        <v>0.02</v>
      </c>
      <c r="K638">
        <f t="shared" si="79"/>
        <v>496</v>
      </c>
      <c r="L638" s="62">
        <f t="shared" si="80"/>
        <v>616</v>
      </c>
      <c r="M638" s="304">
        <v>1.01</v>
      </c>
      <c r="N638" s="301">
        <f>VLOOKUP(5519,季財報!A:N,8,0)</f>
        <v>2</v>
      </c>
    </row>
    <row r="639" spans="1:14">
      <c r="A639" s="187">
        <v>4429</v>
      </c>
      <c r="C639">
        <v>20</v>
      </c>
      <c r="D639">
        <v>304</v>
      </c>
      <c r="E639">
        <v>728</v>
      </c>
      <c r="F639">
        <v>1080</v>
      </c>
      <c r="G639">
        <v>54</v>
      </c>
      <c r="H639" s="200">
        <v>0.02</v>
      </c>
      <c r="I639">
        <f t="shared" si="78"/>
        <v>619</v>
      </c>
      <c r="J639" s="193">
        <v>0.02</v>
      </c>
      <c r="K639">
        <f t="shared" si="79"/>
        <v>496</v>
      </c>
      <c r="L639" s="62">
        <f t="shared" si="80"/>
        <v>616</v>
      </c>
      <c r="M639" s="304">
        <v>1.01</v>
      </c>
      <c r="N639" s="301">
        <f>VLOOKUP(4429,季財報!A:N,8,0)</f>
        <v>3</v>
      </c>
    </row>
    <row r="640" spans="1:14">
      <c r="A640" s="187">
        <v>4549</v>
      </c>
      <c r="C640">
        <v>18</v>
      </c>
      <c r="D640">
        <v>774</v>
      </c>
      <c r="E640">
        <v>421</v>
      </c>
      <c r="F640">
        <v>1188</v>
      </c>
      <c r="G640">
        <v>2</v>
      </c>
      <c r="H640" s="200">
        <v>0.02</v>
      </c>
      <c r="I640">
        <f t="shared" si="78"/>
        <v>619</v>
      </c>
      <c r="J640" s="193">
        <v>0.02</v>
      </c>
      <c r="K640">
        <f t="shared" si="79"/>
        <v>496</v>
      </c>
      <c r="L640" s="62">
        <f t="shared" si="80"/>
        <v>616</v>
      </c>
      <c r="M640" s="304">
        <v>1.01</v>
      </c>
      <c r="N640" s="301">
        <f>VLOOKUP(4549,季財報!A:N,8,0)</f>
        <v>4</v>
      </c>
    </row>
    <row r="641" spans="1:14">
      <c r="A641" s="187">
        <v>4909</v>
      </c>
      <c r="C641">
        <v>58</v>
      </c>
      <c r="D641">
        <v>2233</v>
      </c>
      <c r="E641">
        <v>404</v>
      </c>
      <c r="F641">
        <v>2561</v>
      </c>
      <c r="G641">
        <v>0</v>
      </c>
      <c r="H641" s="200">
        <v>0.02</v>
      </c>
      <c r="I641">
        <f t="shared" si="78"/>
        <v>619</v>
      </c>
      <c r="J641" s="193">
        <v>0.02</v>
      </c>
      <c r="K641">
        <f t="shared" si="79"/>
        <v>496</v>
      </c>
      <c r="L641" s="62">
        <f t="shared" si="80"/>
        <v>616</v>
      </c>
      <c r="M641" s="304">
        <v>1.01</v>
      </c>
      <c r="N641" s="301">
        <f>VLOOKUP(4909,季財報!A:N,8,0)</f>
        <v>3</v>
      </c>
    </row>
    <row r="642" spans="1:14">
      <c r="A642" s="187">
        <v>1319</v>
      </c>
      <c r="C642">
        <v>377</v>
      </c>
      <c r="D642">
        <v>1187</v>
      </c>
      <c r="E642">
        <v>17691</v>
      </c>
      <c r="F642">
        <v>18634</v>
      </c>
      <c r="G642">
        <v>4210</v>
      </c>
      <c r="H642" s="200">
        <v>0.02</v>
      </c>
      <c r="I642">
        <f t="shared" si="78"/>
        <v>619</v>
      </c>
      <c r="J642" s="193">
        <v>0.02</v>
      </c>
      <c r="K642">
        <f t="shared" si="79"/>
        <v>496</v>
      </c>
      <c r="L642" s="62">
        <f t="shared" si="80"/>
        <v>616</v>
      </c>
      <c r="M642" s="304">
        <v>1.01</v>
      </c>
      <c r="N642" s="301">
        <f>VLOOKUP(1319,季財報!A:N,8,0)</f>
        <v>3</v>
      </c>
    </row>
    <row r="643" spans="1:14">
      <c r="A643" s="187">
        <v>1324</v>
      </c>
      <c r="C643">
        <v>19</v>
      </c>
      <c r="D643">
        <v>627</v>
      </c>
      <c r="E643">
        <v>369</v>
      </c>
      <c r="F643">
        <v>984</v>
      </c>
      <c r="G643">
        <v>0</v>
      </c>
      <c r="H643" s="200">
        <v>0.02</v>
      </c>
      <c r="I643">
        <f t="shared" si="78"/>
        <v>619</v>
      </c>
      <c r="J643" s="193">
        <v>0.02</v>
      </c>
      <c r="K643">
        <f t="shared" si="79"/>
        <v>496</v>
      </c>
      <c r="L643" s="62">
        <f t="shared" si="80"/>
        <v>616</v>
      </c>
      <c r="M643" s="304">
        <v>1.01</v>
      </c>
      <c r="N643" s="301">
        <f>VLOOKUP(1324,季財報!A:N,8,0)</f>
        <v>2</v>
      </c>
    </row>
    <row r="644" spans="1:14">
      <c r="A644" s="187">
        <v>1452</v>
      </c>
      <c r="C644">
        <v>38</v>
      </c>
      <c r="D644">
        <v>1391</v>
      </c>
      <c r="E644">
        <v>558</v>
      </c>
      <c r="F644">
        <v>2426</v>
      </c>
      <c r="G644">
        <v>0</v>
      </c>
      <c r="H644" s="200">
        <v>0.02</v>
      </c>
      <c r="I644">
        <f t="shared" si="78"/>
        <v>619</v>
      </c>
      <c r="J644" s="193">
        <v>0.02</v>
      </c>
      <c r="K644">
        <f t="shared" si="79"/>
        <v>496</v>
      </c>
      <c r="L644" s="62">
        <f t="shared" si="80"/>
        <v>616</v>
      </c>
      <c r="M644" s="304">
        <v>1.01</v>
      </c>
      <c r="N644" s="301">
        <f>VLOOKUP(1452,季財報!A:N,8,0)</f>
        <v>2</v>
      </c>
    </row>
    <row r="645" spans="1:14">
      <c r="A645" s="187">
        <v>1470</v>
      </c>
      <c r="C645">
        <v>16</v>
      </c>
      <c r="D645">
        <v>540</v>
      </c>
      <c r="E645">
        <v>377</v>
      </c>
      <c r="F645">
        <v>938</v>
      </c>
      <c r="G645">
        <v>0</v>
      </c>
      <c r="H645" s="200">
        <v>0.02</v>
      </c>
      <c r="I645">
        <f t="shared" si="78"/>
        <v>619</v>
      </c>
      <c r="J645" s="193">
        <v>0.02</v>
      </c>
      <c r="K645">
        <f t="shared" si="79"/>
        <v>496</v>
      </c>
      <c r="L645" s="62">
        <f t="shared" si="80"/>
        <v>616</v>
      </c>
      <c r="M645" s="304">
        <v>1.01</v>
      </c>
      <c r="N645" s="301">
        <f>VLOOKUP(1470,季財報!A:N,8,0)</f>
        <v>2</v>
      </c>
    </row>
    <row r="646" spans="1:14">
      <c r="A646" s="187">
        <v>1522</v>
      </c>
      <c r="C646">
        <v>175</v>
      </c>
      <c r="D646">
        <v>847</v>
      </c>
      <c r="E646">
        <v>7093</v>
      </c>
      <c r="F646">
        <v>6457</v>
      </c>
      <c r="G646">
        <v>2905</v>
      </c>
      <c r="H646" s="200">
        <v>0.02</v>
      </c>
      <c r="I646">
        <f t="shared" si="78"/>
        <v>619</v>
      </c>
      <c r="J646" s="193">
        <v>0.02</v>
      </c>
      <c r="K646">
        <f t="shared" si="79"/>
        <v>496</v>
      </c>
      <c r="L646" s="62">
        <f t="shared" si="80"/>
        <v>616</v>
      </c>
      <c r="M646" s="304">
        <v>1.01</v>
      </c>
      <c r="N646" s="301">
        <f>VLOOKUP(1522,季財報!A:N,8,0)</f>
        <v>3</v>
      </c>
    </row>
    <row r="647" spans="1:14">
      <c r="A647" s="187">
        <v>1524</v>
      </c>
      <c r="C647">
        <v>51</v>
      </c>
      <c r="D647">
        <v>0</v>
      </c>
      <c r="E647">
        <v>3161</v>
      </c>
      <c r="F647">
        <v>1811</v>
      </c>
      <c r="G647">
        <v>732</v>
      </c>
      <c r="H647" s="200">
        <v>0.02</v>
      </c>
      <c r="I647">
        <f t="shared" si="78"/>
        <v>619</v>
      </c>
      <c r="J647" s="193">
        <v>0.02</v>
      </c>
      <c r="K647">
        <f t="shared" si="79"/>
        <v>496</v>
      </c>
      <c r="L647" s="62">
        <f t="shared" si="80"/>
        <v>616</v>
      </c>
      <c r="M647" s="304">
        <v>1.01</v>
      </c>
      <c r="N647" s="301">
        <f>VLOOKUP(1524,季財報!A:N,8,0)</f>
        <v>5</v>
      </c>
    </row>
    <row r="648" spans="1:14">
      <c r="A648" s="187">
        <v>1597</v>
      </c>
      <c r="C648">
        <v>29</v>
      </c>
      <c r="D648">
        <v>717</v>
      </c>
      <c r="E648">
        <v>688</v>
      </c>
      <c r="F648">
        <v>1310</v>
      </c>
      <c r="G648">
        <v>416</v>
      </c>
      <c r="H648" s="200">
        <v>0.02</v>
      </c>
      <c r="I648">
        <f t="shared" si="78"/>
        <v>619</v>
      </c>
      <c r="J648" s="193">
        <v>0.02</v>
      </c>
      <c r="K648">
        <f t="shared" si="79"/>
        <v>496</v>
      </c>
      <c r="L648" s="62">
        <f t="shared" si="80"/>
        <v>616</v>
      </c>
      <c r="M648" s="304">
        <v>1.01</v>
      </c>
      <c r="N648" s="301">
        <f>VLOOKUP(1597,季財報!A:N,8,0)</f>
        <v>3</v>
      </c>
    </row>
    <row r="649" spans="1:14">
      <c r="A649" s="187">
        <v>1614</v>
      </c>
      <c r="C649">
        <v>91</v>
      </c>
      <c r="D649">
        <v>1206</v>
      </c>
      <c r="E649">
        <v>2796</v>
      </c>
      <c r="F649">
        <v>5066</v>
      </c>
      <c r="G649">
        <v>60</v>
      </c>
      <c r="H649" s="200">
        <v>0.02</v>
      </c>
      <c r="I649">
        <f t="shared" ref="I649:I680" si="81">RANK(0.02,H:H,0)</f>
        <v>619</v>
      </c>
      <c r="J649" s="193">
        <v>0.02</v>
      </c>
      <c r="K649">
        <f t="shared" ref="K649:K680" si="82">RANK(0.02,J:J,0)</f>
        <v>496</v>
      </c>
      <c r="L649" s="62">
        <f t="shared" ref="L649:L680" si="83">RANK(1.36,M:M,0)</f>
        <v>616</v>
      </c>
      <c r="M649" s="304">
        <v>1.01</v>
      </c>
      <c r="N649" s="301">
        <f>VLOOKUP(1614,季財報!A:N,8,0)</f>
        <v>2</v>
      </c>
    </row>
    <row r="650" spans="1:14">
      <c r="A650" s="187">
        <v>1711</v>
      </c>
      <c r="C650">
        <v>178</v>
      </c>
      <c r="D650">
        <v>2018</v>
      </c>
      <c r="E650">
        <v>5221</v>
      </c>
      <c r="F650">
        <v>7839</v>
      </c>
      <c r="G650">
        <v>3149</v>
      </c>
      <c r="H650" s="200">
        <v>0.02</v>
      </c>
      <c r="I650">
        <f t="shared" si="81"/>
        <v>619</v>
      </c>
      <c r="J650" s="193">
        <v>0.02</v>
      </c>
      <c r="K650">
        <f t="shared" si="82"/>
        <v>496</v>
      </c>
      <c r="L650" s="62">
        <f t="shared" si="83"/>
        <v>616</v>
      </c>
      <c r="M650" s="304">
        <v>1.01</v>
      </c>
      <c r="N650" s="301">
        <f>VLOOKUP(1711,季財報!A:N,8,0)</f>
        <v>3</v>
      </c>
    </row>
    <row r="651" spans="1:14">
      <c r="A651" s="187">
        <v>1737</v>
      </c>
      <c r="C651">
        <v>91</v>
      </c>
      <c r="D651">
        <v>1868</v>
      </c>
      <c r="E651">
        <v>2677</v>
      </c>
      <c r="F651">
        <v>5845</v>
      </c>
      <c r="G651">
        <v>0</v>
      </c>
      <c r="H651" s="200">
        <v>0.02</v>
      </c>
      <c r="I651">
        <f t="shared" si="81"/>
        <v>619</v>
      </c>
      <c r="J651" s="193">
        <v>0.02</v>
      </c>
      <c r="K651">
        <f t="shared" si="82"/>
        <v>496</v>
      </c>
      <c r="L651" s="62">
        <f t="shared" si="83"/>
        <v>616</v>
      </c>
      <c r="M651" s="304">
        <v>1.01</v>
      </c>
      <c r="N651" s="301">
        <f>VLOOKUP(1737,季財報!A:N,8,0)</f>
        <v>3</v>
      </c>
    </row>
    <row r="652" spans="1:14">
      <c r="A652" s="187">
        <v>1786</v>
      </c>
      <c r="C652">
        <v>16</v>
      </c>
      <c r="D652">
        <v>500</v>
      </c>
      <c r="E652">
        <v>360</v>
      </c>
      <c r="F652">
        <v>941</v>
      </c>
      <c r="G652">
        <v>0</v>
      </c>
      <c r="H652" s="200">
        <v>0.02</v>
      </c>
      <c r="I652">
        <f t="shared" si="81"/>
        <v>619</v>
      </c>
      <c r="J652" s="193">
        <v>0.02</v>
      </c>
      <c r="K652">
        <f t="shared" si="82"/>
        <v>496</v>
      </c>
      <c r="L652" s="62">
        <f t="shared" si="83"/>
        <v>616</v>
      </c>
      <c r="M652" s="304">
        <v>1.01</v>
      </c>
      <c r="N652" s="301">
        <f>VLOOKUP(1786,季財報!A:N,8,0)</f>
        <v>5</v>
      </c>
    </row>
    <row r="653" spans="1:14">
      <c r="A653" s="187">
        <v>1806</v>
      </c>
      <c r="C653">
        <v>197</v>
      </c>
      <c r="D653">
        <v>2116</v>
      </c>
      <c r="E653">
        <v>6579</v>
      </c>
      <c r="F653">
        <v>7599</v>
      </c>
      <c r="G653">
        <v>2279</v>
      </c>
      <c r="H653" s="200">
        <v>0.02</v>
      </c>
      <c r="I653">
        <f t="shared" si="81"/>
        <v>619</v>
      </c>
      <c r="J653" s="193">
        <v>0.02</v>
      </c>
      <c r="K653">
        <f t="shared" si="82"/>
        <v>496</v>
      </c>
      <c r="L653" s="62">
        <f t="shared" si="83"/>
        <v>616</v>
      </c>
      <c r="M653" s="304">
        <v>1.01</v>
      </c>
      <c r="N653" s="301">
        <f>VLOOKUP(1806,季財報!A:N,8,0)</f>
        <v>3</v>
      </c>
    </row>
    <row r="654" spans="1:14">
      <c r="A654" s="187">
        <v>2034</v>
      </c>
      <c r="C654">
        <v>148</v>
      </c>
      <c r="D654">
        <v>3858</v>
      </c>
      <c r="E654">
        <v>2561</v>
      </c>
      <c r="F654">
        <v>6965</v>
      </c>
      <c r="G654">
        <v>1824</v>
      </c>
      <c r="H654" s="200">
        <v>0.02</v>
      </c>
      <c r="I654">
        <f t="shared" si="81"/>
        <v>619</v>
      </c>
      <c r="J654" s="193">
        <v>0.02</v>
      </c>
      <c r="K654">
        <f t="shared" si="82"/>
        <v>496</v>
      </c>
      <c r="L654" s="62">
        <f t="shared" si="83"/>
        <v>616</v>
      </c>
      <c r="M654" s="304">
        <v>1.01</v>
      </c>
      <c r="N654" s="301">
        <f>VLOOKUP(2034,季財報!A:N,8,0)</f>
        <v>2</v>
      </c>
    </row>
    <row r="655" spans="1:14">
      <c r="A655" s="187">
        <v>2049</v>
      </c>
      <c r="C655">
        <v>445</v>
      </c>
      <c r="D655">
        <v>3018</v>
      </c>
      <c r="E655">
        <v>15740</v>
      </c>
      <c r="F655">
        <v>14556</v>
      </c>
      <c r="G655">
        <v>6559</v>
      </c>
      <c r="H655" s="200">
        <v>0.02</v>
      </c>
      <c r="I655">
        <f t="shared" si="81"/>
        <v>619</v>
      </c>
      <c r="J655" s="193">
        <v>0.02</v>
      </c>
      <c r="K655">
        <f t="shared" si="82"/>
        <v>496</v>
      </c>
      <c r="L655" s="62">
        <f t="shared" si="83"/>
        <v>616</v>
      </c>
      <c r="M655" s="304">
        <v>1.01</v>
      </c>
      <c r="N655" s="301">
        <f>VLOOKUP(2049,季財報!A:N,8,0)</f>
        <v>3</v>
      </c>
    </row>
    <row r="656" spans="1:14">
      <c r="A656" s="187">
        <v>2101</v>
      </c>
      <c r="C656">
        <v>317</v>
      </c>
      <c r="D656">
        <v>4646</v>
      </c>
      <c r="E656">
        <v>8107</v>
      </c>
      <c r="F656">
        <v>11926</v>
      </c>
      <c r="G656">
        <v>5649</v>
      </c>
      <c r="H656" s="200">
        <v>0.02</v>
      </c>
      <c r="I656">
        <f t="shared" si="81"/>
        <v>619</v>
      </c>
      <c r="J656" s="193">
        <v>0.02</v>
      </c>
      <c r="K656">
        <f t="shared" si="82"/>
        <v>496</v>
      </c>
      <c r="L656" s="62">
        <f t="shared" si="83"/>
        <v>616</v>
      </c>
      <c r="M656" s="304">
        <v>1.01</v>
      </c>
      <c r="N656" s="301">
        <f>VLOOKUP(2101,季財報!A:N,8,0)</f>
        <v>2</v>
      </c>
    </row>
    <row r="657" spans="1:14">
      <c r="A657" s="187">
        <v>2102</v>
      </c>
      <c r="C657">
        <v>204</v>
      </c>
      <c r="D657">
        <v>3467</v>
      </c>
      <c r="E657">
        <v>7178</v>
      </c>
      <c r="F657">
        <v>10158</v>
      </c>
      <c r="G657">
        <v>594</v>
      </c>
      <c r="H657" s="200">
        <v>0.02</v>
      </c>
      <c r="I657">
        <f t="shared" si="81"/>
        <v>619</v>
      </c>
      <c r="J657" s="193">
        <v>0.02</v>
      </c>
      <c r="K657">
        <f t="shared" si="82"/>
        <v>496</v>
      </c>
      <c r="L657" s="62">
        <f t="shared" si="83"/>
        <v>616</v>
      </c>
      <c r="M657" s="304">
        <v>1.01</v>
      </c>
      <c r="N657" s="301">
        <f>VLOOKUP(2102,季財報!A:N,8,0)</f>
        <v>3</v>
      </c>
    </row>
    <row r="658" spans="1:14">
      <c r="A658" s="187">
        <v>2340</v>
      </c>
      <c r="C658">
        <v>164</v>
      </c>
      <c r="D658">
        <v>4596</v>
      </c>
      <c r="E658">
        <v>3156</v>
      </c>
      <c r="F658">
        <v>7608</v>
      </c>
      <c r="G658">
        <v>1189</v>
      </c>
      <c r="H658" s="200">
        <v>0.02</v>
      </c>
      <c r="I658">
        <f t="shared" si="81"/>
        <v>619</v>
      </c>
      <c r="J658" s="193">
        <v>0.02</v>
      </c>
      <c r="K658">
        <f t="shared" si="82"/>
        <v>496</v>
      </c>
      <c r="L658" s="62">
        <f t="shared" si="83"/>
        <v>616</v>
      </c>
      <c r="M658" s="304">
        <v>1.01</v>
      </c>
      <c r="N658" s="301">
        <f>VLOOKUP(2340,季財報!A:N,8,0)</f>
        <v>3</v>
      </c>
    </row>
    <row r="659" spans="1:14">
      <c r="A659" s="187">
        <v>2344</v>
      </c>
      <c r="C659">
        <v>888</v>
      </c>
      <c r="D659">
        <v>11951</v>
      </c>
      <c r="E659">
        <v>32485</v>
      </c>
      <c r="F659">
        <v>39474</v>
      </c>
      <c r="G659">
        <v>4840</v>
      </c>
      <c r="H659" s="200">
        <v>0.02</v>
      </c>
      <c r="I659">
        <f t="shared" si="81"/>
        <v>619</v>
      </c>
      <c r="J659" s="193">
        <v>0.02</v>
      </c>
      <c r="K659">
        <f t="shared" si="82"/>
        <v>496</v>
      </c>
      <c r="L659" s="62">
        <f t="shared" si="83"/>
        <v>616</v>
      </c>
      <c r="M659" s="304">
        <v>1.01</v>
      </c>
      <c r="N659" s="301">
        <f>VLOOKUP(2344,季財報!A:N,8,0)</f>
        <v>1</v>
      </c>
    </row>
    <row r="660" spans="1:14">
      <c r="A660" s="187">
        <v>2367</v>
      </c>
      <c r="C660">
        <v>210</v>
      </c>
      <c r="D660">
        <v>1186</v>
      </c>
      <c r="E660">
        <v>8733</v>
      </c>
      <c r="F660">
        <v>9720</v>
      </c>
      <c r="G660">
        <v>2677</v>
      </c>
      <c r="H660" s="200">
        <v>0.02</v>
      </c>
      <c r="I660">
        <f t="shared" si="81"/>
        <v>619</v>
      </c>
      <c r="J660" s="193">
        <v>0.02</v>
      </c>
      <c r="K660">
        <f t="shared" si="82"/>
        <v>496</v>
      </c>
      <c r="L660" s="62">
        <f t="shared" si="83"/>
        <v>616</v>
      </c>
      <c r="M660" s="304">
        <v>1.01</v>
      </c>
      <c r="N660" s="301">
        <f>VLOOKUP(2367,季財報!A:N,8,0)</f>
        <v>3</v>
      </c>
    </row>
    <row r="661" spans="1:14">
      <c r="A661" s="187">
        <v>2368</v>
      </c>
      <c r="C661">
        <v>213</v>
      </c>
      <c r="D661">
        <v>735</v>
      </c>
      <c r="E661">
        <v>8448</v>
      </c>
      <c r="F661">
        <v>7330</v>
      </c>
      <c r="G661">
        <v>6411</v>
      </c>
      <c r="H661" s="200">
        <v>0.02</v>
      </c>
      <c r="I661">
        <f t="shared" si="81"/>
        <v>619</v>
      </c>
      <c r="J661" s="193">
        <v>0.02</v>
      </c>
      <c r="K661">
        <f t="shared" si="82"/>
        <v>496</v>
      </c>
      <c r="L661" s="62">
        <f t="shared" si="83"/>
        <v>616</v>
      </c>
      <c r="M661" s="304">
        <v>1.01</v>
      </c>
      <c r="N661" s="301">
        <f>VLOOKUP(2368,季財報!A:N,8,0)</f>
        <v>2</v>
      </c>
    </row>
    <row r="662" spans="1:14">
      <c r="A662" s="187">
        <v>2393</v>
      </c>
      <c r="C662">
        <v>458</v>
      </c>
      <c r="D662">
        <v>13261</v>
      </c>
      <c r="E662">
        <v>10834</v>
      </c>
      <c r="F662">
        <v>17741</v>
      </c>
      <c r="G662">
        <v>1369</v>
      </c>
      <c r="H662" s="200">
        <v>0.02</v>
      </c>
      <c r="I662">
        <f t="shared" si="81"/>
        <v>619</v>
      </c>
      <c r="J662" s="193">
        <v>0.02</v>
      </c>
      <c r="K662">
        <f t="shared" si="82"/>
        <v>496</v>
      </c>
      <c r="L662" s="62">
        <f t="shared" si="83"/>
        <v>616</v>
      </c>
      <c r="M662" s="304">
        <v>1.01</v>
      </c>
      <c r="N662" s="301">
        <f>VLOOKUP(2393,季財報!A:N,8,0)</f>
        <v>2</v>
      </c>
    </row>
    <row r="663" spans="1:14">
      <c r="A663" s="187">
        <v>2459</v>
      </c>
      <c r="C663">
        <v>122</v>
      </c>
      <c r="D663">
        <v>2971</v>
      </c>
      <c r="E663">
        <v>2464</v>
      </c>
      <c r="F663">
        <v>5024</v>
      </c>
      <c r="G663">
        <v>1225</v>
      </c>
      <c r="H663" s="200">
        <v>0.02</v>
      </c>
      <c r="I663">
        <f t="shared" si="81"/>
        <v>619</v>
      </c>
      <c r="J663" s="193">
        <v>0.02</v>
      </c>
      <c r="K663">
        <f t="shared" si="82"/>
        <v>496</v>
      </c>
      <c r="L663" s="62">
        <f t="shared" si="83"/>
        <v>616</v>
      </c>
      <c r="M663" s="304">
        <v>1.01</v>
      </c>
      <c r="N663" s="301">
        <f>VLOOKUP(2459,季財報!A:N,8,0)</f>
        <v>1</v>
      </c>
    </row>
    <row r="664" spans="1:14">
      <c r="A664" s="187">
        <v>2485</v>
      </c>
      <c r="C664">
        <v>167</v>
      </c>
      <c r="D664">
        <v>5160</v>
      </c>
      <c r="E664">
        <v>1857</v>
      </c>
      <c r="F664">
        <v>7247</v>
      </c>
      <c r="G664">
        <v>87</v>
      </c>
      <c r="H664" s="200">
        <v>0.02</v>
      </c>
      <c r="I664">
        <f t="shared" si="81"/>
        <v>619</v>
      </c>
      <c r="J664" s="193">
        <v>0.02</v>
      </c>
      <c r="K664">
        <f t="shared" si="82"/>
        <v>496</v>
      </c>
      <c r="L664" s="62">
        <f t="shared" si="83"/>
        <v>616</v>
      </c>
      <c r="M664" s="304">
        <v>1.01</v>
      </c>
      <c r="N664" s="301">
        <f>VLOOKUP(2485,季財報!A:N,8,0)</f>
        <v>5</v>
      </c>
    </row>
    <row r="665" spans="1:14">
      <c r="A665" s="187">
        <v>2616</v>
      </c>
      <c r="C665">
        <v>46</v>
      </c>
      <c r="D665">
        <v>206</v>
      </c>
      <c r="E665">
        <v>2297</v>
      </c>
      <c r="F665">
        <v>2895</v>
      </c>
      <c r="G665">
        <v>98</v>
      </c>
      <c r="H665" s="200">
        <v>0.02</v>
      </c>
      <c r="I665">
        <f t="shared" si="81"/>
        <v>619</v>
      </c>
      <c r="J665" s="193">
        <v>0.02</v>
      </c>
      <c r="K665">
        <f t="shared" si="82"/>
        <v>496</v>
      </c>
      <c r="L665" s="62">
        <f t="shared" si="83"/>
        <v>616</v>
      </c>
      <c r="M665" s="304">
        <v>1.01</v>
      </c>
      <c r="N665" s="301">
        <f>VLOOKUP(2616,季財報!A:N,8,0)</f>
        <v>3</v>
      </c>
    </row>
    <row r="666" spans="1:14">
      <c r="A666" s="187">
        <v>2702</v>
      </c>
      <c r="C666">
        <v>52</v>
      </c>
      <c r="D666">
        <v>0</v>
      </c>
      <c r="E666">
        <v>3019</v>
      </c>
      <c r="F666">
        <v>1210</v>
      </c>
      <c r="G666">
        <v>1631</v>
      </c>
      <c r="H666" s="200">
        <v>0.02</v>
      </c>
      <c r="I666">
        <f t="shared" si="81"/>
        <v>619</v>
      </c>
      <c r="J666" s="193">
        <v>0.02</v>
      </c>
      <c r="K666">
        <f t="shared" si="82"/>
        <v>496</v>
      </c>
      <c r="L666" s="62">
        <f t="shared" si="83"/>
        <v>616</v>
      </c>
      <c r="M666" s="304">
        <v>1.01</v>
      </c>
      <c r="N666" s="301">
        <f>VLOOKUP(2702,季財報!A:N,8,0)</f>
        <v>5</v>
      </c>
    </row>
    <row r="667" spans="1:14">
      <c r="A667" s="187">
        <v>3013</v>
      </c>
      <c r="C667">
        <v>38</v>
      </c>
      <c r="D667">
        <v>976</v>
      </c>
      <c r="E667">
        <v>1032</v>
      </c>
      <c r="F667">
        <v>2235</v>
      </c>
      <c r="G667">
        <v>140</v>
      </c>
      <c r="H667" s="200">
        <v>0.02</v>
      </c>
      <c r="I667">
        <f t="shared" si="81"/>
        <v>619</v>
      </c>
      <c r="J667" s="193">
        <v>0.02</v>
      </c>
      <c r="K667">
        <f t="shared" si="82"/>
        <v>496</v>
      </c>
      <c r="L667" s="62">
        <f t="shared" si="83"/>
        <v>616</v>
      </c>
      <c r="M667" s="304">
        <v>1.01</v>
      </c>
      <c r="N667" s="301">
        <f>VLOOKUP(3013,季財報!A:N,8,0)</f>
        <v>2</v>
      </c>
    </row>
    <row r="668" spans="1:14">
      <c r="A668" s="187">
        <v>3019</v>
      </c>
      <c r="C668">
        <v>279</v>
      </c>
      <c r="D668">
        <v>9703</v>
      </c>
      <c r="E668">
        <v>6079</v>
      </c>
      <c r="F668">
        <v>16310</v>
      </c>
      <c r="G668">
        <v>1282</v>
      </c>
      <c r="H668" s="200">
        <v>0.02</v>
      </c>
      <c r="I668">
        <f t="shared" si="81"/>
        <v>619</v>
      </c>
      <c r="J668" s="193">
        <v>0.02</v>
      </c>
      <c r="K668">
        <f t="shared" si="82"/>
        <v>496</v>
      </c>
      <c r="L668" s="62">
        <f t="shared" si="83"/>
        <v>616</v>
      </c>
      <c r="M668" s="304">
        <v>1.01</v>
      </c>
      <c r="N668" s="301">
        <f>VLOOKUP(3019,季財報!A:N,8,0)</f>
        <v>4</v>
      </c>
    </row>
    <row r="669" spans="1:14">
      <c r="A669" s="187">
        <v>3026</v>
      </c>
      <c r="C669">
        <v>179</v>
      </c>
      <c r="D669">
        <v>5084</v>
      </c>
      <c r="E669">
        <v>2689</v>
      </c>
      <c r="F669">
        <v>9024</v>
      </c>
      <c r="G669">
        <v>1590</v>
      </c>
      <c r="H669" s="200">
        <v>0.02</v>
      </c>
      <c r="I669">
        <f t="shared" si="81"/>
        <v>619</v>
      </c>
      <c r="J669" s="193">
        <v>0.02</v>
      </c>
      <c r="K669">
        <f t="shared" si="82"/>
        <v>496</v>
      </c>
      <c r="L669" s="62">
        <f t="shared" si="83"/>
        <v>616</v>
      </c>
      <c r="M669" s="304">
        <v>1.01</v>
      </c>
      <c r="N669" s="301">
        <f>VLOOKUP(3026,季財報!A:N,8,0)</f>
        <v>0</v>
      </c>
    </row>
    <row r="670" spans="1:14">
      <c r="A670" s="187">
        <v>3038</v>
      </c>
      <c r="C670">
        <v>41</v>
      </c>
      <c r="D670">
        <v>1696</v>
      </c>
      <c r="E670">
        <v>560</v>
      </c>
      <c r="F670">
        <v>2214</v>
      </c>
      <c r="G670">
        <v>409</v>
      </c>
      <c r="H670" s="200">
        <v>0.02</v>
      </c>
      <c r="I670">
        <f t="shared" si="81"/>
        <v>619</v>
      </c>
      <c r="J670" s="193">
        <v>0.02</v>
      </c>
      <c r="K670">
        <f t="shared" si="82"/>
        <v>496</v>
      </c>
      <c r="L670" s="62">
        <f t="shared" si="83"/>
        <v>616</v>
      </c>
      <c r="M670" s="304">
        <v>1.01</v>
      </c>
      <c r="N670" s="301">
        <f>VLOOKUP(3038,季財報!A:N,8,0)</f>
        <v>3</v>
      </c>
    </row>
    <row r="671" spans="1:14">
      <c r="A671" s="187">
        <v>3049</v>
      </c>
      <c r="C671">
        <v>226</v>
      </c>
      <c r="D671">
        <v>0</v>
      </c>
      <c r="E671">
        <v>11021</v>
      </c>
      <c r="F671">
        <v>7631</v>
      </c>
      <c r="G671">
        <v>6514</v>
      </c>
      <c r="H671" s="200">
        <v>0.02</v>
      </c>
      <c r="I671">
        <f t="shared" si="81"/>
        <v>619</v>
      </c>
      <c r="J671" s="193">
        <v>0.02</v>
      </c>
      <c r="K671">
        <f t="shared" si="82"/>
        <v>496</v>
      </c>
      <c r="L671" s="62">
        <f t="shared" si="83"/>
        <v>616</v>
      </c>
      <c r="M671" s="304">
        <v>1.01</v>
      </c>
      <c r="N671" s="301">
        <f>VLOOKUP(3049,季財報!A:N,8,0)</f>
        <v>5</v>
      </c>
    </row>
    <row r="672" spans="1:14">
      <c r="A672" s="187">
        <v>3059</v>
      </c>
      <c r="C672">
        <v>180</v>
      </c>
      <c r="D672">
        <v>4249</v>
      </c>
      <c r="E672">
        <v>5394</v>
      </c>
      <c r="F672">
        <v>9728</v>
      </c>
      <c r="G672">
        <v>1550</v>
      </c>
      <c r="H672" s="200">
        <v>0.02</v>
      </c>
      <c r="I672">
        <f t="shared" si="81"/>
        <v>619</v>
      </c>
      <c r="J672" s="193">
        <v>0.02</v>
      </c>
      <c r="K672">
        <f t="shared" si="82"/>
        <v>496</v>
      </c>
      <c r="L672" s="62">
        <f t="shared" si="83"/>
        <v>616</v>
      </c>
      <c r="M672" s="304">
        <v>0.97</v>
      </c>
      <c r="N672" s="301">
        <f>VLOOKUP(3059,季財報!A:N,8,0)</f>
        <v>3</v>
      </c>
    </row>
    <row r="673" spans="1:14">
      <c r="A673" s="187">
        <v>3062</v>
      </c>
      <c r="C673">
        <v>90</v>
      </c>
      <c r="D673">
        <v>3186</v>
      </c>
      <c r="E673">
        <v>933</v>
      </c>
      <c r="F673">
        <v>5623</v>
      </c>
      <c r="G673">
        <v>0</v>
      </c>
      <c r="H673" s="200">
        <v>0.02</v>
      </c>
      <c r="I673">
        <f t="shared" si="81"/>
        <v>619</v>
      </c>
      <c r="J673" s="193">
        <v>0.02</v>
      </c>
      <c r="K673">
        <f t="shared" si="82"/>
        <v>496</v>
      </c>
      <c r="L673" s="62">
        <f t="shared" si="83"/>
        <v>616</v>
      </c>
      <c r="M673" s="304">
        <v>0.9</v>
      </c>
      <c r="N673" s="301">
        <f>VLOOKUP(3062,季財報!A:N,8,0)</f>
        <v>2</v>
      </c>
    </row>
    <row r="674" spans="1:14">
      <c r="A674" s="187">
        <v>3221</v>
      </c>
      <c r="C674">
        <v>28</v>
      </c>
      <c r="D674">
        <v>775</v>
      </c>
      <c r="E674">
        <v>707</v>
      </c>
      <c r="F674">
        <v>1560</v>
      </c>
      <c r="G674">
        <v>171</v>
      </c>
      <c r="H674" s="200">
        <v>0.02</v>
      </c>
      <c r="I674">
        <f t="shared" si="81"/>
        <v>619</v>
      </c>
      <c r="J674" s="193">
        <v>0.02</v>
      </c>
      <c r="K674">
        <f t="shared" si="82"/>
        <v>496</v>
      </c>
      <c r="L674" s="62">
        <f t="shared" si="83"/>
        <v>616</v>
      </c>
      <c r="M674" s="304">
        <v>0.9</v>
      </c>
      <c r="N674" s="301">
        <f>VLOOKUP(3221,季財報!A:N,8,0)</f>
        <v>4</v>
      </c>
    </row>
    <row r="675" spans="1:14">
      <c r="A675" s="187">
        <v>3257</v>
      </c>
      <c r="C675">
        <v>33</v>
      </c>
      <c r="D675">
        <v>1029</v>
      </c>
      <c r="E675">
        <v>313</v>
      </c>
      <c r="F675">
        <v>1489</v>
      </c>
      <c r="G675">
        <v>3</v>
      </c>
      <c r="H675" s="200">
        <v>0.02</v>
      </c>
      <c r="I675">
        <f t="shared" si="81"/>
        <v>619</v>
      </c>
      <c r="J675" s="193">
        <v>0.02</v>
      </c>
      <c r="K675">
        <f t="shared" si="82"/>
        <v>496</v>
      </c>
      <c r="L675" s="62">
        <f t="shared" si="83"/>
        <v>616</v>
      </c>
      <c r="M675" s="304">
        <v>0.87</v>
      </c>
      <c r="N675" s="301">
        <f>VLOOKUP(3257,季財報!A:N,8,0)</f>
        <v>2</v>
      </c>
    </row>
    <row r="676" spans="1:14">
      <c r="A676" s="187">
        <v>3323</v>
      </c>
      <c r="C676">
        <v>44</v>
      </c>
      <c r="D676">
        <v>1776</v>
      </c>
      <c r="E676">
        <v>517</v>
      </c>
      <c r="F676">
        <v>2345</v>
      </c>
      <c r="G676">
        <v>295</v>
      </c>
      <c r="H676" s="200">
        <v>0.02</v>
      </c>
      <c r="I676">
        <f t="shared" si="81"/>
        <v>619</v>
      </c>
      <c r="J676" s="193">
        <v>0.02</v>
      </c>
      <c r="K676">
        <f t="shared" si="82"/>
        <v>496</v>
      </c>
      <c r="L676" s="62">
        <f t="shared" si="83"/>
        <v>616</v>
      </c>
      <c r="M676" s="304">
        <v>0.87</v>
      </c>
      <c r="N676" s="301">
        <f>VLOOKUP(3323,季財報!A:N,8,0)</f>
        <v>4</v>
      </c>
    </row>
    <row r="677" spans="1:14">
      <c r="A677" s="187">
        <v>3373</v>
      </c>
      <c r="C677">
        <v>11</v>
      </c>
      <c r="D677">
        <v>477</v>
      </c>
      <c r="E677">
        <v>140</v>
      </c>
      <c r="F677">
        <v>730</v>
      </c>
      <c r="G677">
        <v>0</v>
      </c>
      <c r="H677" s="200">
        <v>0.02</v>
      </c>
      <c r="I677">
        <f t="shared" si="81"/>
        <v>619</v>
      </c>
      <c r="J677" s="193">
        <v>0.02</v>
      </c>
      <c r="K677">
        <f t="shared" si="82"/>
        <v>496</v>
      </c>
      <c r="L677" s="62">
        <f t="shared" si="83"/>
        <v>616</v>
      </c>
      <c r="M677" s="304">
        <v>0.87</v>
      </c>
      <c r="N677" s="301">
        <f>VLOOKUP(3373,季財報!A:N,8,0)</f>
        <v>4</v>
      </c>
    </row>
    <row r="678" spans="1:14">
      <c r="A678" s="187">
        <v>3481</v>
      </c>
      <c r="C678">
        <v>5079</v>
      </c>
      <c r="D678">
        <v>32923</v>
      </c>
      <c r="E678">
        <v>204011</v>
      </c>
      <c r="F678">
        <v>241125</v>
      </c>
      <c r="G678">
        <v>16352</v>
      </c>
      <c r="H678" s="200">
        <v>0.02</v>
      </c>
      <c r="I678">
        <f t="shared" si="81"/>
        <v>619</v>
      </c>
      <c r="J678" s="193">
        <v>0.02</v>
      </c>
      <c r="K678">
        <f t="shared" si="82"/>
        <v>496</v>
      </c>
      <c r="L678" s="62">
        <f t="shared" si="83"/>
        <v>616</v>
      </c>
      <c r="M678" s="304">
        <v>0.87</v>
      </c>
      <c r="N678" s="301">
        <f>VLOOKUP(3481,季財報!A:N,8,0)</f>
        <v>1</v>
      </c>
    </row>
    <row r="679" spans="1:14">
      <c r="A679" s="187">
        <v>3484</v>
      </c>
      <c r="C679">
        <v>40</v>
      </c>
      <c r="D679">
        <v>1254</v>
      </c>
      <c r="E679">
        <v>692</v>
      </c>
      <c r="F679">
        <v>1675</v>
      </c>
      <c r="G679">
        <v>276</v>
      </c>
      <c r="H679" s="200">
        <v>0.02</v>
      </c>
      <c r="I679">
        <f t="shared" si="81"/>
        <v>619</v>
      </c>
      <c r="J679" s="193">
        <v>0.02</v>
      </c>
      <c r="K679">
        <f t="shared" si="82"/>
        <v>496</v>
      </c>
      <c r="L679" s="62">
        <f t="shared" si="83"/>
        <v>616</v>
      </c>
      <c r="M679" s="304">
        <v>0.87</v>
      </c>
      <c r="N679" s="301">
        <f>VLOOKUP(3484,季財報!A:N,8,0)</f>
        <v>1</v>
      </c>
    </row>
    <row r="680" spans="1:14">
      <c r="A680" s="187">
        <v>3489</v>
      </c>
      <c r="C680">
        <v>25</v>
      </c>
      <c r="D680">
        <v>1464</v>
      </c>
      <c r="E680">
        <v>1</v>
      </c>
      <c r="F680">
        <v>1189</v>
      </c>
      <c r="G680">
        <v>389</v>
      </c>
      <c r="H680" s="200">
        <v>0.02</v>
      </c>
      <c r="I680">
        <f t="shared" si="81"/>
        <v>619</v>
      </c>
      <c r="J680" s="193">
        <v>0.02</v>
      </c>
      <c r="K680">
        <f t="shared" si="82"/>
        <v>496</v>
      </c>
      <c r="L680" s="62">
        <f t="shared" si="83"/>
        <v>616</v>
      </c>
      <c r="M680" s="304">
        <v>0.87</v>
      </c>
      <c r="N680" s="301">
        <f>VLOOKUP(3489,季財報!A:N,8,0)</f>
        <v>3</v>
      </c>
    </row>
    <row r="681" spans="1:14">
      <c r="A681" s="187">
        <v>3515</v>
      </c>
      <c r="C681">
        <v>94</v>
      </c>
      <c r="D681">
        <v>5546</v>
      </c>
      <c r="E681">
        <v>232</v>
      </c>
      <c r="F681">
        <v>5810</v>
      </c>
      <c r="G681">
        <v>340</v>
      </c>
      <c r="H681" s="200">
        <v>0.02</v>
      </c>
      <c r="I681">
        <f t="shared" ref="I681:I712" si="84">RANK(0.02,H:H,0)</f>
        <v>619</v>
      </c>
      <c r="J681" s="193">
        <v>0.02</v>
      </c>
      <c r="K681">
        <f t="shared" ref="K681:K712" si="85">RANK(0.02,J:J,0)</f>
        <v>496</v>
      </c>
      <c r="L681" s="62">
        <f t="shared" ref="L681:L712" si="86">RANK(1.36,M:M,0)</f>
        <v>616</v>
      </c>
      <c r="M681" s="304">
        <v>0.87</v>
      </c>
      <c r="N681" s="301">
        <f>VLOOKUP(3515,季財報!A:N,8,0)</f>
        <v>1</v>
      </c>
    </row>
    <row r="682" spans="1:14">
      <c r="A682" s="187">
        <v>3532</v>
      </c>
      <c r="C682">
        <v>438</v>
      </c>
      <c r="D682">
        <v>5037</v>
      </c>
      <c r="E682">
        <v>14770</v>
      </c>
      <c r="F682">
        <v>20027</v>
      </c>
      <c r="G682">
        <v>0</v>
      </c>
      <c r="H682" s="200">
        <v>0.02</v>
      </c>
      <c r="I682">
        <f t="shared" si="84"/>
        <v>619</v>
      </c>
      <c r="J682" s="193">
        <v>0.02</v>
      </c>
      <c r="K682">
        <f t="shared" si="85"/>
        <v>496</v>
      </c>
      <c r="L682" s="62">
        <f t="shared" si="86"/>
        <v>616</v>
      </c>
      <c r="M682" s="304">
        <v>0.87</v>
      </c>
      <c r="N682" s="301">
        <f>VLOOKUP(3532,季財報!A:N,8,0)</f>
        <v>3</v>
      </c>
    </row>
    <row r="683" spans="1:14">
      <c r="A683" s="187">
        <v>3551</v>
      </c>
      <c r="C683">
        <v>63</v>
      </c>
      <c r="D683">
        <v>828</v>
      </c>
      <c r="E683">
        <v>1703</v>
      </c>
      <c r="F683">
        <v>2685</v>
      </c>
      <c r="G683">
        <v>123</v>
      </c>
      <c r="H683" s="200">
        <v>0.02</v>
      </c>
      <c r="I683">
        <f t="shared" si="84"/>
        <v>619</v>
      </c>
      <c r="J683" s="193">
        <v>0.02</v>
      </c>
      <c r="K683">
        <f t="shared" si="85"/>
        <v>496</v>
      </c>
      <c r="L683" s="62">
        <f t="shared" si="86"/>
        <v>616</v>
      </c>
      <c r="M683" s="304">
        <v>0.87</v>
      </c>
      <c r="N683" s="301">
        <f>VLOOKUP(3551,季財報!A:N,8,0)</f>
        <v>1</v>
      </c>
    </row>
    <row r="684" spans="1:14">
      <c r="A684" s="187">
        <v>3596</v>
      </c>
      <c r="C684">
        <v>155</v>
      </c>
      <c r="D684">
        <v>5240</v>
      </c>
      <c r="E684">
        <v>1783</v>
      </c>
      <c r="F684">
        <v>7841</v>
      </c>
      <c r="G684">
        <v>0</v>
      </c>
      <c r="H684" s="200">
        <v>0.02</v>
      </c>
      <c r="I684">
        <f t="shared" si="84"/>
        <v>619</v>
      </c>
      <c r="J684" s="193">
        <v>0.02</v>
      </c>
      <c r="K684">
        <f t="shared" si="85"/>
        <v>496</v>
      </c>
      <c r="L684" s="62">
        <f t="shared" si="86"/>
        <v>616</v>
      </c>
      <c r="M684" s="304">
        <v>0.87</v>
      </c>
      <c r="N684" s="301">
        <f>VLOOKUP(3596,季財報!A:N,8,0)</f>
        <v>3</v>
      </c>
    </row>
    <row r="685" spans="1:14">
      <c r="A685" s="187">
        <v>3598</v>
      </c>
      <c r="C685">
        <v>81</v>
      </c>
      <c r="D685">
        <v>2464</v>
      </c>
      <c r="E685">
        <v>832</v>
      </c>
      <c r="F685">
        <v>3256</v>
      </c>
      <c r="G685">
        <v>522</v>
      </c>
      <c r="H685" s="200">
        <v>0.02</v>
      </c>
      <c r="I685">
        <f t="shared" si="84"/>
        <v>619</v>
      </c>
      <c r="J685" s="193">
        <v>0.02</v>
      </c>
      <c r="K685">
        <f t="shared" si="85"/>
        <v>496</v>
      </c>
      <c r="L685" s="62">
        <f t="shared" si="86"/>
        <v>616</v>
      </c>
      <c r="M685" s="304">
        <v>0.87</v>
      </c>
      <c r="N685" s="301">
        <f>VLOOKUP(3598,季財報!A:N,8,0)</f>
        <v>2</v>
      </c>
    </row>
    <row r="686" spans="1:14">
      <c r="A686" s="187">
        <v>3658</v>
      </c>
      <c r="C686">
        <v>242</v>
      </c>
      <c r="D686">
        <v>10864</v>
      </c>
      <c r="E686">
        <v>958</v>
      </c>
      <c r="F686">
        <v>11944</v>
      </c>
      <c r="G686">
        <v>0</v>
      </c>
      <c r="H686" s="200">
        <v>0.02</v>
      </c>
      <c r="I686">
        <f t="shared" si="84"/>
        <v>619</v>
      </c>
      <c r="J686" s="193">
        <v>0.02</v>
      </c>
      <c r="K686">
        <f t="shared" si="85"/>
        <v>496</v>
      </c>
      <c r="L686" s="62">
        <f t="shared" si="86"/>
        <v>616</v>
      </c>
      <c r="M686" s="304">
        <v>0.87</v>
      </c>
      <c r="N686" s="301">
        <f>VLOOKUP(3658,季財報!A:N,8,0)</f>
        <v>2</v>
      </c>
    </row>
    <row r="687" spans="1:14">
      <c r="A687" s="187">
        <v>4130</v>
      </c>
      <c r="C687">
        <v>21</v>
      </c>
      <c r="D687">
        <v>848</v>
      </c>
      <c r="E687">
        <v>389</v>
      </c>
      <c r="F687">
        <v>1337</v>
      </c>
      <c r="G687">
        <v>0</v>
      </c>
      <c r="H687" s="200">
        <v>0.02</v>
      </c>
      <c r="I687">
        <f t="shared" si="84"/>
        <v>619</v>
      </c>
      <c r="J687" s="193">
        <v>0.02</v>
      </c>
      <c r="K687">
        <f t="shared" si="85"/>
        <v>496</v>
      </c>
      <c r="L687" s="62">
        <f t="shared" si="86"/>
        <v>616</v>
      </c>
      <c r="M687" s="304">
        <v>0.87</v>
      </c>
      <c r="N687" s="301">
        <f>VLOOKUP(4130,季財報!A:N,8,0)</f>
        <v>3</v>
      </c>
    </row>
    <row r="688" spans="1:14">
      <c r="A688" s="187">
        <v>8908</v>
      </c>
      <c r="C688">
        <v>44</v>
      </c>
      <c r="D688">
        <v>0</v>
      </c>
      <c r="E688">
        <v>2319</v>
      </c>
      <c r="F688">
        <v>1654</v>
      </c>
      <c r="G688">
        <v>590</v>
      </c>
      <c r="H688" s="200">
        <v>0.02</v>
      </c>
      <c r="I688">
        <f t="shared" si="84"/>
        <v>619</v>
      </c>
      <c r="J688" s="193">
        <v>0.02</v>
      </c>
      <c r="K688">
        <f t="shared" si="85"/>
        <v>496</v>
      </c>
      <c r="L688" s="62">
        <f t="shared" si="86"/>
        <v>616</v>
      </c>
      <c r="M688" s="304">
        <v>0.87</v>
      </c>
      <c r="N688" s="301">
        <f>VLOOKUP(8908,季財報!A:N,8,0)</f>
        <v>2</v>
      </c>
    </row>
    <row r="689" spans="1:14">
      <c r="A689" s="187">
        <v>8150</v>
      </c>
      <c r="C689">
        <v>528</v>
      </c>
      <c r="D689">
        <v>9544</v>
      </c>
      <c r="E689">
        <v>14039</v>
      </c>
      <c r="F689">
        <v>18631</v>
      </c>
      <c r="G689">
        <v>2888</v>
      </c>
      <c r="H689" s="200">
        <v>0.02</v>
      </c>
      <c r="I689">
        <f t="shared" si="84"/>
        <v>619</v>
      </c>
      <c r="J689" s="193">
        <v>0.02</v>
      </c>
      <c r="K689">
        <f t="shared" si="85"/>
        <v>496</v>
      </c>
      <c r="L689" s="62">
        <f t="shared" si="86"/>
        <v>616</v>
      </c>
      <c r="M689" s="304">
        <v>0.87</v>
      </c>
      <c r="N689" s="301">
        <f>VLOOKUP(8150,季財報!A:N,8,0)</f>
        <v>2</v>
      </c>
    </row>
    <row r="690" spans="1:14">
      <c r="A690" s="187">
        <v>8182</v>
      </c>
      <c r="C690">
        <v>48</v>
      </c>
      <c r="D690">
        <v>1491</v>
      </c>
      <c r="E690">
        <v>1630</v>
      </c>
      <c r="F690">
        <v>2664</v>
      </c>
      <c r="G690">
        <v>336</v>
      </c>
      <c r="H690" s="200">
        <v>0.02</v>
      </c>
      <c r="I690">
        <f t="shared" si="84"/>
        <v>619</v>
      </c>
      <c r="J690" s="193">
        <v>0.02</v>
      </c>
      <c r="K690">
        <f t="shared" si="85"/>
        <v>496</v>
      </c>
      <c r="L690" s="62">
        <f t="shared" si="86"/>
        <v>616</v>
      </c>
      <c r="M690" s="304">
        <v>0.87</v>
      </c>
      <c r="N690" s="301">
        <f>VLOOKUP(8182,季財報!A:N,8,0)</f>
        <v>2</v>
      </c>
    </row>
    <row r="691" spans="1:14">
      <c r="A691" s="187">
        <v>6290</v>
      </c>
      <c r="C691">
        <v>81</v>
      </c>
      <c r="D691">
        <v>2485</v>
      </c>
      <c r="E691">
        <v>987</v>
      </c>
      <c r="F691">
        <v>3604</v>
      </c>
      <c r="G691">
        <v>230</v>
      </c>
      <c r="H691" s="200">
        <v>0.02</v>
      </c>
      <c r="I691">
        <f t="shared" si="84"/>
        <v>619</v>
      </c>
      <c r="J691" s="193">
        <v>0.02</v>
      </c>
      <c r="K691">
        <f t="shared" si="85"/>
        <v>496</v>
      </c>
      <c r="L691" s="62">
        <f t="shared" si="86"/>
        <v>616</v>
      </c>
      <c r="M691" s="304">
        <v>0.87</v>
      </c>
      <c r="N691" s="301">
        <f>VLOOKUP(6290,季財報!A:N,8,0)</f>
        <v>1</v>
      </c>
    </row>
    <row r="692" spans="1:14">
      <c r="A692" s="187">
        <v>6509</v>
      </c>
      <c r="C692">
        <v>58</v>
      </c>
      <c r="D692">
        <v>1092</v>
      </c>
      <c r="E692">
        <v>2393</v>
      </c>
      <c r="F692">
        <v>2683</v>
      </c>
      <c r="G692">
        <v>954</v>
      </c>
      <c r="H692" s="200">
        <v>0.02</v>
      </c>
      <c r="I692">
        <f t="shared" si="84"/>
        <v>619</v>
      </c>
      <c r="J692" s="193">
        <v>0.02</v>
      </c>
      <c r="K692">
        <f t="shared" si="85"/>
        <v>496</v>
      </c>
      <c r="L692" s="62">
        <f t="shared" si="86"/>
        <v>616</v>
      </c>
      <c r="M692" s="304">
        <v>0.87</v>
      </c>
      <c r="N692" s="301">
        <f>VLOOKUP(6509,季財報!A:N,8,0)</f>
        <v>3</v>
      </c>
    </row>
    <row r="693" spans="1:14">
      <c r="A693" s="187">
        <v>6138</v>
      </c>
      <c r="C693">
        <v>33</v>
      </c>
      <c r="D693">
        <v>1306</v>
      </c>
      <c r="E693">
        <v>376</v>
      </c>
      <c r="F693">
        <v>1888</v>
      </c>
      <c r="G693">
        <v>0</v>
      </c>
      <c r="H693" s="200">
        <v>0.02</v>
      </c>
      <c r="I693">
        <f t="shared" si="84"/>
        <v>619</v>
      </c>
      <c r="J693" s="193">
        <v>0.02</v>
      </c>
      <c r="K693">
        <f t="shared" si="85"/>
        <v>496</v>
      </c>
      <c r="L693" s="62">
        <f t="shared" si="86"/>
        <v>616</v>
      </c>
      <c r="M693" s="304">
        <v>0.79</v>
      </c>
      <c r="N693" s="301">
        <f>VLOOKUP(6138,季財報!A:N,8,0)</f>
        <v>3</v>
      </c>
    </row>
    <row r="694" spans="1:14">
      <c r="A694" s="187">
        <v>5016</v>
      </c>
      <c r="C694">
        <v>29</v>
      </c>
      <c r="D694">
        <v>793</v>
      </c>
      <c r="E694">
        <v>1051</v>
      </c>
      <c r="F694">
        <v>1073</v>
      </c>
      <c r="G694">
        <v>306</v>
      </c>
      <c r="H694" s="200">
        <v>0.02</v>
      </c>
      <c r="I694">
        <f t="shared" si="84"/>
        <v>619</v>
      </c>
      <c r="J694" s="193">
        <v>0.02</v>
      </c>
      <c r="K694">
        <f t="shared" si="85"/>
        <v>496</v>
      </c>
      <c r="L694" s="62">
        <f t="shared" si="86"/>
        <v>616</v>
      </c>
      <c r="M694" s="304">
        <v>1.9</v>
      </c>
      <c r="N694" s="301">
        <f>VLOOKUP(5016,季財報!A:N,8,0)</f>
        <v>2</v>
      </c>
    </row>
    <row r="695" spans="1:14">
      <c r="A695" s="187">
        <v>5263</v>
      </c>
      <c r="C695">
        <v>43</v>
      </c>
      <c r="D695">
        <v>1828</v>
      </c>
      <c r="E695">
        <v>484</v>
      </c>
      <c r="F695">
        <v>2477</v>
      </c>
      <c r="G695">
        <v>220</v>
      </c>
      <c r="H695" s="200">
        <v>0.02</v>
      </c>
      <c r="I695">
        <f t="shared" si="84"/>
        <v>619</v>
      </c>
      <c r="J695" s="193">
        <v>0.02</v>
      </c>
      <c r="K695">
        <f t="shared" si="85"/>
        <v>496</v>
      </c>
      <c r="L695" s="62">
        <f t="shared" si="86"/>
        <v>616</v>
      </c>
      <c r="M695" s="304">
        <v>0.79</v>
      </c>
      <c r="N695" s="301">
        <f>VLOOKUP(5263,季財報!A:N,8,0)</f>
        <v>3</v>
      </c>
    </row>
    <row r="696" spans="1:14">
      <c r="A696" s="187">
        <v>5520</v>
      </c>
      <c r="C696">
        <v>35</v>
      </c>
      <c r="D696">
        <v>762</v>
      </c>
      <c r="E696">
        <v>914</v>
      </c>
      <c r="F696">
        <v>1912</v>
      </c>
      <c r="G696">
        <v>9</v>
      </c>
      <c r="H696" s="200">
        <v>0.02</v>
      </c>
      <c r="I696">
        <f t="shared" si="84"/>
        <v>619</v>
      </c>
      <c r="J696" s="193">
        <v>0.02</v>
      </c>
      <c r="K696">
        <f t="shared" si="85"/>
        <v>496</v>
      </c>
      <c r="L696" s="62">
        <f t="shared" si="86"/>
        <v>616</v>
      </c>
      <c r="M696" s="304">
        <v>0.79</v>
      </c>
      <c r="N696" s="301">
        <f>VLOOKUP(5520,季財報!A:N,8,0)</f>
        <v>3</v>
      </c>
    </row>
    <row r="697" spans="1:14">
      <c r="A697" s="187">
        <v>5538</v>
      </c>
      <c r="C697">
        <v>70</v>
      </c>
      <c r="D697">
        <v>2459</v>
      </c>
      <c r="E697">
        <v>1086</v>
      </c>
      <c r="F697">
        <v>3628</v>
      </c>
      <c r="G697">
        <v>980</v>
      </c>
      <c r="H697" s="200">
        <v>0.02</v>
      </c>
      <c r="I697">
        <f t="shared" si="84"/>
        <v>619</v>
      </c>
      <c r="J697" s="193">
        <v>0.02</v>
      </c>
      <c r="K697">
        <f t="shared" si="85"/>
        <v>496</v>
      </c>
      <c r="L697" s="62">
        <f t="shared" si="86"/>
        <v>616</v>
      </c>
      <c r="M697" s="304">
        <v>0.79</v>
      </c>
      <c r="N697" s="301">
        <f>VLOOKUP(5538,季財報!A:N,8,0)</f>
        <v>1</v>
      </c>
    </row>
    <row r="698" spans="1:14">
      <c r="A698" s="187">
        <v>4303</v>
      </c>
      <c r="C698">
        <v>15</v>
      </c>
      <c r="D698">
        <v>254</v>
      </c>
      <c r="E698">
        <v>442</v>
      </c>
      <c r="F698">
        <v>774</v>
      </c>
      <c r="G698">
        <v>73</v>
      </c>
      <c r="H698" s="200">
        <v>0.02</v>
      </c>
      <c r="I698">
        <f t="shared" si="84"/>
        <v>619</v>
      </c>
      <c r="J698" s="193">
        <v>0.02</v>
      </c>
      <c r="K698">
        <f t="shared" si="85"/>
        <v>496</v>
      </c>
      <c r="L698" s="62">
        <f t="shared" si="86"/>
        <v>616</v>
      </c>
      <c r="M698" s="304">
        <v>0.79</v>
      </c>
      <c r="N698" s="301">
        <f>VLOOKUP(4303,季財報!A:N,8,0)</f>
        <v>2</v>
      </c>
    </row>
    <row r="699" spans="1:14">
      <c r="A699" s="187">
        <v>4510</v>
      </c>
      <c r="C699">
        <v>45</v>
      </c>
      <c r="D699">
        <v>1012</v>
      </c>
      <c r="E699">
        <v>1597</v>
      </c>
      <c r="F699">
        <v>2115</v>
      </c>
      <c r="G699">
        <v>849</v>
      </c>
      <c r="H699" s="200">
        <v>0.02</v>
      </c>
      <c r="I699">
        <f t="shared" si="84"/>
        <v>619</v>
      </c>
      <c r="J699" s="193">
        <v>0.02</v>
      </c>
      <c r="K699">
        <f t="shared" si="85"/>
        <v>496</v>
      </c>
      <c r="L699" s="62">
        <f t="shared" si="86"/>
        <v>616</v>
      </c>
      <c r="M699" s="304">
        <v>14.2</v>
      </c>
      <c r="N699" s="301">
        <f>VLOOKUP(4510,季財報!A:N,8,0)</f>
        <v>2</v>
      </c>
    </row>
    <row r="700" spans="1:14">
      <c r="A700" s="187">
        <v>4739</v>
      </c>
      <c r="C700">
        <v>73</v>
      </c>
      <c r="D700">
        <v>666</v>
      </c>
      <c r="E700">
        <v>2749</v>
      </c>
      <c r="F700">
        <v>2317</v>
      </c>
      <c r="G700">
        <v>1337</v>
      </c>
      <c r="H700" s="200">
        <v>0.02</v>
      </c>
      <c r="I700">
        <f t="shared" si="84"/>
        <v>619</v>
      </c>
      <c r="J700" s="193">
        <v>0.02</v>
      </c>
      <c r="K700">
        <f t="shared" si="85"/>
        <v>496</v>
      </c>
      <c r="L700" s="62">
        <f t="shared" si="86"/>
        <v>616</v>
      </c>
      <c r="M700" s="304">
        <v>0.79</v>
      </c>
      <c r="N700" s="301">
        <f>VLOOKUP(4739,季財報!A:N,8,0)</f>
        <v>1</v>
      </c>
    </row>
    <row r="701" spans="1:14">
      <c r="A701" s="187">
        <v>4747</v>
      </c>
      <c r="C701">
        <v>16</v>
      </c>
      <c r="D701">
        <v>587</v>
      </c>
      <c r="E701">
        <v>215</v>
      </c>
      <c r="F701">
        <v>806</v>
      </c>
      <c r="G701">
        <v>0</v>
      </c>
      <c r="H701" s="200">
        <v>0.02</v>
      </c>
      <c r="I701">
        <f t="shared" si="84"/>
        <v>619</v>
      </c>
      <c r="J701" s="193">
        <v>0.02</v>
      </c>
      <c r="K701">
        <f t="shared" si="85"/>
        <v>496</v>
      </c>
      <c r="L701" s="62">
        <f t="shared" si="86"/>
        <v>616</v>
      </c>
      <c r="M701" s="304">
        <v>1.01</v>
      </c>
      <c r="N701" s="301">
        <f>VLOOKUP(4747,季財報!A:N,8,0)</f>
        <v>2</v>
      </c>
    </row>
    <row r="702" spans="1:14">
      <c r="A702" s="187">
        <v>5009</v>
      </c>
      <c r="C702">
        <v>287</v>
      </c>
      <c r="D702">
        <v>3020</v>
      </c>
      <c r="E702">
        <v>11353</v>
      </c>
      <c r="F702">
        <v>10086</v>
      </c>
      <c r="G702">
        <v>3467</v>
      </c>
      <c r="H702" s="200">
        <v>0.02</v>
      </c>
      <c r="I702">
        <f t="shared" si="84"/>
        <v>619</v>
      </c>
      <c r="J702" s="193">
        <v>0.02</v>
      </c>
      <c r="K702">
        <f t="shared" si="85"/>
        <v>496</v>
      </c>
      <c r="L702" s="62">
        <f t="shared" si="86"/>
        <v>616</v>
      </c>
      <c r="M702" s="304">
        <v>0.79</v>
      </c>
      <c r="N702" s="301">
        <f>VLOOKUP(5009,季財報!A:N,8,0)</f>
        <v>3</v>
      </c>
    </row>
    <row r="703" spans="1:14">
      <c r="A703" s="187">
        <v>1727</v>
      </c>
      <c r="C703">
        <v>33</v>
      </c>
      <c r="D703">
        <v>250</v>
      </c>
      <c r="E703">
        <v>1089</v>
      </c>
      <c r="F703">
        <v>1408</v>
      </c>
      <c r="G703">
        <v>507</v>
      </c>
      <c r="H703" s="200">
        <v>0.02</v>
      </c>
      <c r="I703">
        <f t="shared" si="84"/>
        <v>619</v>
      </c>
      <c r="J703" s="193">
        <v>0.02</v>
      </c>
      <c r="K703">
        <f t="shared" si="85"/>
        <v>496</v>
      </c>
      <c r="L703" s="62">
        <f t="shared" si="86"/>
        <v>616</v>
      </c>
      <c r="M703" s="304">
        <v>0.79</v>
      </c>
      <c r="N703" s="301">
        <f>VLOOKUP(1727,季財報!A:N,8,0)</f>
        <v>2</v>
      </c>
    </row>
    <row r="704" spans="1:14">
      <c r="A704" s="187">
        <v>2029</v>
      </c>
      <c r="C704">
        <v>147</v>
      </c>
      <c r="D704">
        <v>5149</v>
      </c>
      <c r="E704">
        <v>2633</v>
      </c>
      <c r="F704">
        <v>7673</v>
      </c>
      <c r="G704">
        <v>179</v>
      </c>
      <c r="H704" s="200">
        <v>0.02</v>
      </c>
      <c r="I704">
        <f t="shared" si="84"/>
        <v>619</v>
      </c>
      <c r="J704" s="193">
        <v>0.02</v>
      </c>
      <c r="K704">
        <f t="shared" si="85"/>
        <v>496</v>
      </c>
      <c r="L704" s="62">
        <f t="shared" si="86"/>
        <v>616</v>
      </c>
      <c r="M704" s="304">
        <v>1.58</v>
      </c>
      <c r="N704" s="301">
        <f>VLOOKUP(2029,季財報!A:N,8,0)</f>
        <v>1</v>
      </c>
    </row>
    <row r="705" spans="1:14">
      <c r="A705" s="187">
        <v>2461</v>
      </c>
      <c r="C705">
        <v>84</v>
      </c>
      <c r="D705">
        <v>2144</v>
      </c>
      <c r="E705">
        <v>1361</v>
      </c>
      <c r="F705">
        <v>3212</v>
      </c>
      <c r="G705">
        <v>827</v>
      </c>
      <c r="H705" s="200">
        <v>0.02</v>
      </c>
      <c r="I705">
        <f t="shared" si="84"/>
        <v>619</v>
      </c>
      <c r="J705" s="193">
        <v>0.02</v>
      </c>
      <c r="K705">
        <f t="shared" si="85"/>
        <v>496</v>
      </c>
      <c r="L705" s="62">
        <f t="shared" si="86"/>
        <v>616</v>
      </c>
      <c r="M705" s="304">
        <v>0.79</v>
      </c>
      <c r="N705" s="301">
        <f>VLOOKUP(2461,季財報!A:N,8,0)</f>
        <v>3</v>
      </c>
    </row>
    <row r="706" spans="1:14">
      <c r="A706" s="187">
        <v>2484</v>
      </c>
      <c r="C706">
        <v>53</v>
      </c>
      <c r="D706">
        <v>1514</v>
      </c>
      <c r="E706">
        <v>1441</v>
      </c>
      <c r="F706">
        <v>2871</v>
      </c>
      <c r="G706">
        <v>107</v>
      </c>
      <c r="H706" s="200">
        <v>0.02</v>
      </c>
      <c r="I706">
        <f t="shared" si="84"/>
        <v>619</v>
      </c>
      <c r="J706" s="193">
        <v>0.02</v>
      </c>
      <c r="K706">
        <f t="shared" si="85"/>
        <v>496</v>
      </c>
      <c r="L706" s="62">
        <f t="shared" si="86"/>
        <v>616</v>
      </c>
      <c r="M706" s="304">
        <v>1.1399999999999999</v>
      </c>
      <c r="N706" s="301">
        <f>VLOOKUP(2484,季財報!A:N,8,0)</f>
        <v>4</v>
      </c>
    </row>
    <row r="707" spans="1:14">
      <c r="A707" s="187">
        <v>2906</v>
      </c>
      <c r="C707">
        <v>60</v>
      </c>
      <c r="D707">
        <v>2433</v>
      </c>
      <c r="E707">
        <v>424</v>
      </c>
      <c r="F707">
        <v>3252</v>
      </c>
      <c r="G707">
        <v>619</v>
      </c>
      <c r="H707" s="200">
        <v>0.02</v>
      </c>
      <c r="I707">
        <f t="shared" si="84"/>
        <v>619</v>
      </c>
      <c r="J707" s="193">
        <v>0.02</v>
      </c>
      <c r="K707">
        <f t="shared" si="85"/>
        <v>496</v>
      </c>
      <c r="L707" s="62">
        <f t="shared" si="86"/>
        <v>616</v>
      </c>
      <c r="M707" s="304">
        <v>1.46</v>
      </c>
      <c r="N707" s="301">
        <f>VLOOKUP(2906,季財報!A:N,8,0)</f>
        <v>2</v>
      </c>
    </row>
    <row r="708" spans="1:14">
      <c r="A708" s="187">
        <v>3021</v>
      </c>
      <c r="C708">
        <v>26</v>
      </c>
      <c r="D708">
        <v>742</v>
      </c>
      <c r="E708">
        <v>331</v>
      </c>
      <c r="F708">
        <v>1199</v>
      </c>
      <c r="G708">
        <v>259</v>
      </c>
      <c r="H708" s="200">
        <v>0.02</v>
      </c>
      <c r="I708">
        <f t="shared" si="84"/>
        <v>619</v>
      </c>
      <c r="J708" s="193">
        <v>0.02</v>
      </c>
      <c r="K708">
        <f t="shared" si="85"/>
        <v>496</v>
      </c>
      <c r="L708" s="62">
        <f t="shared" si="86"/>
        <v>616</v>
      </c>
      <c r="M708" s="304">
        <v>1.01</v>
      </c>
      <c r="N708" s="301">
        <f>VLOOKUP(3021,季財報!A:N,8,0)</f>
        <v>3</v>
      </c>
    </row>
    <row r="709" spans="1:14">
      <c r="A709" s="187">
        <v>3217</v>
      </c>
      <c r="C709">
        <v>26</v>
      </c>
      <c r="D709">
        <v>460</v>
      </c>
      <c r="E709">
        <v>585</v>
      </c>
      <c r="F709">
        <v>1409</v>
      </c>
      <c r="G709">
        <v>66</v>
      </c>
      <c r="H709" s="200">
        <v>0.02</v>
      </c>
      <c r="I709">
        <f t="shared" si="84"/>
        <v>619</v>
      </c>
      <c r="J709" s="193">
        <v>0.02</v>
      </c>
      <c r="K709">
        <f t="shared" si="85"/>
        <v>496</v>
      </c>
      <c r="L709" s="62">
        <f t="shared" si="86"/>
        <v>616</v>
      </c>
      <c r="M709" s="304">
        <v>0.79</v>
      </c>
      <c r="N709" s="301">
        <f>VLOOKUP(3217,季財報!A:N,8,0)</f>
        <v>5</v>
      </c>
    </row>
    <row r="710" spans="1:14">
      <c r="A710" s="187">
        <v>3402</v>
      </c>
      <c r="C710">
        <v>30</v>
      </c>
      <c r="D710">
        <v>950</v>
      </c>
      <c r="E710">
        <v>326</v>
      </c>
      <c r="F710">
        <v>1225</v>
      </c>
      <c r="G710">
        <v>71</v>
      </c>
      <c r="H710" s="200">
        <v>0.02</v>
      </c>
      <c r="I710">
        <f t="shared" si="84"/>
        <v>619</v>
      </c>
      <c r="J710" s="193">
        <v>0.02</v>
      </c>
      <c r="K710">
        <f t="shared" si="85"/>
        <v>496</v>
      </c>
      <c r="L710" s="62">
        <f t="shared" si="86"/>
        <v>616</v>
      </c>
      <c r="M710" s="304">
        <v>0.79</v>
      </c>
      <c r="N710" s="301">
        <f>VLOOKUP(3402,季財報!A:N,8,0)</f>
        <v>1</v>
      </c>
    </row>
    <row r="711" spans="1:14">
      <c r="A711" s="187">
        <v>3455</v>
      </c>
      <c r="C711">
        <v>36</v>
      </c>
      <c r="D711">
        <v>1411</v>
      </c>
      <c r="E711">
        <v>324</v>
      </c>
      <c r="F711">
        <v>1723</v>
      </c>
      <c r="G711">
        <v>170</v>
      </c>
      <c r="H711" s="200">
        <v>0.02</v>
      </c>
      <c r="I711">
        <f t="shared" si="84"/>
        <v>619</v>
      </c>
      <c r="J711" s="193">
        <v>0.02</v>
      </c>
      <c r="K711">
        <f t="shared" si="85"/>
        <v>496</v>
      </c>
      <c r="L711" s="62">
        <f t="shared" si="86"/>
        <v>616</v>
      </c>
      <c r="M711" s="304">
        <v>0.79</v>
      </c>
      <c r="N711" s="301">
        <f>VLOOKUP(3455,季財報!A:N,8,0)</f>
        <v>2</v>
      </c>
    </row>
    <row r="712" spans="1:14">
      <c r="A712" s="187">
        <v>3499</v>
      </c>
      <c r="C712">
        <v>13</v>
      </c>
      <c r="D712">
        <v>203</v>
      </c>
      <c r="E712">
        <v>360</v>
      </c>
      <c r="F712">
        <v>656</v>
      </c>
      <c r="G712">
        <v>91</v>
      </c>
      <c r="H712" s="200">
        <v>0.02</v>
      </c>
      <c r="I712">
        <f t="shared" si="84"/>
        <v>619</v>
      </c>
      <c r="J712" s="193">
        <v>0.02</v>
      </c>
      <c r="K712">
        <f t="shared" si="85"/>
        <v>496</v>
      </c>
      <c r="L712" s="62">
        <f t="shared" si="86"/>
        <v>616</v>
      </c>
      <c r="M712" s="304">
        <v>0.79</v>
      </c>
      <c r="N712" s="301">
        <f>VLOOKUP(3499,季財報!A:N,8,0)</f>
        <v>5</v>
      </c>
    </row>
    <row r="713" spans="1:14">
      <c r="A713" s="187">
        <v>3514</v>
      </c>
      <c r="C713">
        <v>257</v>
      </c>
      <c r="D713">
        <v>3243</v>
      </c>
      <c r="E713">
        <v>8167</v>
      </c>
      <c r="F713">
        <v>12946</v>
      </c>
      <c r="G713">
        <v>2886</v>
      </c>
      <c r="H713" s="200">
        <v>0.02</v>
      </c>
      <c r="I713">
        <f t="shared" ref="I713:I718" si="87">RANK(0.02,H:H,0)</f>
        <v>619</v>
      </c>
      <c r="J713" s="193">
        <v>0.02</v>
      </c>
      <c r="K713">
        <f t="shared" ref="K713:K718" si="88">RANK(0.02,J:J,0)</f>
        <v>496</v>
      </c>
      <c r="L713" s="62">
        <f t="shared" ref="L713:L718" si="89">RANK(1.36,M:M,0)</f>
        <v>616</v>
      </c>
      <c r="M713" s="304">
        <v>0.79</v>
      </c>
      <c r="N713" s="301">
        <f>VLOOKUP(3514,季財報!A:N,8,0)</f>
        <v>3</v>
      </c>
    </row>
    <row r="714" spans="1:14">
      <c r="A714" s="187">
        <v>3526</v>
      </c>
      <c r="C714">
        <v>25</v>
      </c>
      <c r="D714">
        <v>684</v>
      </c>
      <c r="E714">
        <v>541</v>
      </c>
      <c r="F714">
        <v>1267</v>
      </c>
      <c r="G714">
        <v>56</v>
      </c>
      <c r="H714" s="200">
        <v>0.02</v>
      </c>
      <c r="I714">
        <f t="shared" si="87"/>
        <v>619</v>
      </c>
      <c r="J714" s="193">
        <v>0.02</v>
      </c>
      <c r="K714">
        <f t="shared" si="88"/>
        <v>496</v>
      </c>
      <c r="L714" s="62">
        <f t="shared" si="89"/>
        <v>616</v>
      </c>
      <c r="M714" s="304">
        <v>0.79</v>
      </c>
      <c r="N714" s="301">
        <f>VLOOKUP(3526,季財報!A:N,8,0)</f>
        <v>4</v>
      </c>
    </row>
    <row r="715" spans="1:14">
      <c r="A715" s="187">
        <v>3537</v>
      </c>
      <c r="C715">
        <v>19</v>
      </c>
      <c r="D715">
        <v>676</v>
      </c>
      <c r="E715">
        <v>242</v>
      </c>
      <c r="F715">
        <v>829</v>
      </c>
      <c r="G715">
        <v>128</v>
      </c>
      <c r="H715" s="200">
        <v>0.02</v>
      </c>
      <c r="I715">
        <f t="shared" si="87"/>
        <v>619</v>
      </c>
      <c r="J715" s="193">
        <v>0.02</v>
      </c>
      <c r="K715">
        <f t="shared" si="88"/>
        <v>496</v>
      </c>
      <c r="L715" s="62">
        <f t="shared" si="89"/>
        <v>616</v>
      </c>
      <c r="M715" s="304">
        <v>0.79</v>
      </c>
      <c r="N715" s="301">
        <f>VLOOKUP(3537,季財報!A:N,8,0)</f>
        <v>2</v>
      </c>
    </row>
    <row r="716" spans="1:14">
      <c r="A716" s="187">
        <v>3588</v>
      </c>
      <c r="C716">
        <v>21</v>
      </c>
      <c r="D716">
        <v>1149</v>
      </c>
      <c r="E716">
        <v>47</v>
      </c>
      <c r="F716">
        <v>1201</v>
      </c>
      <c r="G716">
        <v>0</v>
      </c>
      <c r="H716" s="200">
        <v>0.02</v>
      </c>
      <c r="I716">
        <f t="shared" si="87"/>
        <v>619</v>
      </c>
      <c r="J716" s="193">
        <v>0.02</v>
      </c>
      <c r="K716">
        <f t="shared" si="88"/>
        <v>496</v>
      </c>
      <c r="L716" s="62">
        <f t="shared" si="89"/>
        <v>616</v>
      </c>
      <c r="M716" s="304">
        <v>1.36</v>
      </c>
      <c r="N716" s="301">
        <f>VLOOKUP(3588,季財報!A:N,8,0)</f>
        <v>3</v>
      </c>
    </row>
    <row r="717" spans="1:14">
      <c r="A717" s="187">
        <v>4111</v>
      </c>
      <c r="C717">
        <v>19</v>
      </c>
      <c r="D717">
        <v>222</v>
      </c>
      <c r="E717">
        <v>792</v>
      </c>
      <c r="F717">
        <v>1009</v>
      </c>
      <c r="G717">
        <v>20</v>
      </c>
      <c r="H717" s="200">
        <v>0.02</v>
      </c>
      <c r="I717">
        <f t="shared" si="87"/>
        <v>619</v>
      </c>
      <c r="J717" s="193">
        <v>0.02</v>
      </c>
      <c r="K717">
        <f t="shared" si="88"/>
        <v>496</v>
      </c>
      <c r="L717" s="62">
        <f t="shared" si="89"/>
        <v>616</v>
      </c>
      <c r="M717" s="304">
        <v>0.79</v>
      </c>
      <c r="N717" s="301">
        <f>VLOOKUP(4111,季財報!A:N,8,0)</f>
        <v>3</v>
      </c>
    </row>
    <row r="718" spans="1:14">
      <c r="A718" s="187">
        <v>4120</v>
      </c>
      <c r="C718">
        <v>65</v>
      </c>
      <c r="D718">
        <v>1668</v>
      </c>
      <c r="E718">
        <v>1700</v>
      </c>
      <c r="F718">
        <v>3393</v>
      </c>
      <c r="G718">
        <v>609</v>
      </c>
      <c r="H718" s="200">
        <v>0.02</v>
      </c>
      <c r="I718">
        <f t="shared" si="87"/>
        <v>619</v>
      </c>
      <c r="J718" s="193">
        <v>0.02</v>
      </c>
      <c r="K718">
        <f t="shared" si="88"/>
        <v>496</v>
      </c>
      <c r="L718" s="62">
        <f t="shared" si="89"/>
        <v>616</v>
      </c>
      <c r="M718" s="304">
        <v>2.11</v>
      </c>
      <c r="N718" s="301">
        <f>VLOOKUP(4120,季財報!A:N,8,0)</f>
        <v>4</v>
      </c>
    </row>
    <row r="719" spans="1:14">
      <c r="A719" s="187">
        <v>2227</v>
      </c>
      <c r="C719">
        <v>234</v>
      </c>
      <c r="D719">
        <v>5898</v>
      </c>
      <c r="E719">
        <v>1859</v>
      </c>
      <c r="F719">
        <v>21443</v>
      </c>
      <c r="G719">
        <v>3630</v>
      </c>
      <c r="H719" s="200">
        <v>0.03</v>
      </c>
      <c r="I719">
        <f t="shared" ref="I719:I728" si="90">RANK(0.03,H:H,0)</f>
        <v>466</v>
      </c>
      <c r="J719" s="193">
        <v>0.01</v>
      </c>
      <c r="K719">
        <f t="shared" ref="K719:K728" si="91">RANK(0.01,J:J,0)</f>
        <v>708</v>
      </c>
      <c r="L719" s="62">
        <f t="shared" ref="L719:L728" si="92">RANK(1.29,M:M,0)</f>
        <v>718</v>
      </c>
      <c r="M719" s="304">
        <v>0.79</v>
      </c>
      <c r="N719" s="301">
        <f>VLOOKUP(2227,季財報!A:N,8,0)</f>
        <v>0</v>
      </c>
    </row>
    <row r="720" spans="1:14">
      <c r="A720" s="187">
        <v>2530</v>
      </c>
      <c r="C720">
        <v>84</v>
      </c>
      <c r="D720">
        <v>2596</v>
      </c>
      <c r="E720">
        <v>66</v>
      </c>
      <c r="F720">
        <v>3019</v>
      </c>
      <c r="G720">
        <v>3253</v>
      </c>
      <c r="H720" s="200">
        <v>0.03</v>
      </c>
      <c r="I720">
        <f t="shared" si="90"/>
        <v>466</v>
      </c>
      <c r="J720" s="193">
        <v>0.01</v>
      </c>
      <c r="K720">
        <f t="shared" si="91"/>
        <v>708</v>
      </c>
      <c r="L720" s="62">
        <f t="shared" si="92"/>
        <v>718</v>
      </c>
      <c r="M720" s="304">
        <v>0.79</v>
      </c>
      <c r="N720" s="301">
        <f>VLOOKUP(2530,季財報!A:N,8,0)</f>
        <v>4</v>
      </c>
    </row>
    <row r="721" spans="1:14">
      <c r="A721" s="187">
        <v>2701</v>
      </c>
      <c r="C721">
        <v>42</v>
      </c>
      <c r="D721">
        <v>963</v>
      </c>
      <c r="E721">
        <v>369</v>
      </c>
      <c r="F721">
        <v>6724</v>
      </c>
      <c r="G721">
        <v>0</v>
      </c>
      <c r="H721" s="200">
        <v>0.03</v>
      </c>
      <c r="I721">
        <f t="shared" si="90"/>
        <v>466</v>
      </c>
      <c r="J721" s="193">
        <v>0.01</v>
      </c>
      <c r="K721">
        <f t="shared" si="91"/>
        <v>708</v>
      </c>
      <c r="L721" s="62">
        <f t="shared" si="92"/>
        <v>718</v>
      </c>
      <c r="M721" s="304">
        <v>0.79</v>
      </c>
      <c r="N721" s="301">
        <f>VLOOKUP(2701,季財報!A:N,8,0)</f>
        <v>6</v>
      </c>
    </row>
    <row r="722" spans="1:14">
      <c r="A722" s="187">
        <v>8932</v>
      </c>
      <c r="C722">
        <v>14</v>
      </c>
      <c r="D722">
        <v>0</v>
      </c>
      <c r="E722">
        <v>467</v>
      </c>
      <c r="F722">
        <v>471</v>
      </c>
      <c r="G722">
        <v>463</v>
      </c>
      <c r="H722" s="200">
        <v>0.03</v>
      </c>
      <c r="I722">
        <f t="shared" si="90"/>
        <v>466</v>
      </c>
      <c r="J722" s="193">
        <v>0.01</v>
      </c>
      <c r="K722">
        <f t="shared" si="91"/>
        <v>708</v>
      </c>
      <c r="L722" s="62">
        <f t="shared" si="92"/>
        <v>718</v>
      </c>
      <c r="M722" s="304">
        <v>1.29</v>
      </c>
      <c r="N722" s="301">
        <f>VLOOKUP(8932,季財報!A:N,8,0)</f>
        <v>2</v>
      </c>
    </row>
    <row r="723" spans="1:14">
      <c r="A723" s="187">
        <v>8069</v>
      </c>
      <c r="C723">
        <v>374</v>
      </c>
      <c r="D723">
        <v>6095</v>
      </c>
      <c r="E723">
        <v>8060</v>
      </c>
      <c r="F723">
        <v>26123</v>
      </c>
      <c r="G723">
        <v>4094</v>
      </c>
      <c r="H723" s="200">
        <v>0.03</v>
      </c>
      <c r="I723">
        <f t="shared" si="90"/>
        <v>466</v>
      </c>
      <c r="J723" s="193">
        <v>0.01</v>
      </c>
      <c r="K723">
        <f t="shared" si="91"/>
        <v>708</v>
      </c>
      <c r="L723" s="62">
        <f t="shared" si="92"/>
        <v>718</v>
      </c>
      <c r="M723" s="304">
        <v>1.84</v>
      </c>
      <c r="N723" s="301">
        <f>VLOOKUP(8069,季財報!A:N,8,0)</f>
        <v>3</v>
      </c>
    </row>
    <row r="724" spans="1:14">
      <c r="A724" s="187">
        <v>8096</v>
      </c>
      <c r="C724">
        <v>56</v>
      </c>
      <c r="D724">
        <v>1918</v>
      </c>
      <c r="E724">
        <v>175</v>
      </c>
      <c r="F724">
        <v>2387</v>
      </c>
      <c r="G724">
        <v>2267</v>
      </c>
      <c r="H724" s="200">
        <v>0.03</v>
      </c>
      <c r="I724">
        <f t="shared" si="90"/>
        <v>466</v>
      </c>
      <c r="J724" s="193">
        <v>0.01</v>
      </c>
      <c r="K724">
        <f t="shared" si="91"/>
        <v>708</v>
      </c>
      <c r="L724" s="62">
        <f t="shared" si="92"/>
        <v>718</v>
      </c>
      <c r="M724" s="304">
        <v>0.79</v>
      </c>
      <c r="N724" s="301">
        <f>VLOOKUP(8096,季財報!A:N,8,0)</f>
        <v>3</v>
      </c>
    </row>
    <row r="725" spans="1:14">
      <c r="A725" s="187">
        <v>5907</v>
      </c>
      <c r="C725">
        <v>166</v>
      </c>
      <c r="D725">
        <v>0</v>
      </c>
      <c r="E725">
        <v>6301</v>
      </c>
      <c r="F725">
        <v>10645</v>
      </c>
      <c r="G725">
        <v>5069</v>
      </c>
      <c r="H725" s="200">
        <v>0.03</v>
      </c>
      <c r="I725">
        <f t="shared" si="90"/>
        <v>466</v>
      </c>
      <c r="J725" s="193">
        <v>0.01</v>
      </c>
      <c r="K725">
        <f t="shared" si="91"/>
        <v>708</v>
      </c>
      <c r="L725" s="62">
        <f t="shared" si="92"/>
        <v>718</v>
      </c>
      <c r="M725" s="304">
        <v>0.79</v>
      </c>
      <c r="N725" s="301">
        <f>VLOOKUP(5907,季財報!A:N,8,0)</f>
        <v>0</v>
      </c>
    </row>
    <row r="726" spans="1:14">
      <c r="A726" s="187">
        <v>5410</v>
      </c>
      <c r="C726">
        <v>16</v>
      </c>
      <c r="D726">
        <v>477</v>
      </c>
      <c r="E726">
        <v>70</v>
      </c>
      <c r="F726">
        <v>1065</v>
      </c>
      <c r="G726">
        <v>20</v>
      </c>
      <c r="H726" s="200">
        <v>0.03</v>
      </c>
      <c r="I726">
        <f t="shared" si="90"/>
        <v>466</v>
      </c>
      <c r="J726" s="193">
        <v>0.01</v>
      </c>
      <c r="K726">
        <f t="shared" si="91"/>
        <v>708</v>
      </c>
      <c r="L726" s="62">
        <f t="shared" si="92"/>
        <v>718</v>
      </c>
      <c r="M726" s="304">
        <v>0.79</v>
      </c>
      <c r="N726" s="301">
        <f>VLOOKUP(5410,季財報!A:N,8,0)</f>
        <v>1</v>
      </c>
    </row>
    <row r="727" spans="1:14">
      <c r="A727" s="187">
        <v>1402</v>
      </c>
      <c r="C727">
        <v>3992</v>
      </c>
      <c r="D727">
        <v>1330</v>
      </c>
      <c r="E727">
        <v>149943</v>
      </c>
      <c r="F727">
        <v>263999</v>
      </c>
      <c r="G727">
        <v>63006</v>
      </c>
      <c r="H727" s="200">
        <v>0.03</v>
      </c>
      <c r="I727">
        <f t="shared" si="90"/>
        <v>466</v>
      </c>
      <c r="J727" s="193">
        <v>0.01</v>
      </c>
      <c r="K727">
        <f t="shared" si="91"/>
        <v>708</v>
      </c>
      <c r="L727" s="62">
        <f t="shared" si="92"/>
        <v>718</v>
      </c>
      <c r="M727" s="304">
        <v>0.79</v>
      </c>
      <c r="N727" s="301">
        <f>VLOOKUP(1402,季財報!A:N,8,0)</f>
        <v>1</v>
      </c>
    </row>
    <row r="728" spans="1:14">
      <c r="A728" s="187">
        <v>3028</v>
      </c>
      <c r="C728">
        <v>159</v>
      </c>
      <c r="D728">
        <v>4482</v>
      </c>
      <c r="E728">
        <v>493</v>
      </c>
      <c r="F728">
        <v>5201</v>
      </c>
      <c r="G728">
        <v>5590</v>
      </c>
      <c r="H728" s="200">
        <v>0.03</v>
      </c>
      <c r="I728">
        <f t="shared" si="90"/>
        <v>466</v>
      </c>
      <c r="J728" s="193">
        <v>0.01</v>
      </c>
      <c r="K728">
        <f t="shared" si="91"/>
        <v>708</v>
      </c>
      <c r="L728" s="62">
        <f t="shared" si="92"/>
        <v>718</v>
      </c>
      <c r="M728" s="304">
        <v>0.87</v>
      </c>
      <c r="N728" s="301">
        <f>VLOOKUP(3028,季財報!A:N,8,0)</f>
        <v>1</v>
      </c>
    </row>
    <row r="729" spans="1:14">
      <c r="A729" s="187">
        <v>5604</v>
      </c>
      <c r="C729">
        <v>34</v>
      </c>
      <c r="D729">
        <v>140</v>
      </c>
      <c r="E729">
        <v>3327</v>
      </c>
      <c r="F729">
        <v>2152</v>
      </c>
      <c r="G729">
        <v>15</v>
      </c>
      <c r="H729" s="200">
        <v>0.01</v>
      </c>
      <c r="I729">
        <f t="shared" ref="I729:I737" si="93">RANK(0.01,H:H,0)</f>
        <v>796</v>
      </c>
      <c r="J729" s="193">
        <v>0.02</v>
      </c>
      <c r="K729">
        <f t="shared" ref="K729:K737" si="94">RANK(0.02,J:J,0)</f>
        <v>496</v>
      </c>
      <c r="L729" s="62">
        <f t="shared" ref="L729:L737" si="95">RANK(1.18,M:M,0)</f>
        <v>728</v>
      </c>
      <c r="M729" s="304">
        <v>0.79</v>
      </c>
      <c r="N729" s="301">
        <f>VLOOKUP(5604,季財報!A:N,8,0)</f>
        <v>1</v>
      </c>
    </row>
    <row r="730" spans="1:14">
      <c r="A730" s="187">
        <v>4541</v>
      </c>
      <c r="C730">
        <v>28</v>
      </c>
      <c r="D730">
        <v>271</v>
      </c>
      <c r="E730">
        <v>2039</v>
      </c>
      <c r="F730">
        <v>1369</v>
      </c>
      <c r="G730">
        <v>245</v>
      </c>
      <c r="H730" s="200">
        <v>0.01</v>
      </c>
      <c r="I730">
        <f t="shared" si="93"/>
        <v>796</v>
      </c>
      <c r="J730" s="193">
        <v>0.02</v>
      </c>
      <c r="K730">
        <f t="shared" si="94"/>
        <v>496</v>
      </c>
      <c r="L730" s="62">
        <f t="shared" si="95"/>
        <v>728</v>
      </c>
      <c r="M730" s="304">
        <v>1.01</v>
      </c>
      <c r="N730" s="301">
        <f>VLOOKUP(4541,季財報!A:N,8,0)</f>
        <v>2</v>
      </c>
    </row>
    <row r="731" spans="1:14">
      <c r="A731" s="187">
        <v>2637</v>
      </c>
      <c r="C731">
        <v>859</v>
      </c>
      <c r="D731">
        <v>0</v>
      </c>
      <c r="E731">
        <v>76644</v>
      </c>
      <c r="F731">
        <v>29055</v>
      </c>
      <c r="G731">
        <v>6894</v>
      </c>
      <c r="H731" s="200">
        <v>0.01</v>
      </c>
      <c r="I731">
        <f t="shared" si="93"/>
        <v>796</v>
      </c>
      <c r="J731" s="193">
        <v>0.02</v>
      </c>
      <c r="K731">
        <f t="shared" si="94"/>
        <v>496</v>
      </c>
      <c r="L731" s="62">
        <f t="shared" si="95"/>
        <v>728</v>
      </c>
      <c r="M731" s="304">
        <v>3.37</v>
      </c>
      <c r="N731" s="301">
        <f>VLOOKUP(2637,季財報!A:N,8,0)</f>
        <v>6</v>
      </c>
    </row>
    <row r="732" spans="1:14">
      <c r="A732" s="187">
        <v>8423</v>
      </c>
      <c r="C732">
        <v>6</v>
      </c>
      <c r="D732">
        <v>92</v>
      </c>
      <c r="E732">
        <v>379</v>
      </c>
      <c r="F732">
        <v>288</v>
      </c>
      <c r="G732">
        <v>26</v>
      </c>
      <c r="H732" s="200">
        <v>0.01</v>
      </c>
      <c r="I732">
        <f t="shared" si="93"/>
        <v>796</v>
      </c>
      <c r="J732" s="193">
        <v>0.02</v>
      </c>
      <c r="K732">
        <f t="shared" si="94"/>
        <v>496</v>
      </c>
      <c r="L732" s="62">
        <f t="shared" si="95"/>
        <v>728</v>
      </c>
      <c r="M732" s="304">
        <v>3.37</v>
      </c>
      <c r="N732" s="301">
        <f>VLOOKUP(8423,季財報!A:N,8,0)</f>
        <v>3</v>
      </c>
    </row>
    <row r="733" spans="1:14">
      <c r="A733" s="187">
        <v>8147</v>
      </c>
      <c r="C733">
        <v>8</v>
      </c>
      <c r="D733">
        <v>277</v>
      </c>
      <c r="E733">
        <v>292</v>
      </c>
      <c r="F733">
        <v>484</v>
      </c>
      <c r="G733">
        <v>0</v>
      </c>
      <c r="H733" s="200">
        <v>0.01</v>
      </c>
      <c r="I733">
        <f t="shared" si="93"/>
        <v>796</v>
      </c>
      <c r="J733" s="193">
        <v>0.02</v>
      </c>
      <c r="K733">
        <f t="shared" si="94"/>
        <v>496</v>
      </c>
      <c r="L733" s="62">
        <f t="shared" si="95"/>
        <v>728</v>
      </c>
      <c r="M733" s="304">
        <v>0.79</v>
      </c>
      <c r="N733" s="301">
        <f>VLOOKUP(8147,季財報!A:N,8,0)</f>
        <v>2</v>
      </c>
    </row>
    <row r="734" spans="1:14">
      <c r="A734" s="187">
        <v>8354</v>
      </c>
      <c r="C734">
        <v>26</v>
      </c>
      <c r="D734">
        <v>625</v>
      </c>
      <c r="E734">
        <v>1232</v>
      </c>
      <c r="F734">
        <v>1419</v>
      </c>
      <c r="G734">
        <v>173</v>
      </c>
      <c r="H734" s="200">
        <v>0.01</v>
      </c>
      <c r="I734">
        <f t="shared" si="93"/>
        <v>796</v>
      </c>
      <c r="J734" s="193">
        <v>0.02</v>
      </c>
      <c r="K734">
        <f t="shared" si="94"/>
        <v>496</v>
      </c>
      <c r="L734" s="62">
        <f t="shared" si="95"/>
        <v>728</v>
      </c>
      <c r="M734" s="304">
        <v>0.79</v>
      </c>
      <c r="N734" s="301">
        <f>VLOOKUP(8354,季財報!A:N,8,0)</f>
        <v>3</v>
      </c>
    </row>
    <row r="735" spans="1:14">
      <c r="A735" s="187">
        <v>5364</v>
      </c>
      <c r="C735">
        <v>6</v>
      </c>
      <c r="D735">
        <v>0</v>
      </c>
      <c r="E735">
        <v>431</v>
      </c>
      <c r="F735">
        <v>284</v>
      </c>
      <c r="G735">
        <v>102</v>
      </c>
      <c r="H735" s="200">
        <v>0.01</v>
      </c>
      <c r="I735">
        <f t="shared" si="93"/>
        <v>796</v>
      </c>
      <c r="J735" s="193">
        <v>0.02</v>
      </c>
      <c r="K735">
        <f t="shared" si="94"/>
        <v>496</v>
      </c>
      <c r="L735" s="62">
        <f t="shared" si="95"/>
        <v>728</v>
      </c>
      <c r="M735" s="304">
        <v>0.87</v>
      </c>
      <c r="N735" s="301">
        <f>VLOOKUP(5364,季財報!A:N,8,0)</f>
        <v>3</v>
      </c>
    </row>
    <row r="736" spans="1:14">
      <c r="A736" s="187">
        <v>5460</v>
      </c>
      <c r="C736">
        <v>15</v>
      </c>
      <c r="D736">
        <v>662</v>
      </c>
      <c r="E736">
        <v>378</v>
      </c>
      <c r="F736">
        <v>992</v>
      </c>
      <c r="G736">
        <v>0</v>
      </c>
      <c r="H736" s="200">
        <v>0.01</v>
      </c>
      <c r="I736">
        <f t="shared" si="93"/>
        <v>796</v>
      </c>
      <c r="J736" s="193">
        <v>0.02</v>
      </c>
      <c r="K736">
        <f t="shared" si="94"/>
        <v>496</v>
      </c>
      <c r="L736" s="62">
        <f t="shared" si="95"/>
        <v>728</v>
      </c>
      <c r="M736" s="304">
        <v>1.01</v>
      </c>
      <c r="N736" s="301">
        <f>VLOOKUP(5460,季財報!A:N,8,0)</f>
        <v>1</v>
      </c>
    </row>
    <row r="737" spans="1:14">
      <c r="A737" s="187">
        <v>1815</v>
      </c>
      <c r="C737">
        <v>136</v>
      </c>
      <c r="D737">
        <v>1162</v>
      </c>
      <c r="E737">
        <v>8849</v>
      </c>
      <c r="F737">
        <v>6604</v>
      </c>
      <c r="G737">
        <v>1512</v>
      </c>
      <c r="H737" s="200">
        <v>0.01</v>
      </c>
      <c r="I737">
        <f t="shared" si="93"/>
        <v>796</v>
      </c>
      <c r="J737" s="193">
        <v>0.02</v>
      </c>
      <c r="K737">
        <f t="shared" si="94"/>
        <v>496</v>
      </c>
      <c r="L737" s="62">
        <f t="shared" si="95"/>
        <v>728</v>
      </c>
      <c r="M737" s="304">
        <v>0.79</v>
      </c>
      <c r="N737" s="301">
        <f>VLOOKUP(1815,季財報!A:N,8,0)</f>
        <v>3</v>
      </c>
    </row>
    <row r="738" spans="1:14">
      <c r="A738" s="187">
        <v>3324</v>
      </c>
      <c r="C738">
        <v>129</v>
      </c>
      <c r="D738">
        <v>5009</v>
      </c>
      <c r="E738">
        <v>637</v>
      </c>
      <c r="F738">
        <v>4614</v>
      </c>
      <c r="G738">
        <v>6073</v>
      </c>
      <c r="H738" s="200">
        <v>0.02</v>
      </c>
      <c r="I738">
        <f t="shared" ref="I738:I769" si="96">RANK(0.02,H:H,0)</f>
        <v>619</v>
      </c>
      <c r="J738" s="193">
        <v>0.01</v>
      </c>
      <c r="K738">
        <f t="shared" ref="K738:K801" si="97">RANK(0.01,J:J,0)</f>
        <v>708</v>
      </c>
      <c r="L738" s="62">
        <f t="shared" ref="L738:L769" si="98">RANK(1.14,M:M,0)</f>
        <v>737</v>
      </c>
      <c r="M738" s="304">
        <v>12.66</v>
      </c>
      <c r="N738" s="301">
        <f>VLOOKUP(3324,季財報!A:N,8,0)</f>
        <v>4</v>
      </c>
    </row>
    <row r="739" spans="1:14">
      <c r="A739" s="187">
        <v>9934</v>
      </c>
      <c r="C739">
        <v>131</v>
      </c>
      <c r="D739">
        <v>4633</v>
      </c>
      <c r="E739">
        <v>2136</v>
      </c>
      <c r="F739">
        <v>7467</v>
      </c>
      <c r="G739">
        <v>1645</v>
      </c>
      <c r="H739" s="200">
        <v>0.02</v>
      </c>
      <c r="I739">
        <f t="shared" si="96"/>
        <v>619</v>
      </c>
      <c r="J739" s="193">
        <v>0.01</v>
      </c>
      <c r="K739">
        <f t="shared" si="97"/>
        <v>708</v>
      </c>
      <c r="L739" s="62">
        <f t="shared" si="98"/>
        <v>737</v>
      </c>
      <c r="M739" s="304">
        <v>1.9</v>
      </c>
      <c r="N739" s="301">
        <f>VLOOKUP(9934,季財報!A:N,8,0)</f>
        <v>3</v>
      </c>
    </row>
    <row r="740" spans="1:14">
      <c r="A740" s="187">
        <v>9937</v>
      </c>
      <c r="C740">
        <v>64</v>
      </c>
      <c r="D740">
        <v>0</v>
      </c>
      <c r="E740">
        <v>3877</v>
      </c>
      <c r="F740">
        <v>4274</v>
      </c>
      <c r="G740">
        <v>1520</v>
      </c>
      <c r="H740" s="200">
        <v>0.02</v>
      </c>
      <c r="I740">
        <f t="shared" si="96"/>
        <v>619</v>
      </c>
      <c r="J740" s="193">
        <v>0.01</v>
      </c>
      <c r="K740">
        <f t="shared" si="97"/>
        <v>708</v>
      </c>
      <c r="L740" s="62">
        <f t="shared" si="98"/>
        <v>737</v>
      </c>
      <c r="M740" s="304">
        <v>0.79</v>
      </c>
      <c r="N740" s="301">
        <f>VLOOKUP(9937,季財報!A:N,8,0)</f>
        <v>3</v>
      </c>
    </row>
    <row r="741" spans="1:14">
      <c r="A741" s="187">
        <v>6443</v>
      </c>
      <c r="C741">
        <v>87</v>
      </c>
      <c r="D741">
        <v>0</v>
      </c>
      <c r="E741">
        <v>4892</v>
      </c>
      <c r="F741">
        <v>3564</v>
      </c>
      <c r="G741">
        <v>2591</v>
      </c>
      <c r="H741" s="200">
        <v>0.02</v>
      </c>
      <c r="I741">
        <f t="shared" si="96"/>
        <v>619</v>
      </c>
      <c r="J741" s="193">
        <v>0.01</v>
      </c>
      <c r="K741">
        <f t="shared" si="97"/>
        <v>708</v>
      </c>
      <c r="L741" s="62">
        <f t="shared" si="98"/>
        <v>737</v>
      </c>
      <c r="M741" s="304">
        <v>1.9</v>
      </c>
      <c r="N741" s="301">
        <f>VLOOKUP(6443,季財報!A:N,8,0)</f>
        <v>1</v>
      </c>
    </row>
    <row r="742" spans="1:14">
      <c r="A742" s="187">
        <v>6108</v>
      </c>
      <c r="C742">
        <v>97</v>
      </c>
      <c r="D742">
        <v>1058</v>
      </c>
      <c r="E742">
        <v>4312</v>
      </c>
      <c r="F742">
        <v>3430</v>
      </c>
      <c r="G742">
        <v>4464</v>
      </c>
      <c r="H742" s="200">
        <v>0.02</v>
      </c>
      <c r="I742">
        <f t="shared" si="96"/>
        <v>619</v>
      </c>
      <c r="J742" s="193">
        <v>0.01</v>
      </c>
      <c r="K742">
        <f t="shared" si="97"/>
        <v>708</v>
      </c>
      <c r="L742" s="62">
        <f t="shared" si="98"/>
        <v>737</v>
      </c>
      <c r="M742" s="304">
        <v>1.18</v>
      </c>
      <c r="N742" s="301">
        <f>VLOOKUP(6108,季財報!A:N,8,0)</f>
        <v>1</v>
      </c>
    </row>
    <row r="743" spans="1:14">
      <c r="A743" s="187">
        <v>5321</v>
      </c>
      <c r="C743">
        <v>3</v>
      </c>
      <c r="D743">
        <v>43</v>
      </c>
      <c r="E743">
        <v>132</v>
      </c>
      <c r="F743">
        <v>320</v>
      </c>
      <c r="G743">
        <v>112</v>
      </c>
      <c r="H743" s="200">
        <v>0.02</v>
      </c>
      <c r="I743">
        <f t="shared" si="96"/>
        <v>619</v>
      </c>
      <c r="J743" s="193">
        <v>0.01</v>
      </c>
      <c r="K743">
        <f t="shared" si="97"/>
        <v>708</v>
      </c>
      <c r="L743" s="62">
        <f t="shared" si="98"/>
        <v>737</v>
      </c>
      <c r="M743" s="304">
        <v>4.05</v>
      </c>
      <c r="N743" s="301">
        <f>VLOOKUP(5321,季財報!A:N,8,0)</f>
        <v>2</v>
      </c>
    </row>
    <row r="744" spans="1:14">
      <c r="A744" s="187">
        <v>5480</v>
      </c>
      <c r="C744">
        <v>77</v>
      </c>
      <c r="D744">
        <v>1048</v>
      </c>
      <c r="E744">
        <v>3675</v>
      </c>
      <c r="F744">
        <v>4223</v>
      </c>
      <c r="G744">
        <v>1835</v>
      </c>
      <c r="H744" s="200">
        <v>0.02</v>
      </c>
      <c r="I744">
        <f t="shared" si="96"/>
        <v>619</v>
      </c>
      <c r="J744" s="193">
        <v>0.01</v>
      </c>
      <c r="K744">
        <f t="shared" si="97"/>
        <v>708</v>
      </c>
      <c r="L744" s="62">
        <f t="shared" si="98"/>
        <v>737</v>
      </c>
      <c r="M744" s="304">
        <v>0.79</v>
      </c>
      <c r="N744" s="301">
        <f>VLOOKUP(5480,季財報!A:N,8,0)</f>
        <v>3</v>
      </c>
    </row>
    <row r="745" spans="1:14">
      <c r="A745" s="187">
        <v>4173</v>
      </c>
      <c r="C745">
        <v>17</v>
      </c>
      <c r="D745">
        <v>816</v>
      </c>
      <c r="E745">
        <v>38</v>
      </c>
      <c r="F745">
        <v>1063</v>
      </c>
      <c r="G745">
        <v>950</v>
      </c>
      <c r="H745" s="200">
        <v>0.02</v>
      </c>
      <c r="I745">
        <f t="shared" si="96"/>
        <v>619</v>
      </c>
      <c r="J745" s="193">
        <v>0.01</v>
      </c>
      <c r="K745">
        <f t="shared" si="97"/>
        <v>708</v>
      </c>
      <c r="L745" s="62">
        <f t="shared" si="98"/>
        <v>737</v>
      </c>
      <c r="M745" s="304">
        <v>0.79</v>
      </c>
      <c r="N745" s="301">
        <f>VLOOKUP(4173,季財報!A:N,8,0)</f>
        <v>1</v>
      </c>
    </row>
    <row r="746" spans="1:14">
      <c r="A746" s="187">
        <v>4916</v>
      </c>
      <c r="C746">
        <v>15</v>
      </c>
      <c r="D746">
        <v>566</v>
      </c>
      <c r="E746">
        <v>341</v>
      </c>
      <c r="F746">
        <v>1086</v>
      </c>
      <c r="G746">
        <v>224</v>
      </c>
      <c r="H746" s="200">
        <v>0.02</v>
      </c>
      <c r="I746">
        <f t="shared" si="96"/>
        <v>619</v>
      </c>
      <c r="J746" s="193">
        <v>0.01</v>
      </c>
      <c r="K746">
        <f t="shared" si="97"/>
        <v>708</v>
      </c>
      <c r="L746" s="62">
        <f t="shared" si="98"/>
        <v>737</v>
      </c>
      <c r="M746" s="304">
        <v>1.1399999999999999</v>
      </c>
      <c r="N746" s="301">
        <f>VLOOKUP(4916,季財報!A:N,8,0)</f>
        <v>4</v>
      </c>
    </row>
    <row r="747" spans="1:14">
      <c r="A747" s="187">
        <v>5395</v>
      </c>
      <c r="C747">
        <v>42</v>
      </c>
      <c r="D747">
        <v>0</v>
      </c>
      <c r="E747">
        <v>2498</v>
      </c>
      <c r="F747">
        <v>2608</v>
      </c>
      <c r="G747">
        <v>2614</v>
      </c>
      <c r="H747" s="200">
        <v>0.02</v>
      </c>
      <c r="I747">
        <f t="shared" si="96"/>
        <v>619</v>
      </c>
      <c r="J747" s="193">
        <v>0.01</v>
      </c>
      <c r="K747">
        <f t="shared" si="97"/>
        <v>708</v>
      </c>
      <c r="L747" s="62">
        <f t="shared" si="98"/>
        <v>737</v>
      </c>
      <c r="M747" s="304">
        <v>25.32</v>
      </c>
      <c r="N747" s="301">
        <f>VLOOKUP(5395,季財報!A:N,8,0)</f>
        <v>2</v>
      </c>
    </row>
    <row r="748" spans="1:14">
      <c r="A748" s="187">
        <v>1101</v>
      </c>
      <c r="C748">
        <v>2480</v>
      </c>
      <c r="D748">
        <v>16104</v>
      </c>
      <c r="E748">
        <v>116584</v>
      </c>
      <c r="F748">
        <v>157639</v>
      </c>
      <c r="G748">
        <v>50824</v>
      </c>
      <c r="H748" s="200">
        <v>0.02</v>
      </c>
      <c r="I748">
        <f t="shared" si="96"/>
        <v>619</v>
      </c>
      <c r="J748" s="193">
        <v>0.01</v>
      </c>
      <c r="K748">
        <f t="shared" si="97"/>
        <v>708</v>
      </c>
      <c r="L748" s="62">
        <f t="shared" si="98"/>
        <v>737</v>
      </c>
      <c r="M748" s="304">
        <v>1.1399999999999999</v>
      </c>
      <c r="N748" s="301">
        <f>VLOOKUP(1101,季財報!A:N,8,0)</f>
        <v>1</v>
      </c>
    </row>
    <row r="749" spans="1:14">
      <c r="A749" s="187">
        <v>1102</v>
      </c>
      <c r="C749">
        <v>1212</v>
      </c>
      <c r="D749">
        <v>0</v>
      </c>
      <c r="E749">
        <v>68587</v>
      </c>
      <c r="F749">
        <v>160453</v>
      </c>
      <c r="G749">
        <v>59340</v>
      </c>
      <c r="H749" s="200">
        <v>0.02</v>
      </c>
      <c r="I749">
        <f t="shared" si="96"/>
        <v>619</v>
      </c>
      <c r="J749" s="193">
        <v>0.01</v>
      </c>
      <c r="K749">
        <f t="shared" si="97"/>
        <v>708</v>
      </c>
      <c r="L749" s="62">
        <f t="shared" si="98"/>
        <v>737</v>
      </c>
      <c r="M749" s="304">
        <v>0.79</v>
      </c>
      <c r="N749" s="301">
        <f>VLOOKUP(1102,季財報!A:N,8,0)</f>
        <v>1</v>
      </c>
    </row>
    <row r="750" spans="1:14">
      <c r="A750" s="187">
        <v>1218</v>
      </c>
      <c r="C750">
        <v>60</v>
      </c>
      <c r="D750">
        <v>596</v>
      </c>
      <c r="E750">
        <v>2056</v>
      </c>
      <c r="F750">
        <v>3415</v>
      </c>
      <c r="G750">
        <v>1185</v>
      </c>
      <c r="H750" s="200">
        <v>0.02</v>
      </c>
      <c r="I750">
        <f t="shared" si="96"/>
        <v>619</v>
      </c>
      <c r="J750" s="193">
        <v>0.01</v>
      </c>
      <c r="K750">
        <f t="shared" si="97"/>
        <v>708</v>
      </c>
      <c r="L750" s="62">
        <f t="shared" si="98"/>
        <v>737</v>
      </c>
      <c r="M750" s="304">
        <v>2.76</v>
      </c>
      <c r="N750" s="301">
        <f>VLOOKUP(1218,季財報!A:N,8,0)</f>
        <v>3</v>
      </c>
    </row>
    <row r="751" spans="1:14">
      <c r="A751" s="187">
        <v>1234</v>
      </c>
      <c r="C751">
        <v>204</v>
      </c>
      <c r="D751">
        <v>5611</v>
      </c>
      <c r="E751">
        <v>5614</v>
      </c>
      <c r="F751">
        <v>17442</v>
      </c>
      <c r="G751">
        <v>345</v>
      </c>
      <c r="H751" s="200">
        <v>0.02</v>
      </c>
      <c r="I751">
        <f t="shared" si="96"/>
        <v>619</v>
      </c>
      <c r="J751" s="193">
        <v>0.01</v>
      </c>
      <c r="K751">
        <f t="shared" si="97"/>
        <v>708</v>
      </c>
      <c r="L751" s="62">
        <f t="shared" si="98"/>
        <v>737</v>
      </c>
      <c r="M751" s="304">
        <v>0.79</v>
      </c>
      <c r="N751" s="301">
        <f>VLOOKUP(1234,季財報!A:N,8,0)</f>
        <v>5</v>
      </c>
    </row>
    <row r="752" spans="1:14">
      <c r="A752" s="187">
        <v>1301</v>
      </c>
      <c r="C752">
        <v>3099</v>
      </c>
      <c r="D752">
        <v>86226</v>
      </c>
      <c r="E752">
        <v>81587</v>
      </c>
      <c r="F752">
        <v>272307</v>
      </c>
      <c r="G752">
        <v>36513</v>
      </c>
      <c r="H752" s="200">
        <v>0.02</v>
      </c>
      <c r="I752">
        <f t="shared" si="96"/>
        <v>619</v>
      </c>
      <c r="J752" s="193">
        <v>0.01</v>
      </c>
      <c r="K752">
        <f t="shared" si="97"/>
        <v>708</v>
      </c>
      <c r="L752" s="62">
        <f t="shared" si="98"/>
        <v>737</v>
      </c>
      <c r="M752" s="304">
        <v>0.79</v>
      </c>
      <c r="N752" s="301">
        <f>VLOOKUP(1301,季財報!A:N,8,0)</f>
        <v>2</v>
      </c>
    </row>
    <row r="753" spans="1:14">
      <c r="A753" s="187">
        <v>1308</v>
      </c>
      <c r="C753">
        <v>84</v>
      </c>
      <c r="D753">
        <v>1306</v>
      </c>
      <c r="E753">
        <v>3344</v>
      </c>
      <c r="F753">
        <v>8663</v>
      </c>
      <c r="G753">
        <v>350</v>
      </c>
      <c r="H753" s="200">
        <v>0.02</v>
      </c>
      <c r="I753">
        <f t="shared" si="96"/>
        <v>619</v>
      </c>
      <c r="J753" s="193">
        <v>0.01</v>
      </c>
      <c r="K753">
        <f t="shared" si="97"/>
        <v>708</v>
      </c>
      <c r="L753" s="62">
        <f t="shared" si="98"/>
        <v>737</v>
      </c>
      <c r="M753" s="304">
        <v>1.58</v>
      </c>
      <c r="N753" s="301">
        <f>VLOOKUP(1308,季財報!A:N,8,0)</f>
        <v>1</v>
      </c>
    </row>
    <row r="754" spans="1:14">
      <c r="A754" s="187">
        <v>1310</v>
      </c>
      <c r="C754">
        <v>119</v>
      </c>
      <c r="D754">
        <v>907</v>
      </c>
      <c r="E754">
        <v>4626</v>
      </c>
      <c r="F754">
        <v>6325</v>
      </c>
      <c r="G754">
        <v>1716</v>
      </c>
      <c r="H754" s="200">
        <v>0.02</v>
      </c>
      <c r="I754">
        <f t="shared" si="96"/>
        <v>619</v>
      </c>
      <c r="J754" s="193">
        <v>0.01</v>
      </c>
      <c r="K754">
        <f t="shared" si="97"/>
        <v>708</v>
      </c>
      <c r="L754" s="62">
        <f t="shared" si="98"/>
        <v>737</v>
      </c>
      <c r="M754" s="304">
        <v>0.79</v>
      </c>
      <c r="N754" s="301">
        <f>VLOOKUP(1310,季財報!A:N,8,0)</f>
        <v>2</v>
      </c>
    </row>
    <row r="755" spans="1:14">
      <c r="A755" s="187">
        <v>1337</v>
      </c>
      <c r="C755">
        <v>143</v>
      </c>
      <c r="D755">
        <v>2520</v>
      </c>
      <c r="E755">
        <v>6381</v>
      </c>
      <c r="F755">
        <v>10497</v>
      </c>
      <c r="G755">
        <v>741</v>
      </c>
      <c r="H755" s="200">
        <v>0.02</v>
      </c>
      <c r="I755">
        <f t="shared" si="96"/>
        <v>619</v>
      </c>
      <c r="J755" s="193">
        <v>0.01</v>
      </c>
      <c r="K755">
        <f t="shared" si="97"/>
        <v>708</v>
      </c>
      <c r="L755" s="62">
        <f t="shared" si="98"/>
        <v>737</v>
      </c>
      <c r="M755" s="304">
        <v>6.36</v>
      </c>
      <c r="N755" s="301">
        <f>VLOOKUP(1337,季財報!A:N,8,0)</f>
        <v>3</v>
      </c>
    </row>
    <row r="756" spans="1:14">
      <c r="A756" s="187">
        <v>1434</v>
      </c>
      <c r="C756">
        <v>641</v>
      </c>
      <c r="D756">
        <v>10817</v>
      </c>
      <c r="E756">
        <v>17233</v>
      </c>
      <c r="F756">
        <v>55155</v>
      </c>
      <c r="G756">
        <v>5290</v>
      </c>
      <c r="H756" s="200">
        <v>0.02</v>
      </c>
      <c r="I756">
        <f t="shared" si="96"/>
        <v>619</v>
      </c>
      <c r="J756" s="193">
        <v>0.01</v>
      </c>
      <c r="K756">
        <f t="shared" si="97"/>
        <v>708</v>
      </c>
      <c r="L756" s="62">
        <f t="shared" si="98"/>
        <v>737</v>
      </c>
      <c r="M756" s="304">
        <v>0.79</v>
      </c>
      <c r="N756" s="301">
        <f>VLOOKUP(1434,季財報!A:N,8,0)</f>
        <v>2</v>
      </c>
    </row>
    <row r="757" spans="1:14">
      <c r="A757" s="187">
        <v>1460</v>
      </c>
      <c r="C757">
        <v>98</v>
      </c>
      <c r="D757">
        <v>2093</v>
      </c>
      <c r="E757">
        <v>3347</v>
      </c>
      <c r="F757">
        <v>4693</v>
      </c>
      <c r="G757">
        <v>1922</v>
      </c>
      <c r="H757" s="200">
        <v>0.02</v>
      </c>
      <c r="I757">
        <f t="shared" si="96"/>
        <v>619</v>
      </c>
      <c r="J757" s="193">
        <v>0.01</v>
      </c>
      <c r="K757">
        <f t="shared" si="97"/>
        <v>708</v>
      </c>
      <c r="L757" s="62">
        <f t="shared" si="98"/>
        <v>737</v>
      </c>
      <c r="M757" s="304">
        <v>3.37</v>
      </c>
      <c r="N757" s="301">
        <f>VLOOKUP(1460,季財報!A:N,8,0)</f>
        <v>3</v>
      </c>
    </row>
    <row r="758" spans="1:14">
      <c r="A758" s="187">
        <v>1464</v>
      </c>
      <c r="C758">
        <v>74</v>
      </c>
      <c r="D758">
        <v>738</v>
      </c>
      <c r="E758">
        <v>2743</v>
      </c>
      <c r="F758">
        <v>4079</v>
      </c>
      <c r="G758">
        <v>2282</v>
      </c>
      <c r="H758" s="200">
        <v>0.02</v>
      </c>
      <c r="I758">
        <f t="shared" si="96"/>
        <v>619</v>
      </c>
      <c r="J758" s="193">
        <v>0.01</v>
      </c>
      <c r="K758">
        <f t="shared" si="97"/>
        <v>708</v>
      </c>
      <c r="L758" s="62">
        <f t="shared" si="98"/>
        <v>737</v>
      </c>
      <c r="M758" s="304">
        <v>12.98</v>
      </c>
      <c r="N758" s="301">
        <f>VLOOKUP(1464,季財報!A:N,8,0)</f>
        <v>1</v>
      </c>
    </row>
    <row r="759" spans="1:14">
      <c r="A759" s="187">
        <v>1503</v>
      </c>
      <c r="C759">
        <v>191</v>
      </c>
      <c r="D759">
        <v>3549</v>
      </c>
      <c r="E759">
        <v>5885</v>
      </c>
      <c r="F759">
        <v>21695</v>
      </c>
      <c r="G759">
        <v>3220</v>
      </c>
      <c r="H759" s="200">
        <v>0.02</v>
      </c>
      <c r="I759">
        <f t="shared" si="96"/>
        <v>619</v>
      </c>
      <c r="J759" s="193">
        <v>0.01</v>
      </c>
      <c r="K759">
        <f t="shared" si="97"/>
        <v>708</v>
      </c>
      <c r="L759" s="62">
        <f t="shared" si="98"/>
        <v>737</v>
      </c>
      <c r="M759" s="304">
        <v>0.79</v>
      </c>
      <c r="N759" s="301">
        <f>VLOOKUP(1503,季財報!A:N,8,0)</f>
        <v>2</v>
      </c>
    </row>
    <row r="760" spans="1:14">
      <c r="A760" s="187">
        <v>1535</v>
      </c>
      <c r="C760">
        <v>58</v>
      </c>
      <c r="D760">
        <v>2171</v>
      </c>
      <c r="E760">
        <v>173</v>
      </c>
      <c r="F760">
        <v>3434</v>
      </c>
      <c r="G760">
        <v>550</v>
      </c>
      <c r="H760" s="200">
        <v>0.02</v>
      </c>
      <c r="I760">
        <f t="shared" si="96"/>
        <v>619</v>
      </c>
      <c r="J760" s="193">
        <v>0.01</v>
      </c>
      <c r="K760">
        <f t="shared" si="97"/>
        <v>708</v>
      </c>
      <c r="L760" s="62">
        <f t="shared" si="98"/>
        <v>737</v>
      </c>
      <c r="M760" s="304">
        <v>0.79</v>
      </c>
      <c r="N760" s="301">
        <f>VLOOKUP(1535,季財報!A:N,8,0)</f>
        <v>1</v>
      </c>
    </row>
    <row r="761" spans="1:14">
      <c r="A761" s="187">
        <v>1721</v>
      </c>
      <c r="C761">
        <v>15</v>
      </c>
      <c r="D761">
        <v>345</v>
      </c>
      <c r="E761">
        <v>500</v>
      </c>
      <c r="F761">
        <v>803</v>
      </c>
      <c r="G761">
        <v>201</v>
      </c>
      <c r="H761" s="200">
        <v>0.02</v>
      </c>
      <c r="I761">
        <f t="shared" si="96"/>
        <v>619</v>
      </c>
      <c r="J761" s="193">
        <v>0.01</v>
      </c>
      <c r="K761">
        <f t="shared" si="97"/>
        <v>708</v>
      </c>
      <c r="L761" s="62">
        <f t="shared" si="98"/>
        <v>737</v>
      </c>
      <c r="M761" s="304">
        <v>0.79</v>
      </c>
      <c r="N761" s="301">
        <f>VLOOKUP(1721,季財報!A:N,8,0)</f>
        <v>3</v>
      </c>
    </row>
    <row r="762" spans="1:14">
      <c r="A762" s="187">
        <v>1725</v>
      </c>
      <c r="C762">
        <v>42</v>
      </c>
      <c r="D762">
        <v>1735</v>
      </c>
      <c r="E762">
        <v>575</v>
      </c>
      <c r="F762">
        <v>2420</v>
      </c>
      <c r="G762">
        <v>1159</v>
      </c>
      <c r="H762" s="200">
        <v>0.02</v>
      </c>
      <c r="I762">
        <f t="shared" si="96"/>
        <v>619</v>
      </c>
      <c r="J762" s="193">
        <v>0.01</v>
      </c>
      <c r="K762">
        <f t="shared" si="97"/>
        <v>708</v>
      </c>
      <c r="L762" s="62">
        <f t="shared" si="98"/>
        <v>737</v>
      </c>
      <c r="M762" s="304">
        <v>0.79</v>
      </c>
      <c r="N762" s="301">
        <f>VLOOKUP(1725,季財報!A:N,8,0)</f>
        <v>3</v>
      </c>
    </row>
    <row r="763" spans="1:14">
      <c r="A763" s="187">
        <v>1731</v>
      </c>
      <c r="C763">
        <v>22</v>
      </c>
      <c r="D763">
        <v>642</v>
      </c>
      <c r="E763">
        <v>560</v>
      </c>
      <c r="F763">
        <v>1719</v>
      </c>
      <c r="G763">
        <v>0</v>
      </c>
      <c r="H763" s="200">
        <v>0.02</v>
      </c>
      <c r="I763">
        <f t="shared" si="96"/>
        <v>619</v>
      </c>
      <c r="J763" s="193">
        <v>0.01</v>
      </c>
      <c r="K763">
        <f t="shared" si="97"/>
        <v>708</v>
      </c>
      <c r="L763" s="62">
        <f t="shared" si="98"/>
        <v>737</v>
      </c>
      <c r="M763" s="304">
        <v>19.73</v>
      </c>
      <c r="N763" s="301">
        <f>VLOOKUP(1731,季財報!A:N,8,0)</f>
        <v>2</v>
      </c>
    </row>
    <row r="764" spans="1:14">
      <c r="A764" s="187">
        <v>1735</v>
      </c>
      <c r="C764">
        <v>33</v>
      </c>
      <c r="D764">
        <v>668</v>
      </c>
      <c r="E764">
        <v>809</v>
      </c>
      <c r="F764">
        <v>1439</v>
      </c>
      <c r="G764">
        <v>914</v>
      </c>
      <c r="H764" s="200">
        <v>0.02</v>
      </c>
      <c r="I764">
        <f t="shared" si="96"/>
        <v>619</v>
      </c>
      <c r="J764" s="193">
        <v>0.01</v>
      </c>
      <c r="K764">
        <f t="shared" si="97"/>
        <v>708</v>
      </c>
      <c r="L764" s="62">
        <f t="shared" si="98"/>
        <v>737</v>
      </c>
      <c r="M764" s="304">
        <v>0.79</v>
      </c>
      <c r="N764" s="301">
        <f>VLOOKUP(1735,季財報!A:N,8,0)</f>
        <v>2</v>
      </c>
    </row>
    <row r="765" spans="1:14">
      <c r="A765" s="187">
        <v>1736</v>
      </c>
      <c r="C765">
        <v>156</v>
      </c>
      <c r="D765">
        <v>4980</v>
      </c>
      <c r="E765">
        <v>2074</v>
      </c>
      <c r="F765">
        <v>8640</v>
      </c>
      <c r="G765">
        <v>5335</v>
      </c>
      <c r="H765" s="200">
        <v>0.02</v>
      </c>
      <c r="I765">
        <f t="shared" si="96"/>
        <v>619</v>
      </c>
      <c r="J765" s="193">
        <v>0.01</v>
      </c>
      <c r="K765">
        <f t="shared" si="97"/>
        <v>708</v>
      </c>
      <c r="L765" s="62">
        <f t="shared" si="98"/>
        <v>737</v>
      </c>
      <c r="M765" s="304">
        <v>0.79</v>
      </c>
      <c r="N765" s="301">
        <f>VLOOKUP(1736,季財報!A:N,8,0)</f>
        <v>1</v>
      </c>
    </row>
    <row r="766" spans="1:14">
      <c r="A766" s="187">
        <v>1785</v>
      </c>
      <c r="C766">
        <v>199</v>
      </c>
      <c r="D766">
        <v>0</v>
      </c>
      <c r="E766">
        <v>8849</v>
      </c>
      <c r="F766">
        <v>9430</v>
      </c>
      <c r="G766">
        <v>8276</v>
      </c>
      <c r="H766" s="200">
        <v>0.02</v>
      </c>
      <c r="I766">
        <f t="shared" si="96"/>
        <v>619</v>
      </c>
      <c r="J766" s="193">
        <v>0.01</v>
      </c>
      <c r="K766">
        <f t="shared" si="97"/>
        <v>708</v>
      </c>
      <c r="L766" s="62">
        <f t="shared" si="98"/>
        <v>737</v>
      </c>
      <c r="M766" s="304">
        <v>1.29</v>
      </c>
      <c r="N766" s="301">
        <f>VLOOKUP(1785,季財報!A:N,8,0)</f>
        <v>1</v>
      </c>
    </row>
    <row r="767" spans="1:14">
      <c r="A767" s="187">
        <v>1813</v>
      </c>
      <c r="C767">
        <v>13</v>
      </c>
      <c r="D767">
        <v>376</v>
      </c>
      <c r="E767">
        <v>404</v>
      </c>
      <c r="F767">
        <v>1005</v>
      </c>
      <c r="G767">
        <v>0</v>
      </c>
      <c r="H767" s="200">
        <v>0.02</v>
      </c>
      <c r="I767">
        <f t="shared" si="96"/>
        <v>619</v>
      </c>
      <c r="J767" s="193">
        <v>0.01</v>
      </c>
      <c r="K767">
        <f t="shared" si="97"/>
        <v>708</v>
      </c>
      <c r="L767" s="62">
        <f t="shared" si="98"/>
        <v>737</v>
      </c>
      <c r="M767" s="304">
        <v>0.79</v>
      </c>
      <c r="N767" s="301">
        <f>VLOOKUP(1813,季財報!A:N,8,0)</f>
        <v>3</v>
      </c>
    </row>
    <row r="768" spans="1:14">
      <c r="A768" s="187">
        <v>2012</v>
      </c>
      <c r="C768">
        <v>69</v>
      </c>
      <c r="D768">
        <v>1097</v>
      </c>
      <c r="E768">
        <v>3431</v>
      </c>
      <c r="F768">
        <v>4071</v>
      </c>
      <c r="G768">
        <v>4126</v>
      </c>
      <c r="H768" s="200">
        <v>0.02</v>
      </c>
      <c r="I768">
        <f t="shared" si="96"/>
        <v>619</v>
      </c>
      <c r="J768" s="193">
        <v>0.01</v>
      </c>
      <c r="K768">
        <f t="shared" si="97"/>
        <v>708</v>
      </c>
      <c r="L768" s="62">
        <f t="shared" si="98"/>
        <v>737</v>
      </c>
      <c r="M768" s="304">
        <v>0.79</v>
      </c>
      <c r="N768" s="301">
        <f>VLOOKUP(2012,季財報!A:N,8,0)</f>
        <v>3</v>
      </c>
    </row>
    <row r="769" spans="1:14">
      <c r="A769" s="187">
        <v>2204</v>
      </c>
      <c r="C769">
        <v>381</v>
      </c>
      <c r="D769">
        <v>14535</v>
      </c>
      <c r="E769">
        <v>6600</v>
      </c>
      <c r="F769">
        <v>52475</v>
      </c>
      <c r="G769">
        <v>817</v>
      </c>
      <c r="H769" s="200">
        <v>0.02</v>
      </c>
      <c r="I769">
        <f t="shared" si="96"/>
        <v>619</v>
      </c>
      <c r="J769" s="193">
        <v>0.01</v>
      </c>
      <c r="K769">
        <f t="shared" si="97"/>
        <v>708</v>
      </c>
      <c r="L769" s="62">
        <f t="shared" si="98"/>
        <v>737</v>
      </c>
      <c r="M769" s="304">
        <v>0.79</v>
      </c>
      <c r="N769" s="301">
        <f>VLOOKUP(2204,季財報!A:N,8,0)</f>
        <v>3</v>
      </c>
    </row>
    <row r="770" spans="1:14">
      <c r="A770" s="187">
        <v>2302</v>
      </c>
      <c r="C770">
        <v>12</v>
      </c>
      <c r="D770">
        <v>315</v>
      </c>
      <c r="E770">
        <v>476</v>
      </c>
      <c r="F770">
        <v>1727</v>
      </c>
      <c r="G770">
        <v>111</v>
      </c>
      <c r="H770" s="200">
        <v>0.02</v>
      </c>
      <c r="I770">
        <f t="shared" ref="I770:I801" si="99">RANK(0.02,H:H,0)</f>
        <v>619</v>
      </c>
      <c r="J770" s="193">
        <v>0.01</v>
      </c>
      <c r="K770">
        <f t="shared" si="97"/>
        <v>708</v>
      </c>
      <c r="L770" s="62">
        <f t="shared" ref="L770:L801" si="100">RANK(1.14,M:M,0)</f>
        <v>737</v>
      </c>
      <c r="M770" s="304">
        <v>0.79</v>
      </c>
      <c r="N770" s="301">
        <f>VLOOKUP(2302,季財報!A:N,8,0)</f>
        <v>2</v>
      </c>
    </row>
    <row r="771" spans="1:14">
      <c r="A771" s="187">
        <v>2409</v>
      </c>
      <c r="C771">
        <v>3867</v>
      </c>
      <c r="D771">
        <v>23750</v>
      </c>
      <c r="E771">
        <v>216670</v>
      </c>
      <c r="F771">
        <v>214107</v>
      </c>
      <c r="G771">
        <v>51093</v>
      </c>
      <c r="H771" s="200">
        <v>0.02</v>
      </c>
      <c r="I771">
        <f t="shared" si="99"/>
        <v>619</v>
      </c>
      <c r="J771" s="193">
        <v>0.01</v>
      </c>
      <c r="K771">
        <f t="shared" si="97"/>
        <v>708</v>
      </c>
      <c r="L771" s="62">
        <f t="shared" si="100"/>
        <v>737</v>
      </c>
      <c r="M771" s="304">
        <v>0.79</v>
      </c>
      <c r="N771" s="301">
        <f>VLOOKUP(2409,季財報!A:N,8,0)</f>
        <v>1</v>
      </c>
    </row>
    <row r="772" spans="1:14">
      <c r="A772" s="187">
        <v>2462</v>
      </c>
      <c r="C772">
        <v>30</v>
      </c>
      <c r="D772">
        <v>1271</v>
      </c>
      <c r="E772">
        <v>365</v>
      </c>
      <c r="F772">
        <v>2148</v>
      </c>
      <c r="G772">
        <v>658</v>
      </c>
      <c r="H772" s="200">
        <v>0.02</v>
      </c>
      <c r="I772">
        <f t="shared" si="99"/>
        <v>619</v>
      </c>
      <c r="J772" s="193">
        <v>0.01</v>
      </c>
      <c r="K772">
        <f t="shared" si="97"/>
        <v>708</v>
      </c>
      <c r="L772" s="62">
        <f t="shared" si="100"/>
        <v>737</v>
      </c>
      <c r="M772" s="304">
        <v>0.79</v>
      </c>
      <c r="N772" s="301">
        <f>VLOOKUP(2462,季財報!A:N,8,0)</f>
        <v>2</v>
      </c>
    </row>
    <row r="773" spans="1:14">
      <c r="A773" s="187">
        <v>2542</v>
      </c>
      <c r="C773">
        <v>646</v>
      </c>
      <c r="D773">
        <v>29905</v>
      </c>
      <c r="E773">
        <v>927</v>
      </c>
      <c r="F773">
        <v>33540</v>
      </c>
      <c r="G773">
        <v>53491</v>
      </c>
      <c r="H773" s="200">
        <v>0.02</v>
      </c>
      <c r="I773">
        <f t="shared" si="99"/>
        <v>619</v>
      </c>
      <c r="J773" s="193">
        <v>0.01</v>
      </c>
      <c r="K773">
        <f t="shared" si="97"/>
        <v>708</v>
      </c>
      <c r="L773" s="62">
        <f t="shared" si="100"/>
        <v>737</v>
      </c>
      <c r="M773" s="304">
        <v>0.79</v>
      </c>
      <c r="N773" s="301">
        <f>VLOOKUP(2542,季財報!A:N,8,0)</f>
        <v>1</v>
      </c>
    </row>
    <row r="774" spans="1:14">
      <c r="A774" s="187">
        <v>2548</v>
      </c>
      <c r="C774">
        <v>343</v>
      </c>
      <c r="D774">
        <v>14822</v>
      </c>
      <c r="E774">
        <v>23</v>
      </c>
      <c r="F774">
        <v>14096</v>
      </c>
      <c r="G774">
        <v>14295</v>
      </c>
      <c r="H774" s="200">
        <v>0.02</v>
      </c>
      <c r="I774">
        <f t="shared" si="99"/>
        <v>619</v>
      </c>
      <c r="J774" s="193">
        <v>0.01</v>
      </c>
      <c r="K774">
        <f t="shared" si="97"/>
        <v>708</v>
      </c>
      <c r="L774" s="62">
        <f t="shared" si="100"/>
        <v>737</v>
      </c>
      <c r="M774" s="304">
        <v>0.79</v>
      </c>
      <c r="N774" s="301">
        <f>VLOOKUP(2548,季財報!A:N,8,0)</f>
        <v>1</v>
      </c>
    </row>
    <row r="775" spans="1:14">
      <c r="A775" s="187">
        <v>2910</v>
      </c>
      <c r="C775">
        <v>27</v>
      </c>
      <c r="D775">
        <v>0</v>
      </c>
      <c r="E775">
        <v>1392</v>
      </c>
      <c r="F775">
        <v>2188</v>
      </c>
      <c r="G775">
        <v>1731</v>
      </c>
      <c r="H775" s="200">
        <v>0.02</v>
      </c>
      <c r="I775">
        <f t="shared" si="99"/>
        <v>619</v>
      </c>
      <c r="J775" s="193">
        <v>0.01</v>
      </c>
      <c r="K775">
        <f t="shared" si="97"/>
        <v>708</v>
      </c>
      <c r="L775" s="62">
        <f t="shared" si="100"/>
        <v>737</v>
      </c>
      <c r="M775" s="304">
        <v>4.6500000000000004</v>
      </c>
      <c r="N775" s="301">
        <f>VLOOKUP(2910,季財報!A:N,8,0)</f>
        <v>1</v>
      </c>
    </row>
    <row r="776" spans="1:14">
      <c r="A776" s="187">
        <v>3052</v>
      </c>
      <c r="C776">
        <v>46</v>
      </c>
      <c r="D776">
        <v>2080</v>
      </c>
      <c r="E776">
        <v>201</v>
      </c>
      <c r="F776">
        <v>3035</v>
      </c>
      <c r="G776">
        <v>3516</v>
      </c>
      <c r="H776" s="200">
        <v>0.02</v>
      </c>
      <c r="I776">
        <f t="shared" si="99"/>
        <v>619</v>
      </c>
      <c r="J776" s="193">
        <v>0.01</v>
      </c>
      <c r="K776">
        <f t="shared" si="97"/>
        <v>708</v>
      </c>
      <c r="L776" s="62">
        <f t="shared" si="100"/>
        <v>737</v>
      </c>
      <c r="M776" s="304">
        <v>0.79</v>
      </c>
      <c r="N776" s="301">
        <f>VLOOKUP(3052,季財報!A:N,8,0)</f>
        <v>2</v>
      </c>
    </row>
    <row r="777" spans="1:14">
      <c r="A777" s="187">
        <v>3231</v>
      </c>
      <c r="C777">
        <v>1319</v>
      </c>
      <c r="D777">
        <v>30599</v>
      </c>
      <c r="E777">
        <v>38752</v>
      </c>
      <c r="F777">
        <v>68951</v>
      </c>
      <c r="G777">
        <v>62265</v>
      </c>
      <c r="H777" s="200">
        <v>0.02</v>
      </c>
      <c r="I777">
        <f t="shared" si="99"/>
        <v>619</v>
      </c>
      <c r="J777" s="193">
        <v>0.01</v>
      </c>
      <c r="K777">
        <f t="shared" si="97"/>
        <v>708</v>
      </c>
      <c r="L777" s="62">
        <f t="shared" si="100"/>
        <v>737</v>
      </c>
      <c r="M777" s="304">
        <v>0.79</v>
      </c>
      <c r="N777" s="301">
        <f>VLOOKUP(3231,季財報!A:N,8,0)</f>
        <v>3</v>
      </c>
    </row>
    <row r="778" spans="1:14">
      <c r="A778" s="187">
        <v>3315</v>
      </c>
      <c r="C778">
        <v>28</v>
      </c>
      <c r="D778">
        <v>1494</v>
      </c>
      <c r="E778">
        <v>15</v>
      </c>
      <c r="F778">
        <v>1610</v>
      </c>
      <c r="G778">
        <v>2199</v>
      </c>
      <c r="H778" s="200">
        <v>0.02</v>
      </c>
      <c r="I778">
        <f t="shared" si="99"/>
        <v>619</v>
      </c>
      <c r="J778" s="193">
        <v>0.01</v>
      </c>
      <c r="K778">
        <f t="shared" si="97"/>
        <v>708</v>
      </c>
      <c r="L778" s="62">
        <f t="shared" si="100"/>
        <v>737</v>
      </c>
      <c r="M778" s="304">
        <v>1.84</v>
      </c>
      <c r="N778" s="301">
        <f>VLOOKUP(3315,季財報!A:N,8,0)</f>
        <v>3</v>
      </c>
    </row>
    <row r="779" spans="1:14">
      <c r="A779" s="187">
        <v>4104</v>
      </c>
      <c r="C779">
        <v>81</v>
      </c>
      <c r="D779">
        <v>4169</v>
      </c>
      <c r="E779">
        <v>358</v>
      </c>
      <c r="F779">
        <v>7972</v>
      </c>
      <c r="G779">
        <v>966</v>
      </c>
      <c r="H779" s="200">
        <v>0.02</v>
      </c>
      <c r="I779">
        <f t="shared" si="99"/>
        <v>619</v>
      </c>
      <c r="J779" s="193">
        <v>0.01</v>
      </c>
      <c r="K779">
        <f t="shared" si="97"/>
        <v>708</v>
      </c>
      <c r="L779" s="62">
        <f t="shared" si="100"/>
        <v>737</v>
      </c>
      <c r="M779" s="304">
        <v>0.79</v>
      </c>
      <c r="N779" s="301">
        <f>VLOOKUP(4104,季財報!A:N,8,0)</f>
        <v>3</v>
      </c>
    </row>
    <row r="780" spans="1:14">
      <c r="A780" s="187">
        <v>4127</v>
      </c>
      <c r="C780">
        <v>13</v>
      </c>
      <c r="D780">
        <v>72</v>
      </c>
      <c r="E780">
        <v>759</v>
      </c>
      <c r="F780">
        <v>835</v>
      </c>
      <c r="G780">
        <v>191</v>
      </c>
      <c r="H780" s="200">
        <v>0.02</v>
      </c>
      <c r="I780">
        <f t="shared" si="99"/>
        <v>619</v>
      </c>
      <c r="J780" s="193">
        <v>0.01</v>
      </c>
      <c r="K780">
        <f t="shared" si="97"/>
        <v>708</v>
      </c>
      <c r="L780" s="62">
        <f t="shared" si="100"/>
        <v>737</v>
      </c>
      <c r="M780" s="304">
        <v>1.18</v>
      </c>
      <c r="N780" s="301">
        <f>VLOOKUP(4127,季財報!A:N,8,0)</f>
        <v>0</v>
      </c>
    </row>
    <row r="781" spans="1:14">
      <c r="A781" s="187">
        <v>9908</v>
      </c>
      <c r="C781">
        <v>131</v>
      </c>
      <c r="D781">
        <v>2947</v>
      </c>
      <c r="E781">
        <v>3963</v>
      </c>
      <c r="F781">
        <v>10597</v>
      </c>
      <c r="G781">
        <v>0</v>
      </c>
      <c r="H781" s="200">
        <v>0.02</v>
      </c>
      <c r="I781">
        <f t="shared" si="99"/>
        <v>619</v>
      </c>
      <c r="J781" s="193">
        <v>0.01</v>
      </c>
      <c r="K781">
        <f t="shared" si="97"/>
        <v>708</v>
      </c>
      <c r="L781" s="62">
        <f t="shared" si="100"/>
        <v>737</v>
      </c>
      <c r="M781" s="304">
        <v>1.36</v>
      </c>
      <c r="N781" s="301">
        <f>VLOOKUP(9908,季財報!A:N,8,0)</f>
        <v>4</v>
      </c>
    </row>
    <row r="782" spans="1:14">
      <c r="A782" s="187">
        <v>8432</v>
      </c>
      <c r="C782">
        <v>15</v>
      </c>
      <c r="D782">
        <v>777</v>
      </c>
      <c r="E782">
        <v>24</v>
      </c>
      <c r="F782">
        <v>1131</v>
      </c>
      <c r="G782">
        <v>0</v>
      </c>
      <c r="H782" s="200">
        <v>0.02</v>
      </c>
      <c r="I782">
        <f t="shared" si="99"/>
        <v>619</v>
      </c>
      <c r="J782" s="193">
        <v>0.01</v>
      </c>
      <c r="K782">
        <f t="shared" si="97"/>
        <v>708</v>
      </c>
      <c r="L782" s="62">
        <f t="shared" si="100"/>
        <v>737</v>
      </c>
      <c r="M782" s="304">
        <v>1.01</v>
      </c>
      <c r="N782" s="301">
        <f>VLOOKUP(8432,季財報!A:N,8,0)</f>
        <v>1</v>
      </c>
    </row>
    <row r="783" spans="1:14">
      <c r="A783" s="187">
        <v>8921</v>
      </c>
      <c r="C783">
        <v>10</v>
      </c>
      <c r="D783">
        <v>257</v>
      </c>
      <c r="E783">
        <v>367</v>
      </c>
      <c r="F783">
        <v>817</v>
      </c>
      <c r="G783">
        <v>0</v>
      </c>
      <c r="H783" s="200">
        <v>0.02</v>
      </c>
      <c r="I783">
        <f t="shared" si="99"/>
        <v>619</v>
      </c>
      <c r="J783" s="193">
        <v>0.01</v>
      </c>
      <c r="K783">
        <f t="shared" si="97"/>
        <v>708</v>
      </c>
      <c r="L783" s="62">
        <f t="shared" si="100"/>
        <v>737</v>
      </c>
      <c r="M783" s="304">
        <v>3.37</v>
      </c>
      <c r="N783" s="301">
        <f>VLOOKUP(8921,季財報!A:N,8,0)</f>
        <v>3</v>
      </c>
    </row>
    <row r="784" spans="1:14">
      <c r="A784" s="187">
        <v>6155</v>
      </c>
      <c r="C784">
        <v>18</v>
      </c>
      <c r="D784">
        <v>743</v>
      </c>
      <c r="E784">
        <v>401</v>
      </c>
      <c r="F784">
        <v>1410</v>
      </c>
      <c r="G784">
        <v>546</v>
      </c>
      <c r="H784" s="200">
        <v>0.02</v>
      </c>
      <c r="I784">
        <f t="shared" si="99"/>
        <v>619</v>
      </c>
      <c r="J784" s="193">
        <v>0.01</v>
      </c>
      <c r="K784">
        <f t="shared" si="97"/>
        <v>708</v>
      </c>
      <c r="L784" s="62">
        <f t="shared" si="100"/>
        <v>737</v>
      </c>
      <c r="M784" s="304">
        <v>0.79</v>
      </c>
      <c r="N784" s="301">
        <f>VLOOKUP(6155,季財報!A:N,8,0)</f>
        <v>4</v>
      </c>
    </row>
    <row r="785" spans="1:14">
      <c r="A785" s="187">
        <v>6190</v>
      </c>
      <c r="C785">
        <v>25</v>
      </c>
      <c r="D785">
        <v>521</v>
      </c>
      <c r="E785">
        <v>771</v>
      </c>
      <c r="F785">
        <v>1611</v>
      </c>
      <c r="G785">
        <v>1379</v>
      </c>
      <c r="H785" s="200">
        <v>0.02</v>
      </c>
      <c r="I785">
        <f t="shared" si="99"/>
        <v>619</v>
      </c>
      <c r="J785" s="193">
        <v>0.01</v>
      </c>
      <c r="K785">
        <f t="shared" si="97"/>
        <v>708</v>
      </c>
      <c r="L785" s="62">
        <f t="shared" si="100"/>
        <v>737</v>
      </c>
      <c r="M785" s="304">
        <v>0.79</v>
      </c>
      <c r="N785" s="301">
        <f>VLOOKUP(6190,季財報!A:N,8,0)</f>
        <v>2</v>
      </c>
    </row>
    <row r="786" spans="1:14">
      <c r="A786" s="187">
        <v>6208</v>
      </c>
      <c r="C786">
        <v>22</v>
      </c>
      <c r="D786">
        <v>767</v>
      </c>
      <c r="E786">
        <v>647</v>
      </c>
      <c r="F786">
        <v>1738</v>
      </c>
      <c r="G786">
        <v>161</v>
      </c>
      <c r="H786" s="200">
        <v>0.02</v>
      </c>
      <c r="I786">
        <f t="shared" si="99"/>
        <v>619</v>
      </c>
      <c r="J786" s="193">
        <v>0.01</v>
      </c>
      <c r="K786">
        <f t="shared" si="97"/>
        <v>708</v>
      </c>
      <c r="L786" s="62">
        <f t="shared" si="100"/>
        <v>737</v>
      </c>
      <c r="M786" s="304">
        <v>1.36</v>
      </c>
      <c r="N786" s="301">
        <f>VLOOKUP(6208,季財報!A:N,8,0)</f>
        <v>3</v>
      </c>
    </row>
    <row r="787" spans="1:14">
      <c r="A787" s="187">
        <v>6229</v>
      </c>
      <c r="C787">
        <v>7</v>
      </c>
      <c r="D787">
        <v>363</v>
      </c>
      <c r="E787">
        <v>35</v>
      </c>
      <c r="F787">
        <v>467</v>
      </c>
      <c r="G787">
        <v>0</v>
      </c>
      <c r="H787" s="200">
        <v>0.02</v>
      </c>
      <c r="I787">
        <f t="shared" si="99"/>
        <v>619</v>
      </c>
      <c r="J787" s="193">
        <v>0.01</v>
      </c>
      <c r="K787">
        <f t="shared" si="97"/>
        <v>708</v>
      </c>
      <c r="L787" s="62">
        <f t="shared" si="100"/>
        <v>737</v>
      </c>
      <c r="M787" s="304">
        <v>0.79</v>
      </c>
      <c r="N787" s="301">
        <f>VLOOKUP(6229,季財報!A:N,8,0)</f>
        <v>5</v>
      </c>
    </row>
    <row r="788" spans="1:14">
      <c r="A788" s="187">
        <v>5305</v>
      </c>
      <c r="C788">
        <v>134</v>
      </c>
      <c r="D788">
        <v>2536</v>
      </c>
      <c r="E788">
        <v>4108</v>
      </c>
      <c r="F788">
        <v>10224</v>
      </c>
      <c r="G788">
        <v>3298</v>
      </c>
      <c r="H788" s="200">
        <v>0.02</v>
      </c>
      <c r="I788">
        <f t="shared" si="99"/>
        <v>619</v>
      </c>
      <c r="J788" s="193">
        <v>0.01</v>
      </c>
      <c r="K788">
        <f t="shared" si="97"/>
        <v>708</v>
      </c>
      <c r="L788" s="62">
        <f t="shared" si="100"/>
        <v>737</v>
      </c>
      <c r="M788" s="304">
        <v>0.79</v>
      </c>
      <c r="N788" s="301">
        <f>VLOOKUP(5305,季財報!A:N,8,0)</f>
        <v>1</v>
      </c>
    </row>
    <row r="789" spans="1:14">
      <c r="A789" s="187">
        <v>5452</v>
      </c>
      <c r="C789">
        <v>36</v>
      </c>
      <c r="D789">
        <v>1666</v>
      </c>
      <c r="E789">
        <v>455</v>
      </c>
      <c r="F789">
        <v>2206</v>
      </c>
      <c r="G789">
        <v>1241</v>
      </c>
      <c r="H789" s="200">
        <v>0.02</v>
      </c>
      <c r="I789">
        <f t="shared" si="99"/>
        <v>619</v>
      </c>
      <c r="J789" s="193">
        <v>0.01</v>
      </c>
      <c r="K789">
        <f t="shared" si="97"/>
        <v>708</v>
      </c>
      <c r="L789" s="62">
        <f t="shared" si="100"/>
        <v>737</v>
      </c>
      <c r="M789" s="304">
        <v>3.27</v>
      </c>
      <c r="N789" s="301">
        <f>VLOOKUP(5452,季財報!A:N,8,0)</f>
        <v>1</v>
      </c>
    </row>
    <row r="790" spans="1:14">
      <c r="A790" s="187">
        <v>5601</v>
      </c>
      <c r="C790">
        <v>7</v>
      </c>
      <c r="D790">
        <v>74</v>
      </c>
      <c r="E790">
        <v>232</v>
      </c>
      <c r="F790">
        <v>1377</v>
      </c>
      <c r="G790">
        <v>0</v>
      </c>
      <c r="H790" s="200">
        <v>0.02</v>
      </c>
      <c r="I790">
        <f t="shared" si="99"/>
        <v>619</v>
      </c>
      <c r="J790" s="193">
        <v>0.01</v>
      </c>
      <c r="K790">
        <f t="shared" si="97"/>
        <v>708</v>
      </c>
      <c r="L790" s="62">
        <f t="shared" si="100"/>
        <v>737</v>
      </c>
      <c r="M790" s="304">
        <v>1.18</v>
      </c>
      <c r="N790" s="301">
        <f>VLOOKUP(5601,季財報!A:N,8,0)</f>
        <v>4</v>
      </c>
    </row>
    <row r="791" spans="1:14">
      <c r="A791" s="187">
        <v>4420</v>
      </c>
      <c r="C791">
        <v>7</v>
      </c>
      <c r="D791">
        <v>0</v>
      </c>
      <c r="E791">
        <v>323</v>
      </c>
      <c r="F791">
        <v>536</v>
      </c>
      <c r="G791">
        <v>130</v>
      </c>
      <c r="H791" s="200">
        <v>0.02</v>
      </c>
      <c r="I791">
        <f t="shared" si="99"/>
        <v>619</v>
      </c>
      <c r="J791" s="193">
        <v>0.01</v>
      </c>
      <c r="K791">
        <f t="shared" si="97"/>
        <v>708</v>
      </c>
      <c r="L791" s="62">
        <f t="shared" si="100"/>
        <v>737</v>
      </c>
      <c r="M791" s="304">
        <v>0.79</v>
      </c>
      <c r="N791" s="301">
        <f>VLOOKUP(4420,季財報!A:N,8,0)</f>
        <v>1</v>
      </c>
    </row>
    <row r="792" spans="1:14">
      <c r="A792" s="187">
        <v>4550</v>
      </c>
      <c r="C792">
        <v>9</v>
      </c>
      <c r="D792">
        <v>360</v>
      </c>
      <c r="E792">
        <v>117</v>
      </c>
      <c r="F792">
        <v>652</v>
      </c>
      <c r="G792">
        <v>0</v>
      </c>
      <c r="H792" s="200">
        <v>0.02</v>
      </c>
      <c r="I792">
        <f t="shared" si="99"/>
        <v>619</v>
      </c>
      <c r="J792" s="193">
        <v>0.01</v>
      </c>
      <c r="K792">
        <f t="shared" si="97"/>
        <v>708</v>
      </c>
      <c r="L792" s="62">
        <f t="shared" si="100"/>
        <v>737</v>
      </c>
      <c r="M792" s="304">
        <v>0.79</v>
      </c>
      <c r="N792" s="301">
        <f>VLOOKUP(4550,季財報!A:N,8,0)</f>
        <v>1</v>
      </c>
    </row>
    <row r="793" spans="1:14">
      <c r="A793" s="187">
        <v>4711</v>
      </c>
      <c r="C793">
        <v>17</v>
      </c>
      <c r="D793">
        <v>702</v>
      </c>
      <c r="E793">
        <v>414</v>
      </c>
      <c r="F793">
        <v>1083</v>
      </c>
      <c r="G793">
        <v>193</v>
      </c>
      <c r="H793" s="200">
        <v>0.02</v>
      </c>
      <c r="I793">
        <f t="shared" si="99"/>
        <v>619</v>
      </c>
      <c r="J793" s="193">
        <v>0.01</v>
      </c>
      <c r="K793">
        <f t="shared" si="97"/>
        <v>708</v>
      </c>
      <c r="L793" s="62">
        <f t="shared" si="100"/>
        <v>737</v>
      </c>
      <c r="M793" s="304">
        <v>6.28</v>
      </c>
      <c r="N793" s="301">
        <f>VLOOKUP(4711,季財報!A:N,8,0)</f>
        <v>3</v>
      </c>
    </row>
    <row r="794" spans="1:14">
      <c r="A794" s="187">
        <v>4934</v>
      </c>
      <c r="C794">
        <v>84</v>
      </c>
      <c r="D794">
        <v>831</v>
      </c>
      <c r="E794">
        <v>2989</v>
      </c>
      <c r="F794">
        <v>5160</v>
      </c>
      <c r="G794">
        <v>817</v>
      </c>
      <c r="H794" s="200">
        <v>0.02</v>
      </c>
      <c r="I794">
        <f t="shared" si="99"/>
        <v>619</v>
      </c>
      <c r="J794" s="193">
        <v>0.01</v>
      </c>
      <c r="K794">
        <f t="shared" si="97"/>
        <v>708</v>
      </c>
      <c r="L794" s="62">
        <f t="shared" si="100"/>
        <v>737</v>
      </c>
      <c r="M794" s="304">
        <v>0.79</v>
      </c>
      <c r="N794" s="301">
        <f>VLOOKUP(4934,季財報!A:N,8,0)</f>
        <v>4</v>
      </c>
    </row>
    <row r="795" spans="1:14">
      <c r="A795" s="187">
        <v>6175</v>
      </c>
      <c r="C795">
        <v>39</v>
      </c>
      <c r="D795">
        <v>572</v>
      </c>
      <c r="E795">
        <v>1506</v>
      </c>
      <c r="F795">
        <v>2264</v>
      </c>
      <c r="G795">
        <v>944</v>
      </c>
      <c r="H795" s="200">
        <v>0.02</v>
      </c>
      <c r="I795">
        <f t="shared" si="99"/>
        <v>619</v>
      </c>
      <c r="J795" s="193">
        <v>0.01</v>
      </c>
      <c r="K795">
        <f t="shared" si="97"/>
        <v>708</v>
      </c>
      <c r="L795" s="62">
        <f t="shared" si="100"/>
        <v>737</v>
      </c>
      <c r="M795" s="304">
        <v>2.76</v>
      </c>
      <c r="N795" s="301">
        <f>VLOOKUP(6175,季財報!A:N,8,0)</f>
        <v>1</v>
      </c>
    </row>
    <row r="796" spans="1:14">
      <c r="A796" s="187">
        <v>1467</v>
      </c>
      <c r="C796">
        <v>60</v>
      </c>
      <c r="D796">
        <v>1546</v>
      </c>
      <c r="E796">
        <v>2157</v>
      </c>
      <c r="F796">
        <v>2914</v>
      </c>
      <c r="G796">
        <v>1407</v>
      </c>
      <c r="H796" s="200">
        <v>0.02</v>
      </c>
      <c r="I796">
        <f t="shared" si="99"/>
        <v>619</v>
      </c>
      <c r="J796" s="193">
        <v>0.01</v>
      </c>
      <c r="K796">
        <f t="shared" si="97"/>
        <v>708</v>
      </c>
      <c r="L796" s="62">
        <f t="shared" si="100"/>
        <v>737</v>
      </c>
      <c r="M796" s="304">
        <v>14.75</v>
      </c>
      <c r="N796" s="301">
        <f>VLOOKUP(1467,季財報!A:N,8,0)</f>
        <v>1</v>
      </c>
    </row>
    <row r="797" spans="1:14">
      <c r="A797" s="187">
        <v>1474</v>
      </c>
      <c r="C797">
        <v>32</v>
      </c>
      <c r="D797">
        <v>484</v>
      </c>
      <c r="E797">
        <v>1050</v>
      </c>
      <c r="F797">
        <v>1835</v>
      </c>
      <c r="G797">
        <v>894</v>
      </c>
      <c r="H797" s="200">
        <v>0.02</v>
      </c>
      <c r="I797">
        <f t="shared" si="99"/>
        <v>619</v>
      </c>
      <c r="J797" s="193">
        <v>0.01</v>
      </c>
      <c r="K797">
        <f t="shared" si="97"/>
        <v>708</v>
      </c>
      <c r="L797" s="62">
        <f t="shared" si="100"/>
        <v>737</v>
      </c>
      <c r="M797" s="304">
        <v>1.9</v>
      </c>
      <c r="N797" s="301">
        <f>VLOOKUP(1474,季財報!A:N,8,0)</f>
        <v>3</v>
      </c>
    </row>
    <row r="798" spans="1:14">
      <c r="A798" s="187">
        <v>1615</v>
      </c>
      <c r="C798">
        <v>21</v>
      </c>
      <c r="D798">
        <v>253</v>
      </c>
      <c r="E798">
        <v>868</v>
      </c>
      <c r="F798">
        <v>1464</v>
      </c>
      <c r="G798">
        <v>498</v>
      </c>
      <c r="H798" s="200">
        <v>0.02</v>
      </c>
      <c r="I798">
        <f t="shared" si="99"/>
        <v>619</v>
      </c>
      <c r="J798" s="193">
        <v>0.01</v>
      </c>
      <c r="K798">
        <f t="shared" si="97"/>
        <v>708</v>
      </c>
      <c r="L798" s="62">
        <f t="shared" si="100"/>
        <v>737</v>
      </c>
      <c r="M798" s="304">
        <v>1.59</v>
      </c>
      <c r="N798" s="301">
        <f>VLOOKUP(1615,季財報!A:N,8,0)</f>
        <v>2</v>
      </c>
    </row>
    <row r="799" spans="1:14">
      <c r="A799" s="187">
        <v>1722</v>
      </c>
      <c r="C799">
        <v>709</v>
      </c>
      <c r="D799">
        <v>15805</v>
      </c>
      <c r="E799">
        <v>27283</v>
      </c>
      <c r="F799">
        <v>51899</v>
      </c>
      <c r="G799">
        <v>801</v>
      </c>
      <c r="H799" s="200">
        <v>0.02</v>
      </c>
      <c r="I799">
        <f t="shared" si="99"/>
        <v>619</v>
      </c>
      <c r="J799" s="193">
        <v>0.01</v>
      </c>
      <c r="K799">
        <f t="shared" si="97"/>
        <v>708</v>
      </c>
      <c r="L799" s="62">
        <f t="shared" si="100"/>
        <v>737</v>
      </c>
      <c r="M799" s="304">
        <v>1.58</v>
      </c>
      <c r="N799" s="301">
        <f>VLOOKUP(1722,季財報!A:N,8,0)</f>
        <v>3</v>
      </c>
    </row>
    <row r="800" spans="1:14">
      <c r="A800" s="187">
        <v>2423</v>
      </c>
      <c r="C800">
        <v>32</v>
      </c>
      <c r="D800">
        <v>1057</v>
      </c>
      <c r="E800">
        <v>881</v>
      </c>
      <c r="F800">
        <v>2018</v>
      </c>
      <c r="G800">
        <v>204</v>
      </c>
      <c r="H800" s="200">
        <v>0.02</v>
      </c>
      <c r="I800">
        <f t="shared" si="99"/>
        <v>619</v>
      </c>
      <c r="J800" s="193">
        <v>0.01</v>
      </c>
      <c r="K800">
        <f t="shared" si="97"/>
        <v>708</v>
      </c>
      <c r="L800" s="62">
        <f t="shared" si="100"/>
        <v>737</v>
      </c>
      <c r="M800" s="304">
        <v>1.9</v>
      </c>
      <c r="N800" s="301">
        <f>VLOOKUP(2423,季財報!A:N,8,0)</f>
        <v>2</v>
      </c>
    </row>
    <row r="801" spans="1:14">
      <c r="A801" s="187">
        <v>2466</v>
      </c>
      <c r="C801">
        <v>29</v>
      </c>
      <c r="D801">
        <v>831</v>
      </c>
      <c r="E801">
        <v>890</v>
      </c>
      <c r="F801">
        <v>1602</v>
      </c>
      <c r="G801">
        <v>836</v>
      </c>
      <c r="H801" s="200">
        <v>0.02</v>
      </c>
      <c r="I801">
        <f t="shared" si="99"/>
        <v>619</v>
      </c>
      <c r="J801" s="193">
        <v>0.01</v>
      </c>
      <c r="K801">
        <f t="shared" si="97"/>
        <v>708</v>
      </c>
      <c r="L801" s="62">
        <f t="shared" si="100"/>
        <v>737</v>
      </c>
      <c r="M801" s="304">
        <v>0.79</v>
      </c>
      <c r="N801" s="301">
        <f>VLOOKUP(2466,季財報!A:N,8,0)</f>
        <v>3</v>
      </c>
    </row>
    <row r="802" spans="1:14">
      <c r="A802" s="187">
        <v>2482</v>
      </c>
      <c r="C802">
        <v>12</v>
      </c>
      <c r="D802">
        <v>496</v>
      </c>
      <c r="E802">
        <v>302</v>
      </c>
      <c r="F802">
        <v>859</v>
      </c>
      <c r="G802">
        <v>60</v>
      </c>
      <c r="H802" s="200">
        <v>0.02</v>
      </c>
      <c r="I802">
        <f t="shared" ref="I802:I803" si="101">RANK(0.02,H:H,0)</f>
        <v>619</v>
      </c>
      <c r="J802" s="193">
        <v>0.01</v>
      </c>
      <c r="K802">
        <f t="shared" ref="K802:K865" si="102">RANK(0.01,J:J,0)</f>
        <v>708</v>
      </c>
      <c r="L802" s="62">
        <f t="shared" ref="L802:L803" si="103">RANK(1.14,M:M,0)</f>
        <v>737</v>
      </c>
      <c r="M802" s="304">
        <v>0.79</v>
      </c>
      <c r="N802" s="301">
        <f>VLOOKUP(2482,季財報!A:N,8,0)</f>
        <v>6</v>
      </c>
    </row>
    <row r="803" spans="1:14">
      <c r="A803" s="187">
        <v>2706</v>
      </c>
      <c r="C803">
        <v>57</v>
      </c>
      <c r="D803">
        <v>2076</v>
      </c>
      <c r="E803">
        <v>386</v>
      </c>
      <c r="F803">
        <v>7670</v>
      </c>
      <c r="G803">
        <v>0</v>
      </c>
      <c r="H803" s="200">
        <v>0.02</v>
      </c>
      <c r="I803">
        <f t="shared" si="101"/>
        <v>619</v>
      </c>
      <c r="J803" s="193">
        <v>0.01</v>
      </c>
      <c r="K803">
        <f t="shared" si="102"/>
        <v>708</v>
      </c>
      <c r="L803" s="62">
        <f t="shared" si="103"/>
        <v>737</v>
      </c>
      <c r="M803" s="304">
        <v>0.79</v>
      </c>
      <c r="N803" s="301">
        <f>VLOOKUP(2706,季財報!A:N,8,0)</f>
        <v>4</v>
      </c>
    </row>
    <row r="804" spans="1:14">
      <c r="A804" s="187">
        <v>9944</v>
      </c>
      <c r="C804">
        <v>28</v>
      </c>
      <c r="D804">
        <v>833</v>
      </c>
      <c r="E804">
        <v>2335</v>
      </c>
      <c r="F804">
        <v>3183</v>
      </c>
      <c r="G804">
        <v>1016</v>
      </c>
      <c r="H804" s="200">
        <v>0.01</v>
      </c>
      <c r="I804">
        <f t="shared" ref="I804:I835" si="104">RANK(0.01,H:H,0)</f>
        <v>796</v>
      </c>
      <c r="J804" s="193">
        <v>0.01</v>
      </c>
      <c r="K804">
        <f t="shared" si="102"/>
        <v>708</v>
      </c>
      <c r="L804" s="62">
        <f t="shared" ref="L804:L835" si="105">RANK(1.01,M:M,0)</f>
        <v>803</v>
      </c>
      <c r="M804" s="304">
        <v>0.79</v>
      </c>
      <c r="N804" s="301">
        <f>VLOOKUP(9944,季財報!A:N,8,0)</f>
        <v>2</v>
      </c>
    </row>
    <row r="805" spans="1:14">
      <c r="A805" s="187">
        <v>8937</v>
      </c>
      <c r="C805">
        <v>6</v>
      </c>
      <c r="D805">
        <v>552</v>
      </c>
      <c r="E805">
        <v>165</v>
      </c>
      <c r="F805">
        <v>800</v>
      </c>
      <c r="G805">
        <v>0</v>
      </c>
      <c r="H805" s="200">
        <v>0.01</v>
      </c>
      <c r="I805">
        <f t="shared" si="104"/>
        <v>796</v>
      </c>
      <c r="J805" s="193">
        <v>0.01</v>
      </c>
      <c r="K805">
        <f t="shared" si="102"/>
        <v>708</v>
      </c>
      <c r="L805" s="62">
        <f t="shared" si="105"/>
        <v>803</v>
      </c>
      <c r="M805" s="304">
        <v>0.79</v>
      </c>
      <c r="N805" s="301">
        <f>VLOOKUP(8937,季財報!A:N,8,0)</f>
        <v>5</v>
      </c>
    </row>
    <row r="806" spans="1:14">
      <c r="A806" s="187">
        <v>9802</v>
      </c>
      <c r="C806">
        <v>52</v>
      </c>
      <c r="D806">
        <v>926</v>
      </c>
      <c r="E806">
        <v>4456</v>
      </c>
      <c r="F806">
        <v>5594</v>
      </c>
      <c r="G806">
        <v>1343</v>
      </c>
      <c r="H806" s="200">
        <v>0.01</v>
      </c>
      <c r="I806">
        <f t="shared" si="104"/>
        <v>796</v>
      </c>
      <c r="J806" s="193">
        <v>0.01</v>
      </c>
      <c r="K806">
        <f t="shared" si="102"/>
        <v>708</v>
      </c>
      <c r="L806" s="62">
        <f t="shared" si="105"/>
        <v>803</v>
      </c>
      <c r="M806" s="304">
        <v>6.36</v>
      </c>
      <c r="N806" s="301">
        <f>VLOOKUP(9802,季財報!A:N,8,0)</f>
        <v>2</v>
      </c>
    </row>
    <row r="807" spans="1:14">
      <c r="A807" s="187">
        <v>8463</v>
      </c>
      <c r="C807">
        <v>38</v>
      </c>
      <c r="D807">
        <v>506</v>
      </c>
      <c r="E807">
        <v>2905</v>
      </c>
      <c r="F807">
        <v>2373</v>
      </c>
      <c r="G807">
        <v>360</v>
      </c>
      <c r="H807" s="200">
        <v>0.01</v>
      </c>
      <c r="I807">
        <f t="shared" si="104"/>
        <v>796</v>
      </c>
      <c r="J807" s="193">
        <v>0.01</v>
      </c>
      <c r="K807">
        <f t="shared" si="102"/>
        <v>708</v>
      </c>
      <c r="L807" s="62">
        <f t="shared" si="105"/>
        <v>803</v>
      </c>
      <c r="M807" s="304">
        <v>0.79</v>
      </c>
      <c r="N807" s="301">
        <f>VLOOKUP(8463,季財報!A:N,8,0)</f>
        <v>1</v>
      </c>
    </row>
    <row r="808" spans="1:14">
      <c r="A808" s="187">
        <v>8905</v>
      </c>
      <c r="C808">
        <v>32</v>
      </c>
      <c r="D808">
        <v>1618</v>
      </c>
      <c r="E808">
        <v>1018</v>
      </c>
      <c r="F808">
        <v>2343</v>
      </c>
      <c r="G808">
        <v>1124</v>
      </c>
      <c r="H808" s="200">
        <v>0.01</v>
      </c>
      <c r="I808">
        <f t="shared" si="104"/>
        <v>796</v>
      </c>
      <c r="J808" s="193">
        <v>0.01</v>
      </c>
      <c r="K808">
        <f t="shared" si="102"/>
        <v>708</v>
      </c>
      <c r="L808" s="62">
        <f t="shared" si="105"/>
        <v>803</v>
      </c>
      <c r="M808" s="304">
        <v>0.79</v>
      </c>
      <c r="N808" s="301">
        <f>VLOOKUP(8905,季財報!A:N,8,0)</f>
        <v>1</v>
      </c>
    </row>
    <row r="809" spans="1:14">
      <c r="A809" s="187">
        <v>9931</v>
      </c>
      <c r="C809">
        <v>13</v>
      </c>
      <c r="D809">
        <v>0</v>
      </c>
      <c r="E809">
        <v>2254</v>
      </c>
      <c r="F809">
        <v>1658</v>
      </c>
      <c r="G809">
        <v>130</v>
      </c>
      <c r="H809" s="200">
        <v>0.01</v>
      </c>
      <c r="I809">
        <f t="shared" si="104"/>
        <v>796</v>
      </c>
      <c r="J809" s="193">
        <v>0.01</v>
      </c>
      <c r="K809">
        <f t="shared" si="102"/>
        <v>708</v>
      </c>
      <c r="L809" s="62">
        <f t="shared" si="105"/>
        <v>803</v>
      </c>
      <c r="M809" s="304">
        <v>0.79</v>
      </c>
      <c r="N809" s="301">
        <f>VLOOKUP(9931,季財報!A:N,8,0)</f>
        <v>2</v>
      </c>
    </row>
    <row r="810" spans="1:14">
      <c r="A810" s="187">
        <v>8421</v>
      </c>
      <c r="C810">
        <v>8</v>
      </c>
      <c r="D810">
        <v>23</v>
      </c>
      <c r="E810">
        <v>895</v>
      </c>
      <c r="F810">
        <v>494</v>
      </c>
      <c r="G810">
        <v>506</v>
      </c>
      <c r="H810" s="200">
        <v>0.01</v>
      </c>
      <c r="I810">
        <f t="shared" si="104"/>
        <v>796</v>
      </c>
      <c r="J810" s="193">
        <v>0.01</v>
      </c>
      <c r="K810">
        <f t="shared" si="102"/>
        <v>708</v>
      </c>
      <c r="L810" s="62">
        <f t="shared" si="105"/>
        <v>803</v>
      </c>
      <c r="M810" s="304">
        <v>0.79</v>
      </c>
      <c r="N810" s="301">
        <f>VLOOKUP(8421,季財報!A:N,8,0)</f>
        <v>5</v>
      </c>
    </row>
    <row r="811" spans="1:14">
      <c r="A811" s="187">
        <v>8087</v>
      </c>
      <c r="C811">
        <v>2</v>
      </c>
      <c r="D811">
        <v>130</v>
      </c>
      <c r="E811">
        <v>229</v>
      </c>
      <c r="F811">
        <v>303</v>
      </c>
      <c r="G811">
        <v>22</v>
      </c>
      <c r="H811" s="200">
        <v>0.01</v>
      </c>
      <c r="I811">
        <f t="shared" si="104"/>
        <v>796</v>
      </c>
      <c r="J811" s="193">
        <v>0.01</v>
      </c>
      <c r="K811">
        <f t="shared" si="102"/>
        <v>708</v>
      </c>
      <c r="L811" s="62">
        <f t="shared" si="105"/>
        <v>803</v>
      </c>
      <c r="M811" s="304">
        <v>0.79</v>
      </c>
      <c r="N811" s="301">
        <f>VLOOKUP(8087,季財報!A:N,8,0)</f>
        <v>2</v>
      </c>
    </row>
    <row r="812" spans="1:14">
      <c r="A812" s="187">
        <v>8401</v>
      </c>
      <c r="C812">
        <v>7</v>
      </c>
      <c r="D812">
        <v>308</v>
      </c>
      <c r="E812">
        <v>839</v>
      </c>
      <c r="F812">
        <v>866</v>
      </c>
      <c r="G812">
        <v>160</v>
      </c>
      <c r="H812" s="200">
        <v>0.01</v>
      </c>
      <c r="I812">
        <f t="shared" si="104"/>
        <v>796</v>
      </c>
      <c r="J812" s="193">
        <v>0.01</v>
      </c>
      <c r="K812">
        <f t="shared" si="102"/>
        <v>708</v>
      </c>
      <c r="L812" s="62">
        <f t="shared" si="105"/>
        <v>803</v>
      </c>
      <c r="M812" s="304">
        <v>0.79</v>
      </c>
      <c r="N812" s="301">
        <f>VLOOKUP(8401,季財報!A:N,8,0)</f>
        <v>1</v>
      </c>
    </row>
    <row r="813" spans="1:14">
      <c r="A813" s="187">
        <v>8443</v>
      </c>
      <c r="C813">
        <v>11</v>
      </c>
      <c r="D813">
        <v>1287</v>
      </c>
      <c r="E813">
        <v>312</v>
      </c>
      <c r="F813">
        <v>1660</v>
      </c>
      <c r="G813">
        <v>1</v>
      </c>
      <c r="H813" s="200">
        <v>0.01</v>
      </c>
      <c r="I813">
        <f t="shared" si="104"/>
        <v>796</v>
      </c>
      <c r="J813" s="193">
        <v>0.01</v>
      </c>
      <c r="K813">
        <f t="shared" si="102"/>
        <v>708</v>
      </c>
      <c r="L813" s="62">
        <f t="shared" si="105"/>
        <v>803</v>
      </c>
      <c r="M813" s="304">
        <v>0.79</v>
      </c>
      <c r="N813" s="301">
        <f>VLOOKUP(8443,季財報!A:N,8,0)</f>
        <v>1</v>
      </c>
    </row>
    <row r="814" spans="1:14">
      <c r="A814" s="187">
        <v>6173</v>
      </c>
      <c r="C814">
        <v>34</v>
      </c>
      <c r="D814">
        <v>1459</v>
      </c>
      <c r="E814">
        <v>822</v>
      </c>
      <c r="F814">
        <v>2764</v>
      </c>
      <c r="G814">
        <v>240</v>
      </c>
      <c r="H814" s="200">
        <v>0.01</v>
      </c>
      <c r="I814">
        <f t="shared" si="104"/>
        <v>796</v>
      </c>
      <c r="J814" s="193">
        <v>0.01</v>
      </c>
      <c r="K814">
        <f t="shared" si="102"/>
        <v>708</v>
      </c>
      <c r="L814" s="62">
        <f t="shared" si="105"/>
        <v>803</v>
      </c>
      <c r="M814" s="304">
        <v>0.79</v>
      </c>
      <c r="N814" s="301">
        <f>VLOOKUP(6173,季財報!A:N,8,0)</f>
        <v>1</v>
      </c>
    </row>
    <row r="815" spans="1:14">
      <c r="A815" s="187">
        <v>6244</v>
      </c>
      <c r="C815">
        <v>203</v>
      </c>
      <c r="D815">
        <v>5091</v>
      </c>
      <c r="E815">
        <v>11608</v>
      </c>
      <c r="F815">
        <v>13864</v>
      </c>
      <c r="G815">
        <v>5041</v>
      </c>
      <c r="H815" s="200">
        <v>0.01</v>
      </c>
      <c r="I815">
        <f t="shared" si="104"/>
        <v>796</v>
      </c>
      <c r="J815" s="193">
        <v>0.01</v>
      </c>
      <c r="K815">
        <f t="shared" si="102"/>
        <v>708</v>
      </c>
      <c r="L815" s="62">
        <f t="shared" si="105"/>
        <v>803</v>
      </c>
      <c r="M815" s="304">
        <v>0.79</v>
      </c>
      <c r="N815" s="301">
        <f>VLOOKUP(6244,季財報!A:N,8,0)</f>
        <v>3</v>
      </c>
    </row>
    <row r="816" spans="1:14">
      <c r="A816" s="187">
        <v>6405</v>
      </c>
      <c r="C816">
        <v>28</v>
      </c>
      <c r="D816">
        <v>654</v>
      </c>
      <c r="E816">
        <v>2055</v>
      </c>
      <c r="F816">
        <v>1964</v>
      </c>
      <c r="G816">
        <v>77</v>
      </c>
      <c r="H816" s="200">
        <v>0.01</v>
      </c>
      <c r="I816">
        <f t="shared" si="104"/>
        <v>796</v>
      </c>
      <c r="J816" s="193">
        <v>0.01</v>
      </c>
      <c r="K816">
        <f t="shared" si="102"/>
        <v>708</v>
      </c>
      <c r="L816" s="62">
        <f t="shared" si="105"/>
        <v>803</v>
      </c>
      <c r="M816" s="304">
        <v>7.95</v>
      </c>
      <c r="N816" s="301">
        <f>VLOOKUP(6405,季財報!A:N,8,0)</f>
        <v>2</v>
      </c>
    </row>
    <row r="817" spans="1:14">
      <c r="A817" s="187">
        <v>8043</v>
      </c>
      <c r="C817">
        <v>29</v>
      </c>
      <c r="D817">
        <v>2041</v>
      </c>
      <c r="E817">
        <v>132</v>
      </c>
      <c r="F817">
        <v>2249</v>
      </c>
      <c r="G817">
        <v>0</v>
      </c>
      <c r="H817" s="200">
        <v>0.01</v>
      </c>
      <c r="I817">
        <f t="shared" si="104"/>
        <v>796</v>
      </c>
      <c r="J817" s="193">
        <v>0.01</v>
      </c>
      <c r="K817">
        <f t="shared" si="102"/>
        <v>708</v>
      </c>
      <c r="L817" s="62">
        <f t="shared" si="105"/>
        <v>803</v>
      </c>
      <c r="M817" s="304">
        <v>2.29</v>
      </c>
      <c r="N817" s="301">
        <f>VLOOKUP(8043,季財報!A:N,8,0)</f>
        <v>3</v>
      </c>
    </row>
    <row r="818" spans="1:14">
      <c r="A818" s="187">
        <v>8093</v>
      </c>
      <c r="C818">
        <v>3</v>
      </c>
      <c r="D818">
        <v>186</v>
      </c>
      <c r="E818">
        <v>252</v>
      </c>
      <c r="F818">
        <v>499</v>
      </c>
      <c r="G818">
        <v>99</v>
      </c>
      <c r="H818" s="200">
        <v>0.01</v>
      </c>
      <c r="I818">
        <f t="shared" si="104"/>
        <v>796</v>
      </c>
      <c r="J818" s="193">
        <v>0.01</v>
      </c>
      <c r="K818">
        <f t="shared" si="102"/>
        <v>708</v>
      </c>
      <c r="L818" s="62">
        <f t="shared" si="105"/>
        <v>803</v>
      </c>
      <c r="M818" s="304">
        <v>0.79</v>
      </c>
      <c r="N818" s="301">
        <f>VLOOKUP(8093,季財報!A:N,8,0)</f>
        <v>5</v>
      </c>
    </row>
    <row r="819" spans="1:14">
      <c r="A819" s="187">
        <v>8105</v>
      </c>
      <c r="C819">
        <v>110</v>
      </c>
      <c r="D819">
        <v>3484</v>
      </c>
      <c r="E819">
        <v>3962</v>
      </c>
      <c r="F819">
        <v>7647</v>
      </c>
      <c r="G819">
        <v>887</v>
      </c>
      <c r="H819" s="200">
        <v>0.01</v>
      </c>
      <c r="I819">
        <f t="shared" si="104"/>
        <v>796</v>
      </c>
      <c r="J819" s="193">
        <v>0.01</v>
      </c>
      <c r="K819">
        <f t="shared" si="102"/>
        <v>708</v>
      </c>
      <c r="L819" s="62">
        <f t="shared" si="105"/>
        <v>803</v>
      </c>
      <c r="M819" s="304">
        <v>0.79</v>
      </c>
      <c r="N819" s="301">
        <f>VLOOKUP(8105,季財報!A:N,8,0)</f>
        <v>3</v>
      </c>
    </row>
    <row r="820" spans="1:14">
      <c r="A820" s="187">
        <v>6182</v>
      </c>
      <c r="C820">
        <v>103</v>
      </c>
      <c r="D820">
        <v>359</v>
      </c>
      <c r="E820">
        <v>7213</v>
      </c>
      <c r="F820">
        <v>6736</v>
      </c>
      <c r="G820">
        <v>3470</v>
      </c>
      <c r="H820" s="200">
        <v>0.01</v>
      </c>
      <c r="I820">
        <f t="shared" si="104"/>
        <v>796</v>
      </c>
      <c r="J820" s="193">
        <v>0.01</v>
      </c>
      <c r="K820">
        <f t="shared" si="102"/>
        <v>708</v>
      </c>
      <c r="L820" s="62">
        <f t="shared" si="105"/>
        <v>803</v>
      </c>
      <c r="M820" s="304">
        <v>0.79</v>
      </c>
      <c r="N820" s="301">
        <f>VLOOKUP(6182,季財報!A:N,8,0)</f>
        <v>3</v>
      </c>
    </row>
    <row r="821" spans="1:14">
      <c r="A821" s="187">
        <v>6197</v>
      </c>
      <c r="C821">
        <v>33</v>
      </c>
      <c r="D821">
        <v>2708</v>
      </c>
      <c r="E821">
        <v>587</v>
      </c>
      <c r="F821">
        <v>3679</v>
      </c>
      <c r="G821">
        <v>0</v>
      </c>
      <c r="H821" s="200">
        <v>0.01</v>
      </c>
      <c r="I821">
        <f t="shared" si="104"/>
        <v>796</v>
      </c>
      <c r="J821" s="193">
        <v>0.01</v>
      </c>
      <c r="K821">
        <f t="shared" si="102"/>
        <v>708</v>
      </c>
      <c r="L821" s="62">
        <f t="shared" si="105"/>
        <v>803</v>
      </c>
      <c r="M821" s="304">
        <v>0.79</v>
      </c>
      <c r="N821" s="301">
        <f>VLOOKUP(6197,季財報!A:N,8,0)</f>
        <v>5</v>
      </c>
    </row>
    <row r="822" spans="1:14">
      <c r="A822" s="187">
        <v>6204</v>
      </c>
      <c r="C822">
        <v>6</v>
      </c>
      <c r="D822">
        <v>682</v>
      </c>
      <c r="E822">
        <v>210</v>
      </c>
      <c r="F822">
        <v>884</v>
      </c>
      <c r="G822">
        <v>0</v>
      </c>
      <c r="H822" s="200">
        <v>0.01</v>
      </c>
      <c r="I822">
        <f t="shared" si="104"/>
        <v>796</v>
      </c>
      <c r="J822" s="193">
        <v>0.01</v>
      </c>
      <c r="K822">
        <f t="shared" si="102"/>
        <v>708</v>
      </c>
      <c r="L822" s="62">
        <f t="shared" si="105"/>
        <v>803</v>
      </c>
      <c r="M822" s="304">
        <v>1.36</v>
      </c>
      <c r="N822" s="301">
        <f>VLOOKUP(6204,季財報!A:N,8,0)</f>
        <v>2</v>
      </c>
    </row>
    <row r="823" spans="1:14">
      <c r="A823" s="187">
        <v>6214</v>
      </c>
      <c r="C823">
        <v>75</v>
      </c>
      <c r="D823">
        <v>7098</v>
      </c>
      <c r="E823">
        <v>2269</v>
      </c>
      <c r="F823">
        <v>13082</v>
      </c>
      <c r="G823">
        <v>904</v>
      </c>
      <c r="H823" s="200">
        <v>0.01</v>
      </c>
      <c r="I823">
        <f t="shared" si="104"/>
        <v>796</v>
      </c>
      <c r="J823" s="193">
        <v>0.01</v>
      </c>
      <c r="K823">
        <f t="shared" si="102"/>
        <v>708</v>
      </c>
      <c r="L823" s="62">
        <f t="shared" si="105"/>
        <v>803</v>
      </c>
      <c r="M823" s="304">
        <v>0.79</v>
      </c>
      <c r="N823" s="301">
        <f>VLOOKUP(6214,季財報!A:N,8,0)</f>
        <v>1</v>
      </c>
    </row>
    <row r="824" spans="1:14">
      <c r="A824" s="187">
        <v>6226</v>
      </c>
      <c r="C824">
        <v>11</v>
      </c>
      <c r="D824">
        <v>535</v>
      </c>
      <c r="E824">
        <v>685</v>
      </c>
      <c r="F824">
        <v>1139</v>
      </c>
      <c r="G824">
        <v>624</v>
      </c>
      <c r="H824" s="200">
        <v>0.01</v>
      </c>
      <c r="I824">
        <f t="shared" si="104"/>
        <v>796</v>
      </c>
      <c r="J824" s="193">
        <v>0.01</v>
      </c>
      <c r="K824">
        <f t="shared" si="102"/>
        <v>708</v>
      </c>
      <c r="L824" s="62">
        <f t="shared" si="105"/>
        <v>803</v>
      </c>
      <c r="M824" s="304">
        <v>4.05</v>
      </c>
      <c r="N824" s="301">
        <f>VLOOKUP(6226,季財報!A:N,8,0)</f>
        <v>2</v>
      </c>
    </row>
    <row r="825" spans="1:14">
      <c r="A825" s="187">
        <v>5011</v>
      </c>
      <c r="C825">
        <v>6</v>
      </c>
      <c r="D825">
        <v>27</v>
      </c>
      <c r="E825">
        <v>404</v>
      </c>
      <c r="F825">
        <v>421</v>
      </c>
      <c r="G825">
        <v>225</v>
      </c>
      <c r="H825" s="200">
        <v>0.01</v>
      </c>
      <c r="I825">
        <f t="shared" si="104"/>
        <v>796</v>
      </c>
      <c r="J825" s="193">
        <v>0.01</v>
      </c>
      <c r="K825">
        <f t="shared" si="102"/>
        <v>708</v>
      </c>
      <c r="L825" s="62">
        <f t="shared" si="105"/>
        <v>803</v>
      </c>
      <c r="M825" s="304">
        <v>2.52</v>
      </c>
      <c r="N825" s="301">
        <f>VLOOKUP(5011,季財報!A:N,8,0)</f>
        <v>3</v>
      </c>
    </row>
    <row r="826" spans="1:14">
      <c r="A826" s="187">
        <v>5211</v>
      </c>
      <c r="C826">
        <v>3</v>
      </c>
      <c r="D826">
        <v>324</v>
      </c>
      <c r="E826">
        <v>183</v>
      </c>
      <c r="F826">
        <v>530</v>
      </c>
      <c r="G826">
        <v>0</v>
      </c>
      <c r="H826" s="200">
        <v>0.01</v>
      </c>
      <c r="I826">
        <f t="shared" si="104"/>
        <v>796</v>
      </c>
      <c r="J826" s="193">
        <v>0.01</v>
      </c>
      <c r="K826">
        <f t="shared" si="102"/>
        <v>708</v>
      </c>
      <c r="L826" s="62">
        <f t="shared" si="105"/>
        <v>803</v>
      </c>
      <c r="M826" s="304">
        <v>0.79</v>
      </c>
      <c r="N826" s="301">
        <f>VLOOKUP(5211,季財報!A:N,8,0)</f>
        <v>3</v>
      </c>
    </row>
    <row r="827" spans="1:14">
      <c r="A827" s="187">
        <v>5317</v>
      </c>
      <c r="C827">
        <v>24</v>
      </c>
      <c r="D827">
        <v>1197</v>
      </c>
      <c r="E827">
        <v>573</v>
      </c>
      <c r="F827">
        <v>1752</v>
      </c>
      <c r="G827">
        <v>52</v>
      </c>
      <c r="H827" s="200">
        <v>0.01</v>
      </c>
      <c r="I827">
        <f t="shared" si="104"/>
        <v>796</v>
      </c>
      <c r="J827" s="193">
        <v>0.01</v>
      </c>
      <c r="K827">
        <f t="shared" si="102"/>
        <v>708</v>
      </c>
      <c r="L827" s="62">
        <f t="shared" si="105"/>
        <v>803</v>
      </c>
      <c r="M827" s="304">
        <v>3.37</v>
      </c>
      <c r="N827" s="301">
        <f>VLOOKUP(5317,季財報!A:N,8,0)</f>
        <v>2</v>
      </c>
    </row>
    <row r="828" spans="1:14">
      <c r="A828" s="187">
        <v>5469</v>
      </c>
      <c r="C828">
        <v>244</v>
      </c>
      <c r="D828">
        <v>11596</v>
      </c>
      <c r="E828">
        <v>13989</v>
      </c>
      <c r="F828">
        <v>20322</v>
      </c>
      <c r="G828">
        <v>13711</v>
      </c>
      <c r="H828" s="200">
        <v>0.01</v>
      </c>
      <c r="I828">
        <f t="shared" si="104"/>
        <v>796</v>
      </c>
      <c r="J828" s="193">
        <v>0.01</v>
      </c>
      <c r="K828">
        <f t="shared" si="102"/>
        <v>708</v>
      </c>
      <c r="L828" s="62">
        <f t="shared" si="105"/>
        <v>803</v>
      </c>
      <c r="M828" s="304">
        <v>1.01</v>
      </c>
      <c r="N828" s="301">
        <f>VLOOKUP(5469,季財報!A:N,8,0)</f>
        <v>1</v>
      </c>
    </row>
    <row r="829" spans="1:14">
      <c r="A829" s="187">
        <v>5487</v>
      </c>
      <c r="C829">
        <v>6</v>
      </c>
      <c r="D829">
        <v>349</v>
      </c>
      <c r="E829">
        <v>105</v>
      </c>
      <c r="F829">
        <v>480</v>
      </c>
      <c r="G829">
        <v>0</v>
      </c>
      <c r="H829" s="200">
        <v>0.01</v>
      </c>
      <c r="I829">
        <f t="shared" si="104"/>
        <v>796</v>
      </c>
      <c r="J829" s="193">
        <v>0.01</v>
      </c>
      <c r="K829">
        <f t="shared" si="102"/>
        <v>708</v>
      </c>
      <c r="L829" s="62">
        <f t="shared" si="105"/>
        <v>803</v>
      </c>
      <c r="M829" s="304">
        <v>1.36</v>
      </c>
      <c r="N829" s="301">
        <f>VLOOKUP(5487,季財報!A:N,8,0)</f>
        <v>2</v>
      </c>
    </row>
    <row r="830" spans="1:14">
      <c r="A830" s="187">
        <v>5609</v>
      </c>
      <c r="C830">
        <v>28</v>
      </c>
      <c r="D830">
        <v>1372</v>
      </c>
      <c r="E830">
        <v>726</v>
      </c>
      <c r="F830">
        <v>2122</v>
      </c>
      <c r="G830">
        <v>534</v>
      </c>
      <c r="H830" s="200">
        <v>0.01</v>
      </c>
      <c r="I830">
        <f t="shared" si="104"/>
        <v>796</v>
      </c>
      <c r="J830" s="193">
        <v>0.01</v>
      </c>
      <c r="K830">
        <f t="shared" si="102"/>
        <v>708</v>
      </c>
      <c r="L830" s="62">
        <f t="shared" si="105"/>
        <v>803</v>
      </c>
      <c r="M830" s="304">
        <v>1.01</v>
      </c>
      <c r="N830" s="301">
        <f>VLOOKUP(5609,季財報!A:N,8,0)</f>
        <v>1</v>
      </c>
    </row>
    <row r="831" spans="1:14">
      <c r="A831" s="187">
        <v>6156</v>
      </c>
      <c r="C831">
        <v>24</v>
      </c>
      <c r="D831">
        <v>931</v>
      </c>
      <c r="E831">
        <v>702</v>
      </c>
      <c r="F831">
        <v>1757</v>
      </c>
      <c r="G831">
        <v>317</v>
      </c>
      <c r="H831" s="200">
        <v>0.01</v>
      </c>
      <c r="I831">
        <f t="shared" si="104"/>
        <v>796</v>
      </c>
      <c r="J831" s="193">
        <v>0.01</v>
      </c>
      <c r="K831">
        <f t="shared" si="102"/>
        <v>708</v>
      </c>
      <c r="L831" s="62">
        <f t="shared" si="105"/>
        <v>803</v>
      </c>
      <c r="M831" s="304">
        <v>1.01</v>
      </c>
      <c r="N831" s="301">
        <f>VLOOKUP(6156,季財報!A:N,8,0)</f>
        <v>2</v>
      </c>
    </row>
    <row r="832" spans="1:14">
      <c r="A832" s="187">
        <v>6161</v>
      </c>
      <c r="C832">
        <v>18</v>
      </c>
      <c r="D832">
        <v>778</v>
      </c>
      <c r="E832">
        <v>572</v>
      </c>
      <c r="F832">
        <v>1529</v>
      </c>
      <c r="G832">
        <v>500</v>
      </c>
      <c r="H832" s="200">
        <v>0.01</v>
      </c>
      <c r="I832">
        <f t="shared" si="104"/>
        <v>796</v>
      </c>
      <c r="J832" s="193">
        <v>0.01</v>
      </c>
      <c r="K832">
        <f t="shared" si="102"/>
        <v>708</v>
      </c>
      <c r="L832" s="62">
        <f t="shared" si="105"/>
        <v>803</v>
      </c>
      <c r="M832" s="304">
        <v>0.79</v>
      </c>
      <c r="N832" s="301">
        <f>VLOOKUP(6161,季財報!A:N,8,0)</f>
        <v>2</v>
      </c>
    </row>
    <row r="833" spans="1:14">
      <c r="A833" s="187">
        <v>4526</v>
      </c>
      <c r="C833">
        <v>64</v>
      </c>
      <c r="D833">
        <v>3901</v>
      </c>
      <c r="E833">
        <v>2772</v>
      </c>
      <c r="F833">
        <v>6380</v>
      </c>
      <c r="G833">
        <v>3057</v>
      </c>
      <c r="H833" s="200">
        <v>0.01</v>
      </c>
      <c r="I833">
        <f t="shared" si="104"/>
        <v>796</v>
      </c>
      <c r="J833" s="193">
        <v>0.01</v>
      </c>
      <c r="K833">
        <f t="shared" si="102"/>
        <v>708</v>
      </c>
      <c r="L833" s="62">
        <f t="shared" si="105"/>
        <v>803</v>
      </c>
      <c r="M833" s="304">
        <v>0.79</v>
      </c>
      <c r="N833" s="301">
        <f>VLOOKUP(4526,季財報!A:N,8,0)</f>
        <v>2</v>
      </c>
    </row>
    <row r="834" spans="1:14">
      <c r="A834" s="187">
        <v>4533</v>
      </c>
      <c r="C834">
        <v>19</v>
      </c>
      <c r="D834">
        <v>1105</v>
      </c>
      <c r="E834">
        <v>1589</v>
      </c>
      <c r="F834">
        <v>2699</v>
      </c>
      <c r="G834">
        <v>511</v>
      </c>
      <c r="H834" s="200">
        <v>0.01</v>
      </c>
      <c r="I834">
        <f t="shared" si="104"/>
        <v>796</v>
      </c>
      <c r="J834" s="193">
        <v>0.01</v>
      </c>
      <c r="K834">
        <f t="shared" si="102"/>
        <v>708</v>
      </c>
      <c r="L834" s="62">
        <f t="shared" si="105"/>
        <v>803</v>
      </c>
      <c r="M834" s="304">
        <v>0.79</v>
      </c>
      <c r="N834" s="301">
        <f>VLOOKUP(4533,季財報!A:N,8,0)</f>
        <v>1</v>
      </c>
    </row>
    <row r="835" spans="1:14">
      <c r="A835" s="187">
        <v>4534</v>
      </c>
      <c r="C835">
        <v>12</v>
      </c>
      <c r="D835">
        <v>258</v>
      </c>
      <c r="E835">
        <v>675</v>
      </c>
      <c r="F835">
        <v>951</v>
      </c>
      <c r="G835">
        <v>374</v>
      </c>
      <c r="H835" s="200">
        <v>0.01</v>
      </c>
      <c r="I835">
        <f t="shared" si="104"/>
        <v>796</v>
      </c>
      <c r="J835" s="193">
        <v>0.01</v>
      </c>
      <c r="K835">
        <f t="shared" si="102"/>
        <v>708</v>
      </c>
      <c r="L835" s="62">
        <f t="shared" si="105"/>
        <v>803</v>
      </c>
      <c r="M835" s="304">
        <v>0.79</v>
      </c>
      <c r="N835" s="301">
        <f>VLOOKUP(4534,季財報!A:N,8,0)</f>
        <v>4</v>
      </c>
    </row>
    <row r="836" spans="1:14">
      <c r="A836" s="187">
        <v>4965</v>
      </c>
      <c r="C836">
        <v>8</v>
      </c>
      <c r="D836">
        <v>996</v>
      </c>
      <c r="E836">
        <v>6</v>
      </c>
      <c r="F836">
        <v>1000</v>
      </c>
      <c r="G836">
        <v>0</v>
      </c>
      <c r="H836" s="200">
        <v>0.01</v>
      </c>
      <c r="I836">
        <f t="shared" ref="I836:I867" si="106">RANK(0.01,H:H,0)</f>
        <v>796</v>
      </c>
      <c r="J836" s="193">
        <v>0.01</v>
      </c>
      <c r="K836">
        <f t="shared" si="102"/>
        <v>708</v>
      </c>
      <c r="L836" s="62">
        <f t="shared" ref="L836:L867" si="107">RANK(1.01,M:M,0)</f>
        <v>803</v>
      </c>
      <c r="M836" s="304">
        <v>0.79</v>
      </c>
      <c r="N836" s="301">
        <f>VLOOKUP(4965,季財報!A:N,8,0)</f>
        <v>3</v>
      </c>
    </row>
    <row r="837" spans="1:14">
      <c r="A837" s="187">
        <v>5533</v>
      </c>
      <c r="C837">
        <v>129</v>
      </c>
      <c r="D837">
        <v>4523</v>
      </c>
      <c r="E837">
        <v>4094</v>
      </c>
      <c r="F837">
        <v>7086</v>
      </c>
      <c r="G837">
        <v>3934</v>
      </c>
      <c r="H837" s="200">
        <v>0.01</v>
      </c>
      <c r="I837">
        <f t="shared" si="106"/>
        <v>796</v>
      </c>
      <c r="J837" s="193">
        <v>0.01</v>
      </c>
      <c r="K837">
        <f t="shared" si="102"/>
        <v>708</v>
      </c>
      <c r="L837" s="62">
        <f t="shared" si="107"/>
        <v>803</v>
      </c>
      <c r="M837" s="304">
        <v>0.79</v>
      </c>
      <c r="N837" s="301">
        <f>VLOOKUP(5533,季財報!A:N,8,0)</f>
        <v>1</v>
      </c>
    </row>
    <row r="838" spans="1:14">
      <c r="A838" s="187">
        <v>1219</v>
      </c>
      <c r="C838">
        <v>31</v>
      </c>
      <c r="D838">
        <v>1843</v>
      </c>
      <c r="E838">
        <v>2943</v>
      </c>
      <c r="F838">
        <v>3911</v>
      </c>
      <c r="G838">
        <v>1158</v>
      </c>
      <c r="H838" s="200">
        <v>0.01</v>
      </c>
      <c r="I838">
        <f t="shared" si="106"/>
        <v>796</v>
      </c>
      <c r="J838" s="193">
        <v>0.01</v>
      </c>
      <c r="K838">
        <f t="shared" si="102"/>
        <v>708</v>
      </c>
      <c r="L838" s="62">
        <f t="shared" si="107"/>
        <v>803</v>
      </c>
      <c r="M838" s="304">
        <v>1.9</v>
      </c>
      <c r="N838" s="301">
        <f>VLOOKUP(1219,季財報!A:N,8,0)</f>
        <v>2</v>
      </c>
    </row>
    <row r="839" spans="1:14">
      <c r="A839" s="187">
        <v>1303</v>
      </c>
      <c r="C839">
        <v>3107</v>
      </c>
      <c r="D839">
        <v>132750</v>
      </c>
      <c r="E839">
        <v>139266</v>
      </c>
      <c r="F839">
        <v>327865</v>
      </c>
      <c r="G839">
        <v>48941</v>
      </c>
      <c r="H839" s="200">
        <v>0.01</v>
      </c>
      <c r="I839">
        <f t="shared" si="106"/>
        <v>796</v>
      </c>
      <c r="J839" s="193">
        <v>0.01</v>
      </c>
      <c r="K839">
        <f t="shared" si="102"/>
        <v>708</v>
      </c>
      <c r="L839" s="62">
        <f t="shared" si="107"/>
        <v>803</v>
      </c>
      <c r="M839" s="304">
        <v>0.79</v>
      </c>
      <c r="N839" s="301">
        <f>VLOOKUP(1303,季財報!A:N,8,0)</f>
        <v>2</v>
      </c>
    </row>
    <row r="840" spans="1:14">
      <c r="A840" s="187">
        <v>1305</v>
      </c>
      <c r="C840">
        <v>64</v>
      </c>
      <c r="D840">
        <v>3175</v>
      </c>
      <c r="E840">
        <v>5042</v>
      </c>
      <c r="F840">
        <v>6507</v>
      </c>
      <c r="G840">
        <v>1338</v>
      </c>
      <c r="H840" s="200">
        <v>0.01</v>
      </c>
      <c r="I840">
        <f t="shared" si="106"/>
        <v>796</v>
      </c>
      <c r="J840" s="193">
        <v>0.01</v>
      </c>
      <c r="K840">
        <f t="shared" si="102"/>
        <v>708</v>
      </c>
      <c r="L840" s="62">
        <f t="shared" si="107"/>
        <v>803</v>
      </c>
      <c r="M840" s="304">
        <v>0.79</v>
      </c>
      <c r="N840" s="301">
        <f>VLOOKUP(1305,季財報!A:N,8,0)</f>
        <v>2</v>
      </c>
    </row>
    <row r="841" spans="1:14">
      <c r="A841" s="187">
        <v>1326</v>
      </c>
      <c r="C841">
        <v>3240</v>
      </c>
      <c r="D841">
        <v>116779</v>
      </c>
      <c r="E841">
        <v>145890</v>
      </c>
      <c r="F841">
        <v>315945</v>
      </c>
      <c r="G841">
        <v>60397</v>
      </c>
      <c r="H841" s="200">
        <v>0.01</v>
      </c>
      <c r="I841">
        <f t="shared" si="106"/>
        <v>796</v>
      </c>
      <c r="J841" s="193">
        <v>0.01</v>
      </c>
      <c r="K841">
        <f t="shared" si="102"/>
        <v>708</v>
      </c>
      <c r="L841" s="62">
        <f t="shared" si="107"/>
        <v>803</v>
      </c>
      <c r="M841" s="304">
        <v>1.29</v>
      </c>
      <c r="N841" s="301">
        <f>VLOOKUP(1326,季財報!A:N,8,0)</f>
        <v>2</v>
      </c>
    </row>
    <row r="842" spans="1:14">
      <c r="A842" s="187">
        <v>1440</v>
      </c>
      <c r="C842">
        <v>205</v>
      </c>
      <c r="D842">
        <v>440</v>
      </c>
      <c r="E842">
        <v>18036</v>
      </c>
      <c r="F842">
        <v>25879</v>
      </c>
      <c r="G842">
        <v>4226</v>
      </c>
      <c r="H842" s="200">
        <v>0.01</v>
      </c>
      <c r="I842">
        <f t="shared" si="106"/>
        <v>796</v>
      </c>
      <c r="J842" s="193">
        <v>0.01</v>
      </c>
      <c r="K842">
        <f t="shared" si="102"/>
        <v>708</v>
      </c>
      <c r="L842" s="62">
        <f t="shared" si="107"/>
        <v>803</v>
      </c>
      <c r="M842" s="304">
        <v>0.79</v>
      </c>
      <c r="N842" s="301">
        <f>VLOOKUP(1440,季財報!A:N,8,0)</f>
        <v>1</v>
      </c>
    </row>
    <row r="843" spans="1:14">
      <c r="A843" s="187">
        <v>1442</v>
      </c>
      <c r="C843">
        <v>97</v>
      </c>
      <c r="D843">
        <v>8908</v>
      </c>
      <c r="E843">
        <v>27</v>
      </c>
      <c r="F843">
        <v>4805</v>
      </c>
      <c r="G843">
        <v>2932</v>
      </c>
      <c r="H843" s="200">
        <v>0.01</v>
      </c>
      <c r="I843">
        <f t="shared" si="106"/>
        <v>796</v>
      </c>
      <c r="J843" s="193">
        <v>0.01</v>
      </c>
      <c r="K843">
        <f t="shared" si="102"/>
        <v>708</v>
      </c>
      <c r="L843" s="62">
        <f t="shared" si="107"/>
        <v>803</v>
      </c>
      <c r="M843" s="304">
        <v>0.79</v>
      </c>
      <c r="N843" s="301">
        <f>VLOOKUP(1442,季財報!A:N,8,0)</f>
        <v>0</v>
      </c>
    </row>
    <row r="844" spans="1:14">
      <c r="A844" s="187">
        <v>1454</v>
      </c>
      <c r="C844">
        <v>13</v>
      </c>
      <c r="D844">
        <v>846</v>
      </c>
      <c r="E844">
        <v>870</v>
      </c>
      <c r="F844">
        <v>1699</v>
      </c>
      <c r="G844">
        <v>125</v>
      </c>
      <c r="H844" s="200">
        <v>0.01</v>
      </c>
      <c r="I844">
        <f t="shared" si="106"/>
        <v>796</v>
      </c>
      <c r="J844" s="193">
        <v>0.01</v>
      </c>
      <c r="K844">
        <f t="shared" si="102"/>
        <v>708</v>
      </c>
      <c r="L844" s="62">
        <f t="shared" si="107"/>
        <v>803</v>
      </c>
      <c r="M844" s="304">
        <v>0.79</v>
      </c>
      <c r="N844" s="301">
        <f>VLOOKUP(1454,季財報!A:N,8,0)</f>
        <v>1</v>
      </c>
    </row>
    <row r="845" spans="1:14">
      <c r="A845" s="187">
        <v>1459</v>
      </c>
      <c r="C845">
        <v>34</v>
      </c>
      <c r="D845">
        <v>456</v>
      </c>
      <c r="E845">
        <v>3089</v>
      </c>
      <c r="F845">
        <v>3500</v>
      </c>
      <c r="G845">
        <v>2058</v>
      </c>
      <c r="H845" s="200">
        <v>0.01</v>
      </c>
      <c r="I845">
        <f t="shared" si="106"/>
        <v>796</v>
      </c>
      <c r="J845" s="193">
        <v>0.01</v>
      </c>
      <c r="K845">
        <f t="shared" si="102"/>
        <v>708</v>
      </c>
      <c r="L845" s="62">
        <f t="shared" si="107"/>
        <v>803</v>
      </c>
      <c r="M845" s="304">
        <v>0.79</v>
      </c>
      <c r="N845" s="301">
        <f>VLOOKUP(1459,季財報!A:N,8,0)</f>
        <v>1</v>
      </c>
    </row>
    <row r="846" spans="1:14">
      <c r="A846" s="187">
        <v>1465</v>
      </c>
      <c r="C846">
        <v>29</v>
      </c>
      <c r="D846">
        <v>1644</v>
      </c>
      <c r="E846">
        <v>674</v>
      </c>
      <c r="F846">
        <v>2407</v>
      </c>
      <c r="G846">
        <v>66</v>
      </c>
      <c r="H846" s="200">
        <v>0.01</v>
      </c>
      <c r="I846">
        <f t="shared" si="106"/>
        <v>796</v>
      </c>
      <c r="J846" s="193">
        <v>0.01</v>
      </c>
      <c r="K846">
        <f t="shared" si="102"/>
        <v>708</v>
      </c>
      <c r="L846" s="62">
        <f t="shared" si="107"/>
        <v>803</v>
      </c>
      <c r="M846" s="304">
        <v>0.79</v>
      </c>
      <c r="N846" s="301">
        <f>VLOOKUP(1465,季財報!A:N,8,0)</f>
        <v>3</v>
      </c>
    </row>
    <row r="847" spans="1:14">
      <c r="A847" s="187">
        <v>1519</v>
      </c>
      <c r="C847">
        <v>39</v>
      </c>
      <c r="D847">
        <v>1927</v>
      </c>
      <c r="E847">
        <v>1455</v>
      </c>
      <c r="F847">
        <v>3125</v>
      </c>
      <c r="G847">
        <v>639</v>
      </c>
      <c r="H847" s="200">
        <v>0.01</v>
      </c>
      <c r="I847">
        <f t="shared" si="106"/>
        <v>796</v>
      </c>
      <c r="J847" s="193">
        <v>0.01</v>
      </c>
      <c r="K847">
        <f t="shared" si="102"/>
        <v>708</v>
      </c>
      <c r="L847" s="62">
        <f t="shared" si="107"/>
        <v>803</v>
      </c>
      <c r="M847" s="304">
        <v>1.29</v>
      </c>
      <c r="N847" s="301">
        <f>VLOOKUP(1519,季財報!A:N,8,0)</f>
        <v>0</v>
      </c>
    </row>
    <row r="848" spans="1:14">
      <c r="A848" s="187">
        <v>1566</v>
      </c>
      <c r="C848">
        <v>24</v>
      </c>
      <c r="D848">
        <v>0</v>
      </c>
      <c r="E848">
        <v>1875</v>
      </c>
      <c r="F848">
        <v>1504</v>
      </c>
      <c r="G848">
        <v>1069</v>
      </c>
      <c r="H848" s="200">
        <v>0.01</v>
      </c>
      <c r="I848">
        <f t="shared" si="106"/>
        <v>796</v>
      </c>
      <c r="J848" s="193">
        <v>0.01</v>
      </c>
      <c r="K848">
        <f t="shared" si="102"/>
        <v>708</v>
      </c>
      <c r="L848" s="62">
        <f t="shared" si="107"/>
        <v>803</v>
      </c>
      <c r="M848" s="304">
        <v>0.79</v>
      </c>
      <c r="N848" s="301">
        <f>VLOOKUP(1566,季財報!A:N,8,0)</f>
        <v>3</v>
      </c>
    </row>
    <row r="849" spans="1:14">
      <c r="A849" s="187">
        <v>1604</v>
      </c>
      <c r="C849">
        <v>41</v>
      </c>
      <c r="D849">
        <v>1469</v>
      </c>
      <c r="E849">
        <v>4249</v>
      </c>
      <c r="F849">
        <v>7746</v>
      </c>
      <c r="G849">
        <v>260</v>
      </c>
      <c r="H849" s="200">
        <v>0.01</v>
      </c>
      <c r="I849">
        <f t="shared" si="106"/>
        <v>796</v>
      </c>
      <c r="J849" s="193">
        <v>0.01</v>
      </c>
      <c r="K849">
        <f t="shared" si="102"/>
        <v>708</v>
      </c>
      <c r="L849" s="62">
        <f t="shared" si="107"/>
        <v>803</v>
      </c>
      <c r="M849" s="304">
        <v>0.79</v>
      </c>
      <c r="N849" s="301">
        <f>VLOOKUP(1604,季財報!A:N,8,0)</f>
        <v>1</v>
      </c>
    </row>
    <row r="850" spans="1:14">
      <c r="A850" s="187">
        <v>1605</v>
      </c>
      <c r="C850">
        <v>544</v>
      </c>
      <c r="D850">
        <v>34258</v>
      </c>
      <c r="E850">
        <v>18003</v>
      </c>
      <c r="F850">
        <v>63861</v>
      </c>
      <c r="G850">
        <v>7290</v>
      </c>
      <c r="H850" s="200">
        <v>0.01</v>
      </c>
      <c r="I850">
        <f t="shared" si="106"/>
        <v>796</v>
      </c>
      <c r="J850" s="193">
        <v>0.01</v>
      </c>
      <c r="K850">
        <f t="shared" si="102"/>
        <v>708</v>
      </c>
      <c r="L850" s="62">
        <f t="shared" si="107"/>
        <v>803</v>
      </c>
      <c r="M850" s="304">
        <v>3.44</v>
      </c>
      <c r="N850" s="301">
        <f>VLOOKUP(1605,季財報!A:N,8,0)</f>
        <v>1</v>
      </c>
    </row>
    <row r="851" spans="1:14">
      <c r="A851" s="187">
        <v>1701</v>
      </c>
      <c r="C851">
        <v>43</v>
      </c>
      <c r="D851">
        <v>1814</v>
      </c>
      <c r="E851">
        <v>4283</v>
      </c>
      <c r="F851">
        <v>5481</v>
      </c>
      <c r="G851">
        <v>1278</v>
      </c>
      <c r="H851" s="200">
        <v>0.01</v>
      </c>
      <c r="I851">
        <f t="shared" si="106"/>
        <v>796</v>
      </c>
      <c r="J851" s="193">
        <v>0.01</v>
      </c>
      <c r="K851">
        <f t="shared" si="102"/>
        <v>708</v>
      </c>
      <c r="L851" s="62">
        <f t="shared" si="107"/>
        <v>803</v>
      </c>
      <c r="M851" s="304">
        <v>3.37</v>
      </c>
      <c r="N851" s="301">
        <f>VLOOKUP(1701,季財報!A:N,8,0)</f>
        <v>3</v>
      </c>
    </row>
    <row r="852" spans="1:14">
      <c r="A852" s="187">
        <v>1714</v>
      </c>
      <c r="C852">
        <v>131</v>
      </c>
      <c r="D852">
        <v>4476</v>
      </c>
      <c r="E852">
        <v>9462</v>
      </c>
      <c r="F852">
        <v>15496</v>
      </c>
      <c r="G852">
        <v>8651</v>
      </c>
      <c r="H852" s="200">
        <v>0.01</v>
      </c>
      <c r="I852">
        <f t="shared" si="106"/>
        <v>796</v>
      </c>
      <c r="J852" s="193">
        <v>0.01</v>
      </c>
      <c r="K852">
        <f t="shared" si="102"/>
        <v>708</v>
      </c>
      <c r="L852" s="62">
        <f t="shared" si="107"/>
        <v>803</v>
      </c>
      <c r="M852" s="304">
        <v>0.79</v>
      </c>
      <c r="N852" s="301">
        <f>VLOOKUP(1714,季財報!A:N,8,0)</f>
        <v>1</v>
      </c>
    </row>
    <row r="853" spans="1:14">
      <c r="A853" s="187">
        <v>1762</v>
      </c>
      <c r="C853">
        <v>24</v>
      </c>
      <c r="D853">
        <v>196</v>
      </c>
      <c r="E853">
        <v>1808</v>
      </c>
      <c r="F853">
        <v>1791</v>
      </c>
      <c r="G853">
        <v>405</v>
      </c>
      <c r="H853" s="200">
        <v>0.01</v>
      </c>
      <c r="I853">
        <f t="shared" si="106"/>
        <v>796</v>
      </c>
      <c r="J853" s="193">
        <v>0.01</v>
      </c>
      <c r="K853">
        <f t="shared" si="102"/>
        <v>708</v>
      </c>
      <c r="L853" s="62">
        <f t="shared" si="107"/>
        <v>803</v>
      </c>
      <c r="M853" s="304">
        <v>12.98</v>
      </c>
      <c r="N853" s="301">
        <f>VLOOKUP(1762,季財報!A:N,8,0)</f>
        <v>2</v>
      </c>
    </row>
    <row r="854" spans="1:14">
      <c r="A854" s="187">
        <v>2006</v>
      </c>
      <c r="C854">
        <v>217</v>
      </c>
      <c r="D854">
        <v>4250</v>
      </c>
      <c r="E854">
        <v>15587</v>
      </c>
      <c r="F854">
        <v>22804</v>
      </c>
      <c r="G854">
        <v>6911</v>
      </c>
      <c r="H854" s="200">
        <v>0.01</v>
      </c>
      <c r="I854">
        <f t="shared" si="106"/>
        <v>796</v>
      </c>
      <c r="J854" s="193">
        <v>0.01</v>
      </c>
      <c r="K854">
        <f t="shared" si="102"/>
        <v>708</v>
      </c>
      <c r="L854" s="62">
        <f t="shared" si="107"/>
        <v>803</v>
      </c>
      <c r="M854" s="304">
        <v>1.58</v>
      </c>
      <c r="N854" s="301">
        <f>VLOOKUP(2006,季財報!A:N,8,0)</f>
        <v>1</v>
      </c>
    </row>
    <row r="855" spans="1:14">
      <c r="A855" s="187">
        <v>2023</v>
      </c>
      <c r="C855">
        <v>304</v>
      </c>
      <c r="D855">
        <v>0</v>
      </c>
      <c r="E855">
        <v>35530</v>
      </c>
      <c r="F855">
        <v>30056</v>
      </c>
      <c r="G855">
        <v>16536</v>
      </c>
      <c r="H855" s="200">
        <v>0.01</v>
      </c>
      <c r="I855">
        <f t="shared" si="106"/>
        <v>796</v>
      </c>
      <c r="J855" s="193">
        <v>0.01</v>
      </c>
      <c r="K855">
        <f t="shared" si="102"/>
        <v>708</v>
      </c>
      <c r="L855" s="62">
        <f t="shared" si="107"/>
        <v>803</v>
      </c>
      <c r="M855" s="304">
        <v>0.79</v>
      </c>
      <c r="N855" s="301">
        <f>VLOOKUP(2023,季財報!A:N,8,0)</f>
        <v>0</v>
      </c>
    </row>
    <row r="856" spans="1:14">
      <c r="A856" s="187">
        <v>2024</v>
      </c>
      <c r="C856">
        <v>11</v>
      </c>
      <c r="D856">
        <v>236</v>
      </c>
      <c r="E856">
        <v>1215</v>
      </c>
      <c r="F856">
        <v>1070</v>
      </c>
      <c r="G856">
        <v>439</v>
      </c>
      <c r="H856" s="200">
        <v>0.01</v>
      </c>
      <c r="I856">
        <f t="shared" si="106"/>
        <v>796</v>
      </c>
      <c r="J856" s="193">
        <v>0.01</v>
      </c>
      <c r="K856">
        <f t="shared" si="102"/>
        <v>708</v>
      </c>
      <c r="L856" s="62">
        <f t="shared" si="107"/>
        <v>803</v>
      </c>
      <c r="M856" s="304">
        <v>0.79</v>
      </c>
      <c r="N856" s="301">
        <f>VLOOKUP(2024,季財報!A:N,8,0)</f>
        <v>2</v>
      </c>
    </row>
    <row r="857" spans="1:14">
      <c r="A857" s="187">
        <v>2359</v>
      </c>
      <c r="C857">
        <v>30</v>
      </c>
      <c r="D857">
        <v>2886</v>
      </c>
      <c r="E857">
        <v>474</v>
      </c>
      <c r="F857">
        <v>4847</v>
      </c>
      <c r="G857">
        <v>55</v>
      </c>
      <c r="H857" s="200">
        <v>0.01</v>
      </c>
      <c r="I857">
        <f t="shared" si="106"/>
        <v>796</v>
      </c>
      <c r="J857" s="193">
        <v>0.01</v>
      </c>
      <c r="K857">
        <f t="shared" si="102"/>
        <v>708</v>
      </c>
      <c r="L857" s="62">
        <f t="shared" si="107"/>
        <v>803</v>
      </c>
      <c r="M857" s="304">
        <v>0.79</v>
      </c>
      <c r="N857" s="301">
        <f>VLOOKUP(2359,季財報!A:N,8,0)</f>
        <v>2</v>
      </c>
    </row>
    <row r="858" spans="1:14">
      <c r="A858" s="187">
        <v>2375</v>
      </c>
      <c r="C858">
        <v>17</v>
      </c>
      <c r="D858">
        <v>1389</v>
      </c>
      <c r="E858">
        <v>210</v>
      </c>
      <c r="F858">
        <v>1663</v>
      </c>
      <c r="G858">
        <v>349</v>
      </c>
      <c r="H858" s="200">
        <v>0.01</v>
      </c>
      <c r="I858">
        <f t="shared" si="106"/>
        <v>796</v>
      </c>
      <c r="J858" s="193">
        <v>0.01</v>
      </c>
      <c r="K858">
        <f t="shared" si="102"/>
        <v>708</v>
      </c>
      <c r="L858" s="62">
        <f t="shared" si="107"/>
        <v>803</v>
      </c>
      <c r="M858" s="304">
        <v>0.79</v>
      </c>
      <c r="N858" s="301">
        <f>VLOOKUP(2375,季財報!A:N,8,0)</f>
        <v>1</v>
      </c>
    </row>
    <row r="859" spans="1:14">
      <c r="A859" s="187">
        <v>2379</v>
      </c>
      <c r="C859">
        <v>262</v>
      </c>
      <c r="D859">
        <v>14183</v>
      </c>
      <c r="E859">
        <v>3382</v>
      </c>
      <c r="F859">
        <v>21587</v>
      </c>
      <c r="G859">
        <v>11071</v>
      </c>
      <c r="H859" s="200">
        <v>0.01</v>
      </c>
      <c r="I859">
        <f t="shared" si="106"/>
        <v>796</v>
      </c>
      <c r="J859" s="193">
        <v>0.01</v>
      </c>
      <c r="K859">
        <f t="shared" si="102"/>
        <v>708</v>
      </c>
      <c r="L859" s="62">
        <f t="shared" si="107"/>
        <v>803</v>
      </c>
      <c r="M859" s="304">
        <v>0.79</v>
      </c>
      <c r="N859" s="301">
        <f>VLOOKUP(2379,季財報!A:N,8,0)</f>
        <v>2</v>
      </c>
    </row>
    <row r="860" spans="1:14">
      <c r="A860" s="187">
        <v>2453</v>
      </c>
      <c r="C860">
        <v>19</v>
      </c>
      <c r="D860">
        <v>976</v>
      </c>
      <c r="E860">
        <v>494</v>
      </c>
      <c r="F860">
        <v>1744</v>
      </c>
      <c r="G860">
        <v>143</v>
      </c>
      <c r="H860" s="200">
        <v>0.01</v>
      </c>
      <c r="I860">
        <f t="shared" si="106"/>
        <v>796</v>
      </c>
      <c r="J860" s="193">
        <v>0.01</v>
      </c>
      <c r="K860">
        <f t="shared" si="102"/>
        <v>708</v>
      </c>
      <c r="L860" s="62">
        <f t="shared" si="107"/>
        <v>803</v>
      </c>
      <c r="M860" s="304">
        <v>2.69</v>
      </c>
      <c r="N860" s="301">
        <f>VLOOKUP(2453,季財報!A:N,8,0)</f>
        <v>3</v>
      </c>
    </row>
    <row r="861" spans="1:14">
      <c r="A861" s="187">
        <v>2468</v>
      </c>
      <c r="C861">
        <v>7</v>
      </c>
      <c r="D861">
        <v>501</v>
      </c>
      <c r="E861">
        <v>268</v>
      </c>
      <c r="F861">
        <v>1092</v>
      </c>
      <c r="G861">
        <v>0</v>
      </c>
      <c r="H861" s="200">
        <v>0.01</v>
      </c>
      <c r="I861">
        <f t="shared" si="106"/>
        <v>796</v>
      </c>
      <c r="J861" s="193">
        <v>0.01</v>
      </c>
      <c r="K861">
        <f t="shared" si="102"/>
        <v>708</v>
      </c>
      <c r="L861" s="62">
        <f t="shared" si="107"/>
        <v>803</v>
      </c>
      <c r="M861" s="304">
        <v>0.79</v>
      </c>
      <c r="N861" s="301">
        <f>VLOOKUP(2468,季財報!A:N,8,0)</f>
        <v>2</v>
      </c>
    </row>
    <row r="862" spans="1:14">
      <c r="A862" s="187">
        <v>2478</v>
      </c>
      <c r="C862">
        <v>66</v>
      </c>
      <c r="D862">
        <v>2856</v>
      </c>
      <c r="E862">
        <v>2975</v>
      </c>
      <c r="F862">
        <v>5309</v>
      </c>
      <c r="G862">
        <v>0</v>
      </c>
      <c r="H862" s="200">
        <v>0.01</v>
      </c>
      <c r="I862">
        <f t="shared" si="106"/>
        <v>796</v>
      </c>
      <c r="J862" s="193">
        <v>0.01</v>
      </c>
      <c r="K862">
        <f t="shared" si="102"/>
        <v>708</v>
      </c>
      <c r="L862" s="62">
        <f t="shared" si="107"/>
        <v>803</v>
      </c>
      <c r="M862" s="304">
        <v>0.79</v>
      </c>
      <c r="N862" s="301">
        <f>VLOOKUP(2478,季財報!A:N,8,0)</f>
        <v>2</v>
      </c>
    </row>
    <row r="863" spans="1:14">
      <c r="A863" s="187">
        <v>2483</v>
      </c>
      <c r="C863">
        <v>28</v>
      </c>
      <c r="D863">
        <v>1324</v>
      </c>
      <c r="E863">
        <v>699</v>
      </c>
      <c r="F863">
        <v>2391</v>
      </c>
      <c r="G863">
        <v>0</v>
      </c>
      <c r="H863" s="200">
        <v>0.01</v>
      </c>
      <c r="I863">
        <f t="shared" si="106"/>
        <v>796</v>
      </c>
      <c r="J863" s="193">
        <v>0.01</v>
      </c>
      <c r="K863">
        <f t="shared" si="102"/>
        <v>708</v>
      </c>
      <c r="L863" s="62">
        <f t="shared" si="107"/>
        <v>803</v>
      </c>
      <c r="M863" s="304">
        <v>0.79</v>
      </c>
      <c r="N863" s="301">
        <f>VLOOKUP(2483,季財報!A:N,8,0)</f>
        <v>2</v>
      </c>
    </row>
    <row r="864" spans="1:14">
      <c r="A864" s="187">
        <v>2495</v>
      </c>
      <c r="C864">
        <v>38</v>
      </c>
      <c r="D864">
        <v>2998</v>
      </c>
      <c r="E864">
        <v>690</v>
      </c>
      <c r="F864">
        <v>4127</v>
      </c>
      <c r="G864">
        <v>0</v>
      </c>
      <c r="H864" s="200">
        <v>0.01</v>
      </c>
      <c r="I864">
        <f t="shared" si="106"/>
        <v>796</v>
      </c>
      <c r="J864" s="193">
        <v>0.01</v>
      </c>
      <c r="K864">
        <f t="shared" si="102"/>
        <v>708</v>
      </c>
      <c r="L864" s="62">
        <f t="shared" si="107"/>
        <v>803</v>
      </c>
      <c r="M864" s="304">
        <v>2.69</v>
      </c>
      <c r="N864" s="301">
        <f>VLOOKUP(2495,季財報!A:N,8,0)</f>
        <v>3</v>
      </c>
    </row>
    <row r="865" spans="1:14">
      <c r="A865" s="187">
        <v>2511</v>
      </c>
      <c r="C865">
        <v>318</v>
      </c>
      <c r="D865">
        <v>18009</v>
      </c>
      <c r="E865">
        <v>6791</v>
      </c>
      <c r="F865">
        <v>23587</v>
      </c>
      <c r="G865">
        <v>5551</v>
      </c>
      <c r="H865" s="200">
        <v>0.01</v>
      </c>
      <c r="I865">
        <f t="shared" si="106"/>
        <v>796</v>
      </c>
      <c r="J865" s="193">
        <v>0.01</v>
      </c>
      <c r="K865">
        <f t="shared" si="102"/>
        <v>708</v>
      </c>
      <c r="L865" s="62">
        <f t="shared" si="107"/>
        <v>803</v>
      </c>
      <c r="M865" s="304">
        <v>0.79</v>
      </c>
      <c r="N865" s="301">
        <f>VLOOKUP(2511,季財報!A:N,8,0)</f>
        <v>0</v>
      </c>
    </row>
    <row r="866" spans="1:14">
      <c r="A866" s="187">
        <v>2516</v>
      </c>
      <c r="C866">
        <v>22</v>
      </c>
      <c r="D866">
        <v>1571</v>
      </c>
      <c r="E866">
        <v>1107</v>
      </c>
      <c r="F866">
        <v>3039</v>
      </c>
      <c r="G866">
        <v>1145</v>
      </c>
      <c r="H866" s="200">
        <v>0.01</v>
      </c>
      <c r="I866">
        <f t="shared" si="106"/>
        <v>796</v>
      </c>
      <c r="J866" s="193">
        <v>0.01</v>
      </c>
      <c r="K866">
        <f t="shared" ref="K866:K929" si="108">RANK(0.01,J:J,0)</f>
        <v>708</v>
      </c>
      <c r="L866" s="62">
        <f t="shared" si="107"/>
        <v>803</v>
      </c>
      <c r="M866" s="304">
        <v>0.79</v>
      </c>
      <c r="N866" s="301">
        <f>VLOOKUP(2516,季財報!A:N,8,0)</f>
        <v>1</v>
      </c>
    </row>
    <row r="867" spans="1:14">
      <c r="A867" s="187">
        <v>2520</v>
      </c>
      <c r="C867">
        <v>162</v>
      </c>
      <c r="D867">
        <v>11050</v>
      </c>
      <c r="E867">
        <v>7669</v>
      </c>
      <c r="F867">
        <v>12300</v>
      </c>
      <c r="G867">
        <v>16954</v>
      </c>
      <c r="H867" s="200">
        <v>0.01</v>
      </c>
      <c r="I867">
        <f t="shared" si="106"/>
        <v>796</v>
      </c>
      <c r="J867" s="193">
        <v>0.01</v>
      </c>
      <c r="K867">
        <f t="shared" si="108"/>
        <v>708</v>
      </c>
      <c r="L867" s="62">
        <f t="shared" si="107"/>
        <v>803</v>
      </c>
      <c r="M867" s="304">
        <v>0.79</v>
      </c>
      <c r="N867" s="301">
        <f>VLOOKUP(2520,季財報!A:N,8,0)</f>
        <v>3</v>
      </c>
    </row>
    <row r="868" spans="1:14">
      <c r="A868" s="187">
        <v>2597</v>
      </c>
      <c r="C868">
        <v>57</v>
      </c>
      <c r="D868">
        <v>1108</v>
      </c>
      <c r="E868">
        <v>3217</v>
      </c>
      <c r="F868">
        <v>5392</v>
      </c>
      <c r="G868">
        <v>360</v>
      </c>
      <c r="H868" s="200">
        <v>0.01</v>
      </c>
      <c r="I868">
        <f t="shared" ref="I868:I899" si="109">RANK(0.01,H:H,0)</f>
        <v>796</v>
      </c>
      <c r="J868" s="193">
        <v>0.01</v>
      </c>
      <c r="K868">
        <f t="shared" si="108"/>
        <v>708</v>
      </c>
      <c r="L868" s="62">
        <f t="shared" ref="L868:L899" si="110">RANK(1.01,M:M,0)</f>
        <v>803</v>
      </c>
      <c r="M868" s="304">
        <v>0.79</v>
      </c>
      <c r="N868" s="301">
        <f>VLOOKUP(2597,季財報!A:N,8,0)</f>
        <v>2</v>
      </c>
    </row>
    <row r="869" spans="1:14">
      <c r="A869" s="187">
        <v>2607</v>
      </c>
      <c r="C869">
        <v>256</v>
      </c>
      <c r="D869">
        <v>2751</v>
      </c>
      <c r="E869">
        <v>26187</v>
      </c>
      <c r="F869">
        <v>21444</v>
      </c>
      <c r="G869">
        <v>1117</v>
      </c>
      <c r="H869" s="200">
        <v>0.01</v>
      </c>
      <c r="I869">
        <f t="shared" si="109"/>
        <v>796</v>
      </c>
      <c r="J869" s="193">
        <v>0.01</v>
      </c>
      <c r="K869">
        <f t="shared" si="108"/>
        <v>708</v>
      </c>
      <c r="L869" s="62">
        <f t="shared" si="110"/>
        <v>803</v>
      </c>
      <c r="M869" s="304">
        <v>0.79</v>
      </c>
      <c r="N869" s="301">
        <f>VLOOKUP(2607,季財報!A:N,8,0)</f>
        <v>2</v>
      </c>
    </row>
    <row r="870" spans="1:14">
      <c r="A870" s="187">
        <v>2612</v>
      </c>
      <c r="C870">
        <v>194</v>
      </c>
      <c r="D870">
        <v>2698</v>
      </c>
      <c r="E870">
        <v>13820</v>
      </c>
      <c r="F870">
        <v>11052</v>
      </c>
      <c r="G870">
        <v>2125</v>
      </c>
      <c r="H870" s="200">
        <v>0.01</v>
      </c>
      <c r="I870">
        <f t="shared" si="109"/>
        <v>796</v>
      </c>
      <c r="J870" s="193">
        <v>0.01</v>
      </c>
      <c r="K870">
        <f t="shared" si="108"/>
        <v>708</v>
      </c>
      <c r="L870" s="62">
        <f t="shared" si="110"/>
        <v>803</v>
      </c>
      <c r="M870" s="304">
        <v>0.79</v>
      </c>
      <c r="N870" s="301">
        <f>VLOOKUP(2612,季財報!A:N,8,0)</f>
        <v>4</v>
      </c>
    </row>
    <row r="871" spans="1:14">
      <c r="A871" s="187">
        <v>2641</v>
      </c>
      <c r="C871">
        <v>22</v>
      </c>
      <c r="D871">
        <v>0</v>
      </c>
      <c r="E871">
        <v>3485</v>
      </c>
      <c r="F871">
        <v>1533</v>
      </c>
      <c r="G871">
        <v>512</v>
      </c>
      <c r="H871" s="200">
        <v>0.01</v>
      </c>
      <c r="I871">
        <f t="shared" si="109"/>
        <v>796</v>
      </c>
      <c r="J871" s="193">
        <v>0.01</v>
      </c>
      <c r="K871">
        <f t="shared" si="108"/>
        <v>708</v>
      </c>
      <c r="L871" s="62">
        <f t="shared" si="110"/>
        <v>803</v>
      </c>
      <c r="M871" s="304">
        <v>1.36</v>
      </c>
      <c r="N871" s="301">
        <f>VLOOKUP(2641,季財報!A:N,8,0)</f>
        <v>2</v>
      </c>
    </row>
    <row r="872" spans="1:14">
      <c r="A872" s="187">
        <v>2704</v>
      </c>
      <c r="C872">
        <v>52</v>
      </c>
      <c r="D872">
        <v>2071</v>
      </c>
      <c r="E872">
        <v>6455</v>
      </c>
      <c r="F872">
        <v>9183</v>
      </c>
      <c r="G872">
        <v>335</v>
      </c>
      <c r="H872" s="200">
        <v>0.01</v>
      </c>
      <c r="I872">
        <f t="shared" si="109"/>
        <v>796</v>
      </c>
      <c r="J872" s="193">
        <v>0.01</v>
      </c>
      <c r="K872">
        <f t="shared" si="108"/>
        <v>708</v>
      </c>
      <c r="L872" s="62">
        <f t="shared" si="110"/>
        <v>803</v>
      </c>
      <c r="M872" s="304">
        <v>0.79</v>
      </c>
      <c r="N872" s="301">
        <f>VLOOKUP(2704,季財報!A:N,8,0)</f>
        <v>2</v>
      </c>
    </row>
    <row r="873" spans="1:14">
      <c r="A873" s="187">
        <v>2718</v>
      </c>
      <c r="C873">
        <v>6</v>
      </c>
      <c r="D873">
        <v>180</v>
      </c>
      <c r="E873">
        <v>542</v>
      </c>
      <c r="F873">
        <v>583</v>
      </c>
      <c r="G873">
        <v>25</v>
      </c>
      <c r="H873" s="200">
        <v>0.01</v>
      </c>
      <c r="I873">
        <f t="shared" si="109"/>
        <v>796</v>
      </c>
      <c r="J873" s="193">
        <v>0.01</v>
      </c>
      <c r="K873">
        <f t="shared" si="108"/>
        <v>708</v>
      </c>
      <c r="L873" s="62">
        <f t="shared" si="110"/>
        <v>803</v>
      </c>
      <c r="M873" s="304">
        <v>0.79</v>
      </c>
      <c r="N873" s="301">
        <f>VLOOKUP(2718,季財報!A:N,8,0)</f>
        <v>3</v>
      </c>
    </row>
    <row r="874" spans="1:14">
      <c r="A874" s="187">
        <v>2924</v>
      </c>
      <c r="C874">
        <v>6</v>
      </c>
      <c r="D874">
        <v>630</v>
      </c>
      <c r="E874">
        <v>185</v>
      </c>
      <c r="F874">
        <v>894</v>
      </c>
      <c r="G874">
        <v>35</v>
      </c>
      <c r="H874" s="200">
        <v>0.01</v>
      </c>
      <c r="I874">
        <f t="shared" si="109"/>
        <v>796</v>
      </c>
      <c r="J874" s="193">
        <v>0.01</v>
      </c>
      <c r="K874">
        <f t="shared" si="108"/>
        <v>708</v>
      </c>
      <c r="L874" s="62">
        <f t="shared" si="110"/>
        <v>803</v>
      </c>
      <c r="M874" s="304">
        <v>0.79</v>
      </c>
      <c r="N874" s="301">
        <f>VLOOKUP(2924,季財報!A:N,8,0)</f>
        <v>1</v>
      </c>
    </row>
    <row r="875" spans="1:14">
      <c r="A875" s="187">
        <v>3002</v>
      </c>
      <c r="C875">
        <v>9</v>
      </c>
      <c r="D875">
        <v>1224</v>
      </c>
      <c r="E875">
        <v>215</v>
      </c>
      <c r="F875">
        <v>1334</v>
      </c>
      <c r="G875">
        <v>0</v>
      </c>
      <c r="H875" s="200">
        <v>0.01</v>
      </c>
      <c r="I875">
        <f t="shared" si="109"/>
        <v>796</v>
      </c>
      <c r="J875" s="193">
        <v>0.01</v>
      </c>
      <c r="K875">
        <f t="shared" si="108"/>
        <v>708</v>
      </c>
      <c r="L875" s="62">
        <f t="shared" si="110"/>
        <v>803</v>
      </c>
      <c r="M875" s="304">
        <v>0.79</v>
      </c>
      <c r="N875" s="301">
        <f>VLOOKUP(3002,季財報!A:N,8,0)</f>
        <v>3</v>
      </c>
    </row>
    <row r="876" spans="1:14">
      <c r="A876" s="187">
        <v>3018</v>
      </c>
      <c r="C876">
        <v>4</v>
      </c>
      <c r="D876">
        <v>523</v>
      </c>
      <c r="E876">
        <v>195</v>
      </c>
      <c r="F876">
        <v>586</v>
      </c>
      <c r="G876">
        <v>64</v>
      </c>
      <c r="H876" s="200">
        <v>0.01</v>
      </c>
      <c r="I876">
        <f t="shared" si="109"/>
        <v>796</v>
      </c>
      <c r="J876" s="193">
        <v>0.01</v>
      </c>
      <c r="K876">
        <f t="shared" si="108"/>
        <v>708</v>
      </c>
      <c r="L876" s="62">
        <f t="shared" si="110"/>
        <v>803</v>
      </c>
      <c r="M876" s="304">
        <v>0.79</v>
      </c>
      <c r="N876" s="301">
        <f>VLOOKUP(3018,季財報!A:N,8,0)</f>
        <v>0</v>
      </c>
    </row>
    <row r="877" spans="1:14">
      <c r="A877" s="187">
        <v>3037</v>
      </c>
      <c r="C877">
        <v>378</v>
      </c>
      <c r="D877">
        <v>10641</v>
      </c>
      <c r="E877">
        <v>50596</v>
      </c>
      <c r="F877">
        <v>47515</v>
      </c>
      <c r="G877">
        <v>15510</v>
      </c>
      <c r="H877" s="200">
        <v>0.01</v>
      </c>
      <c r="I877">
        <f t="shared" si="109"/>
        <v>796</v>
      </c>
      <c r="J877" s="193">
        <v>0.01</v>
      </c>
      <c r="K877">
        <f t="shared" si="108"/>
        <v>708</v>
      </c>
      <c r="L877" s="62">
        <f t="shared" si="110"/>
        <v>803</v>
      </c>
      <c r="M877" s="304">
        <v>0.79</v>
      </c>
      <c r="N877" s="301">
        <f>VLOOKUP(3037,季財報!A:N,8,0)</f>
        <v>3</v>
      </c>
    </row>
    <row r="878" spans="1:14">
      <c r="A878" s="187">
        <v>3047</v>
      </c>
      <c r="C878">
        <v>33</v>
      </c>
      <c r="D878">
        <v>1869</v>
      </c>
      <c r="E878">
        <v>452</v>
      </c>
      <c r="F878">
        <v>2635</v>
      </c>
      <c r="G878">
        <v>454</v>
      </c>
      <c r="H878" s="200">
        <v>0.01</v>
      </c>
      <c r="I878">
        <f t="shared" si="109"/>
        <v>796</v>
      </c>
      <c r="J878" s="193">
        <v>0.01</v>
      </c>
      <c r="K878">
        <f t="shared" si="108"/>
        <v>708</v>
      </c>
      <c r="L878" s="62">
        <f t="shared" si="110"/>
        <v>803</v>
      </c>
      <c r="M878" s="304">
        <v>0.79</v>
      </c>
      <c r="N878" s="301">
        <f>VLOOKUP(3047,季財報!A:N,8,0)</f>
        <v>3</v>
      </c>
    </row>
    <row r="879" spans="1:14">
      <c r="A879" s="187">
        <v>3058</v>
      </c>
      <c r="C879">
        <v>25</v>
      </c>
      <c r="D879">
        <v>626</v>
      </c>
      <c r="E879">
        <v>1727</v>
      </c>
      <c r="F879">
        <v>2899</v>
      </c>
      <c r="G879">
        <v>834</v>
      </c>
      <c r="H879" s="200">
        <v>0.01</v>
      </c>
      <c r="I879">
        <f t="shared" si="109"/>
        <v>796</v>
      </c>
      <c r="J879" s="193">
        <v>0.01</v>
      </c>
      <c r="K879">
        <f t="shared" si="108"/>
        <v>708</v>
      </c>
      <c r="L879" s="62">
        <f t="shared" si="110"/>
        <v>803</v>
      </c>
      <c r="M879" s="304">
        <v>2.29</v>
      </c>
      <c r="N879" s="301">
        <f>VLOOKUP(3058,季財報!A:N,8,0)</f>
        <v>1</v>
      </c>
    </row>
    <row r="880" spans="1:14">
      <c r="A880" s="187">
        <v>3094</v>
      </c>
      <c r="C880">
        <v>9</v>
      </c>
      <c r="D880">
        <v>931</v>
      </c>
      <c r="E880">
        <v>132</v>
      </c>
      <c r="F880">
        <v>1231</v>
      </c>
      <c r="G880">
        <v>0</v>
      </c>
      <c r="H880" s="200">
        <v>0.01</v>
      </c>
      <c r="I880">
        <f t="shared" si="109"/>
        <v>796</v>
      </c>
      <c r="J880" s="193">
        <v>0.01</v>
      </c>
      <c r="K880">
        <f t="shared" si="108"/>
        <v>708</v>
      </c>
      <c r="L880" s="62">
        <f t="shared" si="110"/>
        <v>803</v>
      </c>
      <c r="M880" s="304">
        <v>0.79</v>
      </c>
      <c r="N880" s="301">
        <f>VLOOKUP(3094,季財報!A:N,8,0)</f>
        <v>4</v>
      </c>
    </row>
    <row r="881" spans="1:14">
      <c r="A881" s="187">
        <v>3141</v>
      </c>
      <c r="C881">
        <v>15</v>
      </c>
      <c r="D881">
        <v>953</v>
      </c>
      <c r="E881">
        <v>91</v>
      </c>
      <c r="F881">
        <v>1215</v>
      </c>
      <c r="G881">
        <v>0</v>
      </c>
      <c r="H881" s="200">
        <v>0.01</v>
      </c>
      <c r="I881">
        <f t="shared" si="109"/>
        <v>796</v>
      </c>
      <c r="J881" s="193">
        <v>0.01</v>
      </c>
      <c r="K881">
        <f t="shared" si="108"/>
        <v>708</v>
      </c>
      <c r="L881" s="62">
        <f t="shared" si="110"/>
        <v>803</v>
      </c>
      <c r="M881" s="304">
        <v>1.58</v>
      </c>
      <c r="N881" s="301">
        <f>VLOOKUP(3141,季財報!A:N,8,0)</f>
        <v>2</v>
      </c>
    </row>
    <row r="882" spans="1:14">
      <c r="A882" s="187">
        <v>3218</v>
      </c>
      <c r="C882">
        <v>15</v>
      </c>
      <c r="D882">
        <v>468</v>
      </c>
      <c r="E882">
        <v>789</v>
      </c>
      <c r="F882">
        <v>1134</v>
      </c>
      <c r="G882">
        <v>313</v>
      </c>
      <c r="H882" s="200">
        <v>0.01</v>
      </c>
      <c r="I882">
        <f t="shared" si="109"/>
        <v>796</v>
      </c>
      <c r="J882" s="193">
        <v>0.01</v>
      </c>
      <c r="K882">
        <f t="shared" si="108"/>
        <v>708</v>
      </c>
      <c r="L882" s="62">
        <f t="shared" si="110"/>
        <v>803</v>
      </c>
      <c r="M882" s="304">
        <v>1.1399999999999999</v>
      </c>
      <c r="N882" s="301">
        <f>VLOOKUP(3218,季財報!A:N,8,0)</f>
        <v>4</v>
      </c>
    </row>
    <row r="883" spans="1:14">
      <c r="A883" s="187">
        <v>3219</v>
      </c>
      <c r="C883">
        <v>1</v>
      </c>
      <c r="D883">
        <v>162</v>
      </c>
      <c r="E883">
        <v>1</v>
      </c>
      <c r="F883">
        <v>161</v>
      </c>
      <c r="G883">
        <v>2</v>
      </c>
      <c r="H883" s="200">
        <v>0.01</v>
      </c>
      <c r="I883">
        <f t="shared" si="109"/>
        <v>796</v>
      </c>
      <c r="J883" s="193">
        <v>0.01</v>
      </c>
      <c r="K883">
        <f t="shared" si="108"/>
        <v>708</v>
      </c>
      <c r="L883" s="62">
        <f t="shared" si="110"/>
        <v>803</v>
      </c>
      <c r="M883" s="304">
        <v>0.79</v>
      </c>
      <c r="N883" s="301">
        <f>VLOOKUP(3219,季財報!A:N,8,0)</f>
        <v>1</v>
      </c>
    </row>
    <row r="884" spans="1:14">
      <c r="A884" s="187">
        <v>3296</v>
      </c>
      <c r="C884">
        <v>15</v>
      </c>
      <c r="D884">
        <v>1409</v>
      </c>
      <c r="E884">
        <v>370</v>
      </c>
      <c r="F884">
        <v>1830</v>
      </c>
      <c r="G884">
        <v>0</v>
      </c>
      <c r="H884" s="200">
        <v>0.01</v>
      </c>
      <c r="I884">
        <f t="shared" si="109"/>
        <v>796</v>
      </c>
      <c r="J884" s="193">
        <v>0.01</v>
      </c>
      <c r="K884">
        <f t="shared" si="108"/>
        <v>708</v>
      </c>
      <c r="L884" s="62">
        <f t="shared" si="110"/>
        <v>803</v>
      </c>
      <c r="M884" s="304">
        <v>1.9</v>
      </c>
      <c r="N884" s="301">
        <f>VLOOKUP(3296,季財報!A:N,8,0)</f>
        <v>2</v>
      </c>
    </row>
    <row r="885" spans="1:14">
      <c r="A885" s="187">
        <v>3305</v>
      </c>
      <c r="C885">
        <v>60</v>
      </c>
      <c r="D885">
        <v>3174</v>
      </c>
      <c r="E885">
        <v>1096</v>
      </c>
      <c r="F885">
        <v>4008</v>
      </c>
      <c r="G885">
        <v>1615</v>
      </c>
      <c r="H885" s="200">
        <v>0.01</v>
      </c>
      <c r="I885">
        <f t="shared" si="109"/>
        <v>796</v>
      </c>
      <c r="J885" s="193">
        <v>0.01</v>
      </c>
      <c r="K885">
        <f t="shared" si="108"/>
        <v>708</v>
      </c>
      <c r="L885" s="62">
        <f t="shared" si="110"/>
        <v>803</v>
      </c>
      <c r="M885" s="304">
        <v>4.05</v>
      </c>
      <c r="N885" s="301">
        <f>VLOOKUP(3305,季財報!A:N,8,0)</f>
        <v>2</v>
      </c>
    </row>
    <row r="886" spans="1:14">
      <c r="A886" s="187">
        <v>3306</v>
      </c>
      <c r="C886">
        <v>12</v>
      </c>
      <c r="D886">
        <v>844</v>
      </c>
      <c r="E886">
        <v>11</v>
      </c>
      <c r="F886">
        <v>1412</v>
      </c>
      <c r="G886">
        <v>0</v>
      </c>
      <c r="H886" s="200">
        <v>0.01</v>
      </c>
      <c r="I886">
        <f t="shared" si="109"/>
        <v>796</v>
      </c>
      <c r="J886" s="193">
        <v>0.01</v>
      </c>
      <c r="K886">
        <f t="shared" si="108"/>
        <v>708</v>
      </c>
      <c r="L886" s="62">
        <f t="shared" si="110"/>
        <v>803</v>
      </c>
      <c r="M886" s="304">
        <v>1.1399999999999999</v>
      </c>
      <c r="N886" s="301">
        <f>VLOOKUP(3306,季財報!A:N,8,0)</f>
        <v>3</v>
      </c>
    </row>
    <row r="887" spans="1:14">
      <c r="A887" s="187">
        <v>3444</v>
      </c>
      <c r="C887">
        <v>5</v>
      </c>
      <c r="D887">
        <v>297</v>
      </c>
      <c r="E887">
        <v>217</v>
      </c>
      <c r="F887">
        <v>573</v>
      </c>
      <c r="G887">
        <v>55</v>
      </c>
      <c r="H887" s="200">
        <v>0.01</v>
      </c>
      <c r="I887">
        <f t="shared" si="109"/>
        <v>796</v>
      </c>
      <c r="J887" s="193">
        <v>0.01</v>
      </c>
      <c r="K887">
        <f t="shared" si="108"/>
        <v>708</v>
      </c>
      <c r="L887" s="62">
        <f t="shared" si="110"/>
        <v>803</v>
      </c>
      <c r="M887" s="304">
        <v>0.79</v>
      </c>
      <c r="N887" s="301">
        <f>VLOOKUP(3444,季財報!A:N,8,0)</f>
        <v>1</v>
      </c>
    </row>
    <row r="888" spans="1:14">
      <c r="A888" s="187">
        <v>3504</v>
      </c>
      <c r="C888">
        <v>53</v>
      </c>
      <c r="D888">
        <v>1638</v>
      </c>
      <c r="E888">
        <v>2160</v>
      </c>
      <c r="F888">
        <v>4036</v>
      </c>
      <c r="G888">
        <v>500</v>
      </c>
      <c r="H888" s="200">
        <v>0.01</v>
      </c>
      <c r="I888">
        <f t="shared" si="109"/>
        <v>796</v>
      </c>
      <c r="J888" s="193">
        <v>0.01</v>
      </c>
      <c r="K888">
        <f t="shared" si="108"/>
        <v>708</v>
      </c>
      <c r="L888" s="62">
        <f t="shared" si="110"/>
        <v>803</v>
      </c>
      <c r="M888" s="304">
        <v>0.79</v>
      </c>
      <c r="N888" s="301">
        <f>VLOOKUP(3504,季財報!A:N,8,0)</f>
        <v>2</v>
      </c>
    </row>
    <row r="889" spans="1:14">
      <c r="A889" s="187">
        <v>3531</v>
      </c>
      <c r="C889">
        <v>12</v>
      </c>
      <c r="D889">
        <v>1147</v>
      </c>
      <c r="E889">
        <v>536</v>
      </c>
      <c r="F889">
        <v>1766</v>
      </c>
      <c r="G889">
        <v>503</v>
      </c>
      <c r="H889" s="200">
        <v>0.01</v>
      </c>
      <c r="I889">
        <f t="shared" si="109"/>
        <v>796</v>
      </c>
      <c r="J889" s="193">
        <v>0.01</v>
      </c>
      <c r="K889">
        <f t="shared" si="108"/>
        <v>708</v>
      </c>
      <c r="L889" s="62">
        <f t="shared" si="110"/>
        <v>803</v>
      </c>
      <c r="M889" s="304">
        <v>3.67</v>
      </c>
      <c r="N889" s="301">
        <f>VLOOKUP(3531,季財報!A:N,8,0)</f>
        <v>2</v>
      </c>
    </row>
    <row r="890" spans="1:14">
      <c r="A890" s="187">
        <v>3540</v>
      </c>
      <c r="C890">
        <v>8</v>
      </c>
      <c r="D890">
        <v>996</v>
      </c>
      <c r="E890">
        <v>116</v>
      </c>
      <c r="F890">
        <v>1265</v>
      </c>
      <c r="G890">
        <v>266</v>
      </c>
      <c r="H890" s="200">
        <v>0.01</v>
      </c>
      <c r="I890">
        <f t="shared" si="109"/>
        <v>796</v>
      </c>
      <c r="J890" s="193">
        <v>0.01</v>
      </c>
      <c r="K890">
        <f t="shared" si="108"/>
        <v>708</v>
      </c>
      <c r="L890" s="62">
        <f t="shared" si="110"/>
        <v>803</v>
      </c>
      <c r="M890" s="304">
        <v>0.79</v>
      </c>
      <c r="N890" s="301">
        <f>VLOOKUP(3540,季財報!A:N,8,0)</f>
        <v>2</v>
      </c>
    </row>
    <row r="891" spans="1:14">
      <c r="A891" s="187">
        <v>3550</v>
      </c>
      <c r="C891">
        <v>26</v>
      </c>
      <c r="D891">
        <v>2168</v>
      </c>
      <c r="E891">
        <v>476</v>
      </c>
      <c r="F891">
        <v>2340</v>
      </c>
      <c r="G891">
        <v>497</v>
      </c>
      <c r="H891" s="200">
        <v>0.01</v>
      </c>
      <c r="I891">
        <f t="shared" si="109"/>
        <v>796</v>
      </c>
      <c r="J891" s="193">
        <v>0.01</v>
      </c>
      <c r="K891">
        <f t="shared" si="108"/>
        <v>708</v>
      </c>
      <c r="L891" s="62">
        <f t="shared" si="110"/>
        <v>803</v>
      </c>
      <c r="M891" s="304">
        <v>1.01</v>
      </c>
      <c r="N891" s="301">
        <f>VLOOKUP(3550,季財報!A:N,8,0)</f>
        <v>2</v>
      </c>
    </row>
    <row r="892" spans="1:14">
      <c r="A892" s="187">
        <v>3624</v>
      </c>
      <c r="C892">
        <v>37</v>
      </c>
      <c r="D892">
        <v>1175</v>
      </c>
      <c r="E892">
        <v>1336</v>
      </c>
      <c r="F892">
        <v>2495</v>
      </c>
      <c r="G892">
        <v>478</v>
      </c>
      <c r="H892" s="200">
        <v>0.01</v>
      </c>
      <c r="I892">
        <f t="shared" si="109"/>
        <v>796</v>
      </c>
      <c r="J892" s="193">
        <v>0.01</v>
      </c>
      <c r="K892">
        <f t="shared" si="108"/>
        <v>708</v>
      </c>
      <c r="L892" s="62">
        <f t="shared" si="110"/>
        <v>803</v>
      </c>
      <c r="M892" s="304">
        <v>1.9</v>
      </c>
      <c r="N892" s="301">
        <f>VLOOKUP(3624,季財報!A:N,8,0)</f>
        <v>3</v>
      </c>
    </row>
    <row r="893" spans="1:14">
      <c r="A893" s="187">
        <v>3628</v>
      </c>
      <c r="C893">
        <v>14</v>
      </c>
      <c r="D893">
        <v>851</v>
      </c>
      <c r="E893">
        <v>827</v>
      </c>
      <c r="F893">
        <v>1697</v>
      </c>
      <c r="G893">
        <v>248</v>
      </c>
      <c r="H893" s="200">
        <v>0.01</v>
      </c>
      <c r="I893">
        <f t="shared" si="109"/>
        <v>796</v>
      </c>
      <c r="J893" s="193">
        <v>0.01</v>
      </c>
      <c r="K893">
        <f t="shared" si="108"/>
        <v>708</v>
      </c>
      <c r="L893" s="62">
        <f t="shared" si="110"/>
        <v>803</v>
      </c>
      <c r="M893" s="304">
        <v>1.1399999999999999</v>
      </c>
      <c r="N893" s="301">
        <f>VLOOKUP(3628,季財報!A:N,8,0)</f>
        <v>0</v>
      </c>
    </row>
    <row r="894" spans="1:14">
      <c r="A894" s="187">
        <v>3653</v>
      </c>
      <c r="C894">
        <v>32</v>
      </c>
      <c r="D894">
        <v>2479</v>
      </c>
      <c r="E894">
        <v>1817</v>
      </c>
      <c r="F894">
        <v>4392</v>
      </c>
      <c r="G894">
        <v>0</v>
      </c>
      <c r="H894" s="200">
        <v>0.01</v>
      </c>
      <c r="I894">
        <f t="shared" si="109"/>
        <v>796</v>
      </c>
      <c r="J894" s="193">
        <v>0.01</v>
      </c>
      <c r="K894">
        <f t="shared" si="108"/>
        <v>708</v>
      </c>
      <c r="L894" s="62">
        <f t="shared" si="110"/>
        <v>803</v>
      </c>
      <c r="M894" s="304">
        <v>0.79</v>
      </c>
      <c r="N894" s="301">
        <f>VLOOKUP(3653,季財報!A:N,8,0)</f>
        <v>3</v>
      </c>
    </row>
    <row r="895" spans="1:14">
      <c r="A895" s="187">
        <v>3680</v>
      </c>
      <c r="C895">
        <v>12</v>
      </c>
      <c r="D895">
        <v>0</v>
      </c>
      <c r="E895">
        <v>1503</v>
      </c>
      <c r="F895">
        <v>1095</v>
      </c>
      <c r="G895">
        <v>961</v>
      </c>
      <c r="H895" s="200">
        <v>0.01</v>
      </c>
      <c r="I895">
        <f t="shared" si="109"/>
        <v>796</v>
      </c>
      <c r="J895" s="193">
        <v>0.01</v>
      </c>
      <c r="K895">
        <f t="shared" si="108"/>
        <v>708</v>
      </c>
      <c r="L895" s="62">
        <f t="shared" si="110"/>
        <v>803</v>
      </c>
      <c r="M895" s="304">
        <v>0.79</v>
      </c>
      <c r="N895" s="301">
        <f>VLOOKUP(3680,季財報!A:N,8,0)</f>
        <v>3</v>
      </c>
    </row>
    <row r="896" spans="1:14">
      <c r="A896" s="187">
        <v>3685</v>
      </c>
      <c r="C896">
        <v>11</v>
      </c>
      <c r="D896">
        <v>648</v>
      </c>
      <c r="E896">
        <v>585</v>
      </c>
      <c r="F896">
        <v>1278</v>
      </c>
      <c r="G896">
        <v>99</v>
      </c>
      <c r="H896" s="200">
        <v>0.01</v>
      </c>
      <c r="I896">
        <f t="shared" si="109"/>
        <v>796</v>
      </c>
      <c r="J896" s="193">
        <v>0.01</v>
      </c>
      <c r="K896">
        <f t="shared" si="108"/>
        <v>708</v>
      </c>
      <c r="L896" s="62">
        <f t="shared" si="110"/>
        <v>803</v>
      </c>
      <c r="M896" s="304">
        <v>0.87</v>
      </c>
      <c r="N896" s="301">
        <f>VLOOKUP(3685,季財報!A:N,8,0)</f>
        <v>2</v>
      </c>
    </row>
    <row r="897" spans="1:14">
      <c r="A897" s="187">
        <v>4106</v>
      </c>
      <c r="C897">
        <v>12</v>
      </c>
      <c r="D897">
        <v>327</v>
      </c>
      <c r="E897">
        <v>683</v>
      </c>
      <c r="F897">
        <v>1604</v>
      </c>
      <c r="G897">
        <v>510</v>
      </c>
      <c r="H897" s="200">
        <v>0.01</v>
      </c>
      <c r="I897">
        <f t="shared" si="109"/>
        <v>796</v>
      </c>
      <c r="J897" s="193">
        <v>0.01</v>
      </c>
      <c r="K897">
        <f t="shared" si="108"/>
        <v>708</v>
      </c>
      <c r="L897" s="62">
        <f t="shared" si="110"/>
        <v>803</v>
      </c>
      <c r="M897" s="304">
        <v>1.01</v>
      </c>
      <c r="N897" s="301">
        <f>VLOOKUP(4106,季財報!A:N,8,0)</f>
        <v>1</v>
      </c>
    </row>
    <row r="898" spans="1:14">
      <c r="A898" s="187">
        <v>9950</v>
      </c>
      <c r="C898">
        <v>22</v>
      </c>
      <c r="D898">
        <v>335</v>
      </c>
      <c r="E898">
        <v>1854</v>
      </c>
      <c r="F898">
        <v>1125</v>
      </c>
      <c r="G898">
        <v>423</v>
      </c>
      <c r="H898" s="200">
        <v>0.01</v>
      </c>
      <c r="I898">
        <f t="shared" si="109"/>
        <v>796</v>
      </c>
      <c r="J898" s="193">
        <v>0.01</v>
      </c>
      <c r="K898">
        <f t="shared" si="108"/>
        <v>708</v>
      </c>
      <c r="L898" s="62">
        <f t="shared" si="110"/>
        <v>803</v>
      </c>
      <c r="M898" s="304">
        <v>0.79</v>
      </c>
      <c r="N898" s="301">
        <f>VLOOKUP(9950,季財報!A:N,8,0)</f>
        <v>3</v>
      </c>
    </row>
    <row r="899" spans="1:14">
      <c r="A899" s="187">
        <v>8923</v>
      </c>
      <c r="C899">
        <v>3</v>
      </c>
      <c r="D899">
        <v>218</v>
      </c>
      <c r="E899">
        <v>11</v>
      </c>
      <c r="F899">
        <v>427</v>
      </c>
      <c r="G899">
        <v>0</v>
      </c>
      <c r="H899" s="200">
        <v>0.01</v>
      </c>
      <c r="I899">
        <f t="shared" si="109"/>
        <v>796</v>
      </c>
      <c r="J899" s="193">
        <v>0.01</v>
      </c>
      <c r="K899">
        <f t="shared" si="108"/>
        <v>708</v>
      </c>
      <c r="L899" s="62">
        <f t="shared" si="110"/>
        <v>803</v>
      </c>
      <c r="M899" s="304">
        <v>2.69</v>
      </c>
      <c r="N899" s="301">
        <f>VLOOKUP(8923,季財報!A:N,8,0)</f>
        <v>1</v>
      </c>
    </row>
    <row r="900" spans="1:14">
      <c r="A900" s="187">
        <v>8240</v>
      </c>
      <c r="C900">
        <v>48</v>
      </c>
      <c r="D900">
        <v>3344</v>
      </c>
      <c r="E900">
        <v>2488</v>
      </c>
      <c r="F900">
        <v>4737</v>
      </c>
      <c r="G900">
        <v>745</v>
      </c>
      <c r="H900" s="200">
        <v>0.01</v>
      </c>
      <c r="I900">
        <f t="shared" ref="I900:I931" si="111">RANK(0.01,H:H,0)</f>
        <v>796</v>
      </c>
      <c r="J900" s="193">
        <v>0.01</v>
      </c>
      <c r="K900">
        <f t="shared" si="108"/>
        <v>708</v>
      </c>
      <c r="L900" s="62">
        <f t="shared" ref="L900:L931" si="112">RANK(1.01,M:M,0)</f>
        <v>803</v>
      </c>
      <c r="M900" s="304">
        <v>0.79</v>
      </c>
      <c r="N900" s="301">
        <f>VLOOKUP(8240,季財報!A:N,8,0)</f>
        <v>4</v>
      </c>
    </row>
    <row r="901" spans="1:14">
      <c r="A901" s="187">
        <v>8289</v>
      </c>
      <c r="C901">
        <v>17</v>
      </c>
      <c r="D901">
        <v>1021</v>
      </c>
      <c r="E901">
        <v>508</v>
      </c>
      <c r="F901">
        <v>1524</v>
      </c>
      <c r="G901">
        <v>151</v>
      </c>
      <c r="H901" s="200">
        <v>0.01</v>
      </c>
      <c r="I901">
        <f t="shared" si="111"/>
        <v>796</v>
      </c>
      <c r="J901" s="193">
        <v>0.01</v>
      </c>
      <c r="K901">
        <f t="shared" si="108"/>
        <v>708</v>
      </c>
      <c r="L901" s="62">
        <f t="shared" si="112"/>
        <v>803</v>
      </c>
      <c r="M901" s="304">
        <v>1.1399999999999999</v>
      </c>
      <c r="N901" s="301">
        <f>VLOOKUP(8289,季財報!A:N,8,0)</f>
        <v>4</v>
      </c>
    </row>
    <row r="902" spans="1:14">
      <c r="A902" s="187">
        <v>8155</v>
      </c>
      <c r="C902">
        <v>11</v>
      </c>
      <c r="D902">
        <v>519</v>
      </c>
      <c r="E902">
        <v>809</v>
      </c>
      <c r="F902">
        <v>1298</v>
      </c>
      <c r="G902">
        <v>26</v>
      </c>
      <c r="H902" s="200">
        <v>0.01</v>
      </c>
      <c r="I902">
        <f t="shared" si="111"/>
        <v>796</v>
      </c>
      <c r="J902" s="193">
        <v>0.01</v>
      </c>
      <c r="K902">
        <f t="shared" si="108"/>
        <v>708</v>
      </c>
      <c r="L902" s="62">
        <f t="shared" si="112"/>
        <v>803</v>
      </c>
      <c r="M902" s="304">
        <v>0.79</v>
      </c>
      <c r="N902" s="301">
        <f>VLOOKUP(8155,季財報!A:N,8,0)</f>
        <v>3</v>
      </c>
    </row>
    <row r="903" spans="1:14">
      <c r="A903" s="187">
        <v>6506</v>
      </c>
      <c r="C903">
        <v>11</v>
      </c>
      <c r="D903">
        <v>307</v>
      </c>
      <c r="E903">
        <v>1091</v>
      </c>
      <c r="F903">
        <v>1036</v>
      </c>
      <c r="G903">
        <v>270</v>
      </c>
      <c r="H903" s="200">
        <v>0.01</v>
      </c>
      <c r="I903">
        <f t="shared" si="111"/>
        <v>796</v>
      </c>
      <c r="J903" s="193">
        <v>0.01</v>
      </c>
      <c r="K903">
        <f t="shared" si="108"/>
        <v>708</v>
      </c>
      <c r="L903" s="62">
        <f t="shared" si="112"/>
        <v>803</v>
      </c>
      <c r="M903" s="304">
        <v>0.79</v>
      </c>
      <c r="N903" s="301">
        <f>VLOOKUP(6506,季財報!A:N,8,0)</f>
        <v>1</v>
      </c>
    </row>
    <row r="904" spans="1:14">
      <c r="A904" s="187">
        <v>6603</v>
      </c>
      <c r="C904">
        <v>28</v>
      </c>
      <c r="D904">
        <v>1655</v>
      </c>
      <c r="E904">
        <v>1083</v>
      </c>
      <c r="F904">
        <v>1948</v>
      </c>
      <c r="G904">
        <v>534</v>
      </c>
      <c r="H904" s="200">
        <v>0.01</v>
      </c>
      <c r="I904">
        <f t="shared" si="111"/>
        <v>796</v>
      </c>
      <c r="J904" s="193">
        <v>0.01</v>
      </c>
      <c r="K904">
        <f t="shared" si="108"/>
        <v>708</v>
      </c>
      <c r="L904" s="62">
        <f t="shared" si="112"/>
        <v>803</v>
      </c>
      <c r="M904" s="304">
        <v>0.79</v>
      </c>
      <c r="N904" s="301">
        <f>VLOOKUP(6603,季財報!A:N,8,0)</f>
        <v>2</v>
      </c>
    </row>
    <row r="905" spans="1:14">
      <c r="A905" s="187">
        <v>6609</v>
      </c>
      <c r="C905">
        <v>21</v>
      </c>
      <c r="D905">
        <v>1395</v>
      </c>
      <c r="E905">
        <v>795</v>
      </c>
      <c r="F905">
        <v>1864</v>
      </c>
      <c r="G905">
        <v>370</v>
      </c>
      <c r="H905" s="200">
        <v>0.01</v>
      </c>
      <c r="I905">
        <f t="shared" si="111"/>
        <v>796</v>
      </c>
      <c r="J905" s="193">
        <v>0.01</v>
      </c>
      <c r="K905">
        <f t="shared" si="108"/>
        <v>708</v>
      </c>
      <c r="L905" s="62">
        <f t="shared" si="112"/>
        <v>803</v>
      </c>
      <c r="M905" s="304">
        <v>0.79</v>
      </c>
      <c r="N905" s="301">
        <f>VLOOKUP(6609,季財報!A:N,8,0)</f>
        <v>2</v>
      </c>
    </row>
    <row r="906" spans="1:14">
      <c r="A906" s="187">
        <v>6199</v>
      </c>
      <c r="C906">
        <v>7</v>
      </c>
      <c r="D906">
        <v>568</v>
      </c>
      <c r="E906">
        <v>8</v>
      </c>
      <c r="F906">
        <v>762</v>
      </c>
      <c r="G906">
        <v>0</v>
      </c>
      <c r="H906" s="200">
        <v>0.01</v>
      </c>
      <c r="I906">
        <f t="shared" si="111"/>
        <v>796</v>
      </c>
      <c r="J906" s="193">
        <v>0.01</v>
      </c>
      <c r="K906">
        <f t="shared" si="108"/>
        <v>708</v>
      </c>
      <c r="L906" s="62">
        <f t="shared" si="112"/>
        <v>803</v>
      </c>
      <c r="M906" s="304">
        <v>0.79</v>
      </c>
      <c r="N906" s="301">
        <f>VLOOKUP(6199,季財報!A:N,8,0)</f>
        <v>2</v>
      </c>
    </row>
    <row r="907" spans="1:14">
      <c r="A907" s="187">
        <v>6215</v>
      </c>
      <c r="C907">
        <v>10</v>
      </c>
      <c r="D907">
        <v>584</v>
      </c>
      <c r="E907">
        <v>530</v>
      </c>
      <c r="F907">
        <v>1152</v>
      </c>
      <c r="G907">
        <v>356</v>
      </c>
      <c r="H907" s="200">
        <v>0.01</v>
      </c>
      <c r="I907">
        <f t="shared" si="111"/>
        <v>796</v>
      </c>
      <c r="J907" s="193">
        <v>0.01</v>
      </c>
      <c r="K907">
        <f t="shared" si="108"/>
        <v>708</v>
      </c>
      <c r="L907" s="62">
        <f t="shared" si="112"/>
        <v>803</v>
      </c>
      <c r="M907" s="304">
        <v>0.79</v>
      </c>
      <c r="N907" s="301">
        <f>VLOOKUP(6215,季財報!A:N,8,0)</f>
        <v>1</v>
      </c>
    </row>
    <row r="908" spans="1:14">
      <c r="A908" s="187">
        <v>5255</v>
      </c>
      <c r="C908">
        <v>9</v>
      </c>
      <c r="D908">
        <v>162</v>
      </c>
      <c r="E908">
        <v>478</v>
      </c>
      <c r="F908">
        <v>645</v>
      </c>
      <c r="G908">
        <v>256</v>
      </c>
      <c r="H908" s="200">
        <v>0.01</v>
      </c>
      <c r="I908">
        <f t="shared" si="111"/>
        <v>796</v>
      </c>
      <c r="J908" s="193">
        <v>0.01</v>
      </c>
      <c r="K908">
        <f t="shared" si="108"/>
        <v>708</v>
      </c>
      <c r="L908" s="62">
        <f t="shared" si="112"/>
        <v>803</v>
      </c>
      <c r="M908" s="304">
        <v>0.79</v>
      </c>
      <c r="N908" s="301">
        <f>VLOOKUP(5255,季財報!A:N,8,0)</f>
        <v>2</v>
      </c>
    </row>
    <row r="909" spans="1:14">
      <c r="A909" s="187">
        <v>5353</v>
      </c>
      <c r="C909">
        <v>8</v>
      </c>
      <c r="D909">
        <v>790</v>
      </c>
      <c r="E909">
        <v>358</v>
      </c>
      <c r="F909">
        <v>1199</v>
      </c>
      <c r="G909">
        <v>0</v>
      </c>
      <c r="H909" s="200">
        <v>0.01</v>
      </c>
      <c r="I909">
        <f t="shared" si="111"/>
        <v>796</v>
      </c>
      <c r="J909" s="193">
        <v>0.01</v>
      </c>
      <c r="K909">
        <f t="shared" si="108"/>
        <v>708</v>
      </c>
      <c r="L909" s="62">
        <f t="shared" si="112"/>
        <v>803</v>
      </c>
      <c r="M909" s="304">
        <v>1.9</v>
      </c>
      <c r="N909" s="301">
        <f>VLOOKUP(5353,季財報!A:N,8,0)</f>
        <v>4</v>
      </c>
    </row>
    <row r="910" spans="1:14">
      <c r="A910" s="187">
        <v>5384</v>
      </c>
      <c r="C910">
        <v>8</v>
      </c>
      <c r="D910">
        <v>995</v>
      </c>
      <c r="E910">
        <v>23</v>
      </c>
      <c r="F910">
        <v>1130</v>
      </c>
      <c r="G910">
        <v>326</v>
      </c>
      <c r="H910" s="200">
        <v>0.01</v>
      </c>
      <c r="I910">
        <f t="shared" si="111"/>
        <v>796</v>
      </c>
      <c r="J910" s="193">
        <v>0.01</v>
      </c>
      <c r="K910">
        <f t="shared" si="108"/>
        <v>708</v>
      </c>
      <c r="L910" s="62">
        <f t="shared" si="112"/>
        <v>803</v>
      </c>
      <c r="M910" s="304">
        <v>3.67</v>
      </c>
      <c r="N910" s="301">
        <f>VLOOKUP(5384,季財報!A:N,8,0)</f>
        <v>0</v>
      </c>
    </row>
    <row r="911" spans="1:14">
      <c r="A911" s="187">
        <v>5432</v>
      </c>
      <c r="C911">
        <v>2</v>
      </c>
      <c r="D911">
        <v>198</v>
      </c>
      <c r="E911">
        <v>42</v>
      </c>
      <c r="F911">
        <v>264</v>
      </c>
      <c r="G911">
        <v>0</v>
      </c>
      <c r="H911" s="200">
        <v>0.01</v>
      </c>
      <c r="I911">
        <f t="shared" si="111"/>
        <v>796</v>
      </c>
      <c r="J911" s="193">
        <v>0.01</v>
      </c>
      <c r="K911">
        <f t="shared" si="108"/>
        <v>708</v>
      </c>
      <c r="L911" s="62">
        <f t="shared" si="112"/>
        <v>803</v>
      </c>
      <c r="M911" s="304">
        <v>5.24</v>
      </c>
      <c r="N911" s="301">
        <f>VLOOKUP(5432,季財報!A:N,8,0)</f>
        <v>3</v>
      </c>
    </row>
    <row r="912" spans="1:14">
      <c r="A912" s="187">
        <v>5511</v>
      </c>
      <c r="C912">
        <v>33</v>
      </c>
      <c r="D912">
        <v>2650</v>
      </c>
      <c r="E912">
        <v>82</v>
      </c>
      <c r="F912">
        <v>3221</v>
      </c>
      <c r="G912">
        <v>260</v>
      </c>
      <c r="H912" s="200">
        <v>0.01</v>
      </c>
      <c r="I912">
        <f t="shared" si="111"/>
        <v>796</v>
      </c>
      <c r="J912" s="193">
        <v>0.01</v>
      </c>
      <c r="K912">
        <f t="shared" si="108"/>
        <v>708</v>
      </c>
      <c r="L912" s="62">
        <f t="shared" si="112"/>
        <v>803</v>
      </c>
      <c r="M912" s="304">
        <v>0.79</v>
      </c>
      <c r="N912" s="301">
        <f>VLOOKUP(5511,季財報!A:N,8,0)</f>
        <v>0</v>
      </c>
    </row>
    <row r="913" spans="1:14">
      <c r="A913" s="187">
        <v>5512</v>
      </c>
      <c r="C913">
        <v>151</v>
      </c>
      <c r="D913">
        <v>8731</v>
      </c>
      <c r="E913">
        <v>2010</v>
      </c>
      <c r="F913">
        <v>15674</v>
      </c>
      <c r="G913">
        <v>10896</v>
      </c>
      <c r="H913" s="200">
        <v>0.01</v>
      </c>
      <c r="I913">
        <f t="shared" si="111"/>
        <v>796</v>
      </c>
      <c r="J913" s="193">
        <v>0.01</v>
      </c>
      <c r="K913">
        <f t="shared" si="108"/>
        <v>708</v>
      </c>
      <c r="L913" s="62">
        <f t="shared" si="112"/>
        <v>803</v>
      </c>
      <c r="M913" s="304">
        <v>1.9</v>
      </c>
      <c r="N913" s="301">
        <f>VLOOKUP(5512,季財報!A:N,8,0)</f>
        <v>0</v>
      </c>
    </row>
    <row r="914" spans="1:14">
      <c r="A914" s="187">
        <v>4207</v>
      </c>
      <c r="C914">
        <v>25</v>
      </c>
      <c r="D914">
        <v>311</v>
      </c>
      <c r="E914">
        <v>1861</v>
      </c>
      <c r="F914">
        <v>2285</v>
      </c>
      <c r="G914">
        <v>998</v>
      </c>
      <c r="H914" s="200">
        <v>0.01</v>
      </c>
      <c r="I914">
        <f t="shared" si="111"/>
        <v>796</v>
      </c>
      <c r="J914" s="193">
        <v>0.01</v>
      </c>
      <c r="K914">
        <f t="shared" si="108"/>
        <v>708</v>
      </c>
      <c r="L914" s="62">
        <f t="shared" si="112"/>
        <v>803</v>
      </c>
      <c r="M914" s="304">
        <v>1.9</v>
      </c>
      <c r="N914" s="301">
        <f>VLOOKUP(4207,季財報!A:N,8,0)</f>
        <v>1</v>
      </c>
    </row>
    <row r="915" spans="1:14">
      <c r="A915" s="187">
        <v>4306</v>
      </c>
      <c r="C915">
        <v>172</v>
      </c>
      <c r="D915">
        <v>3009</v>
      </c>
      <c r="E915">
        <v>17118</v>
      </c>
      <c r="F915">
        <v>12511</v>
      </c>
      <c r="G915">
        <v>10707</v>
      </c>
      <c r="H915" s="200">
        <v>0.01</v>
      </c>
      <c r="I915">
        <f t="shared" si="111"/>
        <v>796</v>
      </c>
      <c r="J915" s="193">
        <v>0.01</v>
      </c>
      <c r="K915">
        <f t="shared" si="108"/>
        <v>708</v>
      </c>
      <c r="L915" s="62">
        <f t="shared" si="112"/>
        <v>803</v>
      </c>
      <c r="M915" s="304">
        <v>0.79</v>
      </c>
      <c r="N915" s="301">
        <f>VLOOKUP(4306,季財報!A:N,8,0)</f>
        <v>0</v>
      </c>
    </row>
    <row r="916" spans="1:14">
      <c r="A916" s="187">
        <v>4513</v>
      </c>
      <c r="C916">
        <v>14</v>
      </c>
      <c r="D916">
        <v>1180</v>
      </c>
      <c r="E916">
        <v>593</v>
      </c>
      <c r="F916">
        <v>1214</v>
      </c>
      <c r="G916">
        <v>442</v>
      </c>
      <c r="H916" s="200">
        <v>0.01</v>
      </c>
      <c r="I916">
        <f t="shared" si="111"/>
        <v>796</v>
      </c>
      <c r="J916" s="193">
        <v>0.01</v>
      </c>
      <c r="K916">
        <f t="shared" si="108"/>
        <v>708</v>
      </c>
      <c r="L916" s="62">
        <f t="shared" si="112"/>
        <v>803</v>
      </c>
      <c r="M916" s="304">
        <v>3.37</v>
      </c>
      <c r="N916" s="301">
        <f>VLOOKUP(4513,季財報!A:N,8,0)</f>
        <v>3</v>
      </c>
    </row>
    <row r="917" spans="1:14">
      <c r="A917" s="187">
        <v>4714</v>
      </c>
      <c r="C917">
        <v>9</v>
      </c>
      <c r="D917">
        <v>502</v>
      </c>
      <c r="E917">
        <v>222</v>
      </c>
      <c r="F917">
        <v>855</v>
      </c>
      <c r="G917">
        <v>0</v>
      </c>
      <c r="H917" s="200">
        <v>0.01</v>
      </c>
      <c r="I917">
        <f t="shared" si="111"/>
        <v>796</v>
      </c>
      <c r="J917" s="193">
        <v>0.01</v>
      </c>
      <c r="K917">
        <f t="shared" si="108"/>
        <v>708</v>
      </c>
      <c r="L917" s="62">
        <f t="shared" si="112"/>
        <v>803</v>
      </c>
      <c r="M917" s="304">
        <v>1.36</v>
      </c>
      <c r="N917" s="301">
        <f>VLOOKUP(4714,季財報!A:N,8,0)</f>
        <v>2</v>
      </c>
    </row>
    <row r="918" spans="1:14">
      <c r="A918" s="187">
        <v>4729</v>
      </c>
      <c r="C918">
        <v>25</v>
      </c>
      <c r="D918">
        <v>407</v>
      </c>
      <c r="E918">
        <v>1657</v>
      </c>
      <c r="F918">
        <v>1380</v>
      </c>
      <c r="G918">
        <v>700</v>
      </c>
      <c r="H918" s="200">
        <v>0.01</v>
      </c>
      <c r="I918">
        <f t="shared" si="111"/>
        <v>796</v>
      </c>
      <c r="J918" s="193">
        <v>0.01</v>
      </c>
      <c r="K918">
        <f t="shared" si="108"/>
        <v>708</v>
      </c>
      <c r="L918" s="62">
        <f t="shared" si="112"/>
        <v>803</v>
      </c>
      <c r="M918" s="304">
        <v>0.79</v>
      </c>
      <c r="N918" s="301">
        <f>VLOOKUP(4729,季財報!A:N,8,0)</f>
        <v>2</v>
      </c>
    </row>
    <row r="919" spans="1:14">
      <c r="A919" s="187">
        <v>4908</v>
      </c>
      <c r="C919">
        <v>11</v>
      </c>
      <c r="D919">
        <v>786</v>
      </c>
      <c r="E919">
        <v>355</v>
      </c>
      <c r="F919">
        <v>1164</v>
      </c>
      <c r="G919">
        <v>0</v>
      </c>
      <c r="H919" s="200">
        <v>0.01</v>
      </c>
      <c r="I919">
        <f t="shared" si="111"/>
        <v>796</v>
      </c>
      <c r="J919" s="193">
        <v>0.01</v>
      </c>
      <c r="K919">
        <f t="shared" si="108"/>
        <v>708</v>
      </c>
      <c r="L919" s="62">
        <f t="shared" si="112"/>
        <v>803</v>
      </c>
      <c r="M919" s="304">
        <v>0.79</v>
      </c>
      <c r="N919" s="301">
        <f>VLOOKUP(4908,季財報!A:N,8,0)</f>
        <v>3</v>
      </c>
    </row>
    <row r="920" spans="1:14">
      <c r="A920" s="187">
        <v>4933</v>
      </c>
      <c r="C920">
        <v>29</v>
      </c>
      <c r="D920">
        <v>1584</v>
      </c>
      <c r="E920">
        <v>1158</v>
      </c>
      <c r="F920">
        <v>2802</v>
      </c>
      <c r="G920">
        <v>966</v>
      </c>
      <c r="H920" s="200">
        <v>0.01</v>
      </c>
      <c r="I920">
        <f t="shared" si="111"/>
        <v>796</v>
      </c>
      <c r="J920" s="193">
        <v>0.01</v>
      </c>
      <c r="K920">
        <f t="shared" si="108"/>
        <v>708</v>
      </c>
      <c r="L920" s="62">
        <f t="shared" si="112"/>
        <v>803</v>
      </c>
      <c r="M920" s="304">
        <v>0.79</v>
      </c>
      <c r="N920" s="301">
        <f>VLOOKUP(4933,季財報!A:N,8,0)</f>
        <v>3</v>
      </c>
    </row>
    <row r="921" spans="1:14">
      <c r="A921" s="187">
        <v>4960</v>
      </c>
      <c r="C921">
        <v>148</v>
      </c>
      <c r="D921">
        <v>5810</v>
      </c>
      <c r="E921">
        <v>6424</v>
      </c>
      <c r="F921">
        <v>12987</v>
      </c>
      <c r="G921">
        <v>2499</v>
      </c>
      <c r="H921" s="200">
        <v>0.01</v>
      </c>
      <c r="I921">
        <f t="shared" si="111"/>
        <v>796</v>
      </c>
      <c r="J921" s="193">
        <v>0.01</v>
      </c>
      <c r="K921">
        <f t="shared" si="108"/>
        <v>708</v>
      </c>
      <c r="L921" s="62">
        <f t="shared" si="112"/>
        <v>803</v>
      </c>
      <c r="M921" s="304">
        <v>0.79</v>
      </c>
      <c r="N921" s="301">
        <f>VLOOKUP(4960,季財報!A:N,8,0)</f>
        <v>2</v>
      </c>
    </row>
    <row r="922" spans="1:14">
      <c r="A922" s="187">
        <v>1325</v>
      </c>
      <c r="C922">
        <v>17</v>
      </c>
      <c r="D922">
        <v>1028</v>
      </c>
      <c r="E922">
        <v>911</v>
      </c>
      <c r="F922">
        <v>1932</v>
      </c>
      <c r="G922">
        <v>1</v>
      </c>
      <c r="H922" s="200">
        <v>0.01</v>
      </c>
      <c r="I922">
        <f t="shared" si="111"/>
        <v>796</v>
      </c>
      <c r="J922" s="193">
        <v>0.01</v>
      </c>
      <c r="K922">
        <f t="shared" si="108"/>
        <v>708</v>
      </c>
      <c r="L922" s="62">
        <f t="shared" si="112"/>
        <v>803</v>
      </c>
      <c r="M922" s="304">
        <v>0.79</v>
      </c>
      <c r="N922" s="301">
        <f>VLOOKUP(1325,季財報!A:N,8,0)</f>
        <v>3</v>
      </c>
    </row>
    <row r="923" spans="1:14">
      <c r="A923" s="187">
        <v>1445</v>
      </c>
      <c r="C923">
        <v>16</v>
      </c>
      <c r="D923">
        <v>965</v>
      </c>
      <c r="E923">
        <v>942</v>
      </c>
      <c r="F923">
        <v>1954</v>
      </c>
      <c r="G923">
        <v>0</v>
      </c>
      <c r="H923" s="200">
        <v>0.01</v>
      </c>
      <c r="I923">
        <f t="shared" si="111"/>
        <v>796</v>
      </c>
      <c r="J923" s="193">
        <v>0.01</v>
      </c>
      <c r="K923">
        <f t="shared" si="108"/>
        <v>708</v>
      </c>
      <c r="L923" s="62">
        <f t="shared" si="112"/>
        <v>803</v>
      </c>
      <c r="M923" s="304">
        <v>0.79</v>
      </c>
      <c r="N923" s="301">
        <f>VLOOKUP(1445,季財報!A:N,8,0)</f>
        <v>2</v>
      </c>
    </row>
    <row r="924" spans="1:14">
      <c r="A924" s="187">
        <v>1506</v>
      </c>
      <c r="C924">
        <v>12</v>
      </c>
      <c r="D924">
        <v>1071</v>
      </c>
      <c r="E924">
        <v>1082</v>
      </c>
      <c r="F924">
        <v>1356</v>
      </c>
      <c r="G924">
        <v>92</v>
      </c>
      <c r="H924" s="200">
        <v>0.01</v>
      </c>
      <c r="I924">
        <f t="shared" si="111"/>
        <v>796</v>
      </c>
      <c r="J924" s="193">
        <v>0.01</v>
      </c>
      <c r="K924">
        <f t="shared" si="108"/>
        <v>708</v>
      </c>
      <c r="L924" s="62">
        <f t="shared" si="112"/>
        <v>803</v>
      </c>
      <c r="M924" s="304">
        <v>1.9</v>
      </c>
      <c r="N924" s="301">
        <f>VLOOKUP(1506,季財報!A:N,8,0)</f>
        <v>3</v>
      </c>
    </row>
    <row r="925" spans="1:14">
      <c r="A925" s="187">
        <v>1514</v>
      </c>
      <c r="C925">
        <v>33</v>
      </c>
      <c r="D925">
        <v>1241</v>
      </c>
      <c r="E925">
        <v>1001</v>
      </c>
      <c r="F925">
        <v>2753</v>
      </c>
      <c r="G925">
        <v>666</v>
      </c>
      <c r="H925" s="200">
        <v>0.01</v>
      </c>
      <c r="I925">
        <f t="shared" si="111"/>
        <v>796</v>
      </c>
      <c r="J925" s="193">
        <v>0.01</v>
      </c>
      <c r="K925">
        <f t="shared" si="108"/>
        <v>708</v>
      </c>
      <c r="L925" s="62">
        <f t="shared" si="112"/>
        <v>803</v>
      </c>
      <c r="M925" s="304">
        <v>0.79</v>
      </c>
      <c r="N925" s="301">
        <f>VLOOKUP(1514,季財報!A:N,8,0)</f>
        <v>3</v>
      </c>
    </row>
    <row r="926" spans="1:14">
      <c r="A926" s="187">
        <v>1603</v>
      </c>
      <c r="C926">
        <v>38</v>
      </c>
      <c r="D926">
        <v>628</v>
      </c>
      <c r="E926">
        <v>3156</v>
      </c>
      <c r="F926">
        <v>5124</v>
      </c>
      <c r="G926">
        <v>1548</v>
      </c>
      <c r="H926" s="200">
        <v>0.01</v>
      </c>
      <c r="I926">
        <f t="shared" si="111"/>
        <v>796</v>
      </c>
      <c r="J926" s="193">
        <v>0.01</v>
      </c>
      <c r="K926">
        <f t="shared" si="108"/>
        <v>708</v>
      </c>
      <c r="L926" s="62">
        <f t="shared" si="112"/>
        <v>803</v>
      </c>
      <c r="M926" s="304">
        <v>12.98</v>
      </c>
      <c r="N926" s="301">
        <f>VLOOKUP(1603,季財報!A:N,8,0)</f>
        <v>1</v>
      </c>
    </row>
    <row r="927" spans="1:14">
      <c r="A927" s="187">
        <v>1618</v>
      </c>
      <c r="C927">
        <v>27</v>
      </c>
      <c r="D927">
        <v>1676</v>
      </c>
      <c r="E927">
        <v>1261</v>
      </c>
      <c r="F927">
        <v>3871</v>
      </c>
      <c r="G927">
        <v>0</v>
      </c>
      <c r="H927" s="200">
        <v>0.01</v>
      </c>
      <c r="I927">
        <f t="shared" si="111"/>
        <v>796</v>
      </c>
      <c r="J927" s="193">
        <v>0.01</v>
      </c>
      <c r="K927">
        <f t="shared" si="108"/>
        <v>708</v>
      </c>
      <c r="L927" s="62">
        <f t="shared" si="112"/>
        <v>803</v>
      </c>
      <c r="M927" s="304">
        <v>0.79</v>
      </c>
      <c r="N927" s="301">
        <f>VLOOKUP(1618,季財報!A:N,8,0)</f>
        <v>3</v>
      </c>
    </row>
    <row r="928" spans="1:14">
      <c r="A928" s="187">
        <v>1710</v>
      </c>
      <c r="C928">
        <v>136</v>
      </c>
      <c r="D928">
        <v>346</v>
      </c>
      <c r="E928">
        <v>17107</v>
      </c>
      <c r="F928">
        <v>18519</v>
      </c>
      <c r="G928">
        <v>4218</v>
      </c>
      <c r="H928" s="200">
        <v>0.01</v>
      </c>
      <c r="I928">
        <f t="shared" si="111"/>
        <v>796</v>
      </c>
      <c r="J928" s="193">
        <v>0.01</v>
      </c>
      <c r="K928">
        <f t="shared" si="108"/>
        <v>708</v>
      </c>
      <c r="L928" s="62">
        <f t="shared" si="112"/>
        <v>803</v>
      </c>
      <c r="M928" s="304">
        <v>1.01</v>
      </c>
      <c r="N928" s="301">
        <f>VLOOKUP(1710,季財報!A:N,8,0)</f>
        <v>0</v>
      </c>
    </row>
    <row r="929" spans="1:14">
      <c r="A929" s="187">
        <v>1715</v>
      </c>
      <c r="C929">
        <v>95</v>
      </c>
      <c r="D929">
        <v>2708</v>
      </c>
      <c r="E929">
        <v>6018</v>
      </c>
      <c r="F929">
        <v>7909</v>
      </c>
      <c r="G929">
        <v>2793</v>
      </c>
      <c r="H929" s="200">
        <v>0.01</v>
      </c>
      <c r="I929">
        <f t="shared" si="111"/>
        <v>796</v>
      </c>
      <c r="J929" s="193">
        <v>0.01</v>
      </c>
      <c r="K929">
        <f t="shared" si="108"/>
        <v>708</v>
      </c>
      <c r="L929" s="62">
        <f t="shared" si="112"/>
        <v>803</v>
      </c>
      <c r="M929" s="304">
        <v>0.79</v>
      </c>
      <c r="N929" s="301">
        <f>VLOOKUP(1715,季財報!A:N,8,0)</f>
        <v>5</v>
      </c>
    </row>
    <row r="930" spans="1:14">
      <c r="A930" s="187">
        <v>1904</v>
      </c>
      <c r="C930">
        <v>474</v>
      </c>
      <c r="D930">
        <v>850</v>
      </c>
      <c r="E930">
        <v>32065</v>
      </c>
      <c r="F930">
        <v>23699</v>
      </c>
      <c r="G930">
        <v>11894</v>
      </c>
      <c r="H930" s="200">
        <v>0.01</v>
      </c>
      <c r="I930">
        <f t="shared" si="111"/>
        <v>796</v>
      </c>
      <c r="J930" s="193">
        <v>0.01</v>
      </c>
      <c r="K930">
        <f t="shared" ref="K930:K945" si="113">RANK(0.01,J:J,0)</f>
        <v>708</v>
      </c>
      <c r="L930" s="62">
        <f t="shared" si="112"/>
        <v>803</v>
      </c>
      <c r="M930" s="304">
        <v>1.36</v>
      </c>
      <c r="N930" s="301">
        <f>VLOOKUP(1904,季財報!A:N,8,0)</f>
        <v>1</v>
      </c>
    </row>
    <row r="931" spans="1:14">
      <c r="A931" s="187">
        <v>1905</v>
      </c>
      <c r="C931">
        <v>235</v>
      </c>
      <c r="D931">
        <v>5618</v>
      </c>
      <c r="E931">
        <v>12641</v>
      </c>
      <c r="F931">
        <v>18995</v>
      </c>
      <c r="G931">
        <v>3563</v>
      </c>
      <c r="H931" s="200">
        <v>0.01</v>
      </c>
      <c r="I931">
        <f t="shared" si="111"/>
        <v>796</v>
      </c>
      <c r="J931" s="193">
        <v>0.01</v>
      </c>
      <c r="K931">
        <f t="shared" si="113"/>
        <v>708</v>
      </c>
      <c r="L931" s="62">
        <f t="shared" si="112"/>
        <v>803</v>
      </c>
      <c r="M931" s="304">
        <v>7.07</v>
      </c>
      <c r="N931" s="301">
        <f>VLOOKUP(1905,季財報!A:N,8,0)</f>
        <v>4</v>
      </c>
    </row>
    <row r="932" spans="1:14">
      <c r="A932" s="187">
        <v>1907</v>
      </c>
      <c r="C932">
        <v>700</v>
      </c>
      <c r="D932">
        <v>3532</v>
      </c>
      <c r="E932">
        <v>46401</v>
      </c>
      <c r="F932">
        <v>46126</v>
      </c>
      <c r="G932">
        <v>22250</v>
      </c>
      <c r="H932" s="200">
        <v>0.01</v>
      </c>
      <c r="I932">
        <f t="shared" ref="I932:I945" si="114">RANK(0.01,H:H,0)</f>
        <v>796</v>
      </c>
      <c r="J932" s="193">
        <v>0.01</v>
      </c>
      <c r="K932">
        <f t="shared" si="113"/>
        <v>708</v>
      </c>
      <c r="L932" s="62">
        <f t="shared" ref="L932:L945" si="115">RANK(1.01,M:M,0)</f>
        <v>803</v>
      </c>
      <c r="M932" s="304">
        <v>0.79</v>
      </c>
      <c r="N932" s="301">
        <f>VLOOKUP(1907,季財報!A:N,8,0)</f>
        <v>2</v>
      </c>
    </row>
    <row r="933" spans="1:14">
      <c r="A933" s="187">
        <v>2017</v>
      </c>
      <c r="C933">
        <v>48</v>
      </c>
      <c r="D933">
        <v>0</v>
      </c>
      <c r="E933">
        <v>3307</v>
      </c>
      <c r="F933">
        <v>4969</v>
      </c>
      <c r="G933">
        <v>2671</v>
      </c>
      <c r="H933" s="200">
        <v>0.01</v>
      </c>
      <c r="I933">
        <f t="shared" si="114"/>
        <v>796</v>
      </c>
      <c r="J933" s="193">
        <v>0.01</v>
      </c>
      <c r="K933">
        <f t="shared" si="113"/>
        <v>708</v>
      </c>
      <c r="L933" s="62">
        <f t="shared" si="115"/>
        <v>803</v>
      </c>
      <c r="M933" s="304">
        <v>0.79</v>
      </c>
      <c r="N933" s="301">
        <f>VLOOKUP(2017,季財報!A:N,8,0)</f>
        <v>1</v>
      </c>
    </row>
    <row r="934" spans="1:14">
      <c r="A934" s="187">
        <v>2064</v>
      </c>
      <c r="C934">
        <v>13</v>
      </c>
      <c r="D934">
        <v>629</v>
      </c>
      <c r="E934">
        <v>783</v>
      </c>
      <c r="F934">
        <v>1445</v>
      </c>
      <c r="G934">
        <v>822</v>
      </c>
      <c r="H934" s="200">
        <v>0.01</v>
      </c>
      <c r="I934">
        <f t="shared" si="114"/>
        <v>796</v>
      </c>
      <c r="J934" s="193">
        <v>0.01</v>
      </c>
      <c r="K934">
        <f t="shared" si="113"/>
        <v>708</v>
      </c>
      <c r="L934" s="62">
        <f t="shared" si="115"/>
        <v>803</v>
      </c>
      <c r="M934" s="304">
        <v>6.36</v>
      </c>
      <c r="N934" s="301">
        <f>VLOOKUP(2064,季財報!A:N,8,0)</f>
        <v>2</v>
      </c>
    </row>
    <row r="935" spans="1:14">
      <c r="A935" s="187">
        <v>2601</v>
      </c>
      <c r="C935">
        <v>201</v>
      </c>
      <c r="D935">
        <v>53</v>
      </c>
      <c r="E935">
        <v>14375</v>
      </c>
      <c r="F935">
        <v>13502</v>
      </c>
      <c r="G935">
        <v>7806</v>
      </c>
      <c r="H935" s="200">
        <v>0.01</v>
      </c>
      <c r="I935">
        <f t="shared" si="114"/>
        <v>796</v>
      </c>
      <c r="J935" s="193">
        <v>0.01</v>
      </c>
      <c r="K935">
        <f t="shared" si="113"/>
        <v>708</v>
      </c>
      <c r="L935" s="62">
        <f t="shared" si="115"/>
        <v>803</v>
      </c>
      <c r="M935" s="304">
        <v>0.79</v>
      </c>
      <c r="N935" s="301">
        <f>VLOOKUP(2601,季財報!A:N,8,0)</f>
        <v>0</v>
      </c>
    </row>
    <row r="936" spans="1:14">
      <c r="A936" s="187">
        <v>2705</v>
      </c>
      <c r="C936">
        <v>50</v>
      </c>
      <c r="D936">
        <v>0</v>
      </c>
      <c r="E936">
        <v>7354</v>
      </c>
      <c r="F936">
        <v>5055</v>
      </c>
      <c r="G936">
        <v>2121</v>
      </c>
      <c r="H936" s="200">
        <v>0.01</v>
      </c>
      <c r="I936">
        <f t="shared" si="114"/>
        <v>796</v>
      </c>
      <c r="J936" s="193">
        <v>0.01</v>
      </c>
      <c r="K936">
        <f t="shared" si="113"/>
        <v>708</v>
      </c>
      <c r="L936" s="62">
        <f t="shared" si="115"/>
        <v>803</v>
      </c>
      <c r="M936" s="304">
        <v>0.79</v>
      </c>
      <c r="N936" s="301">
        <f>VLOOKUP(2705,季財報!A:N,8,0)</f>
        <v>2</v>
      </c>
    </row>
    <row r="937" spans="1:14">
      <c r="A937" s="187">
        <v>2903</v>
      </c>
      <c r="C937">
        <v>360</v>
      </c>
      <c r="D937">
        <v>0</v>
      </c>
      <c r="E937">
        <v>46081</v>
      </c>
      <c r="F937">
        <v>36993</v>
      </c>
      <c r="G937">
        <v>11937</v>
      </c>
      <c r="H937" s="200">
        <v>0.01</v>
      </c>
      <c r="I937">
        <f t="shared" si="114"/>
        <v>796</v>
      </c>
      <c r="J937" s="193">
        <v>0.01</v>
      </c>
      <c r="K937">
        <f t="shared" si="113"/>
        <v>708</v>
      </c>
      <c r="L937" s="62">
        <f t="shared" si="115"/>
        <v>803</v>
      </c>
      <c r="M937" s="304">
        <v>0.79</v>
      </c>
      <c r="N937" s="301">
        <f>VLOOKUP(2903,季財報!A:N,8,0)</f>
        <v>2</v>
      </c>
    </row>
    <row r="938" spans="1:14">
      <c r="A938" s="187">
        <v>3164</v>
      </c>
      <c r="C938">
        <v>12</v>
      </c>
      <c r="D938">
        <v>290</v>
      </c>
      <c r="E938">
        <v>895</v>
      </c>
      <c r="F938">
        <v>1551</v>
      </c>
      <c r="G938">
        <v>0</v>
      </c>
      <c r="H938" s="200">
        <v>0.01</v>
      </c>
      <c r="I938">
        <f t="shared" si="114"/>
        <v>796</v>
      </c>
      <c r="J938" s="193">
        <v>0.01</v>
      </c>
      <c r="K938">
        <f t="shared" si="113"/>
        <v>708</v>
      </c>
      <c r="L938" s="62">
        <f t="shared" si="115"/>
        <v>803</v>
      </c>
      <c r="M938" s="304">
        <v>0.79</v>
      </c>
      <c r="N938" s="301">
        <f>VLOOKUP(3164,季財報!A:N,8,0)</f>
        <v>3</v>
      </c>
    </row>
    <row r="939" spans="1:14">
      <c r="A939" s="187">
        <v>3224</v>
      </c>
      <c r="C939">
        <v>6</v>
      </c>
      <c r="D939">
        <v>416</v>
      </c>
      <c r="E939">
        <v>59</v>
      </c>
      <c r="F939">
        <v>528</v>
      </c>
      <c r="G939">
        <v>166</v>
      </c>
      <c r="H939" s="200">
        <v>0.01</v>
      </c>
      <c r="I939">
        <f t="shared" si="114"/>
        <v>796</v>
      </c>
      <c r="J939" s="193">
        <v>0.01</v>
      </c>
      <c r="K939">
        <f t="shared" si="113"/>
        <v>708</v>
      </c>
      <c r="L939" s="62">
        <f t="shared" si="115"/>
        <v>803</v>
      </c>
      <c r="M939" s="304">
        <v>1.1399999999999999</v>
      </c>
      <c r="N939" s="301">
        <f>VLOOKUP(3224,季財報!A:N,8,0)</f>
        <v>2</v>
      </c>
    </row>
    <row r="940" spans="1:14">
      <c r="A940" s="187">
        <v>3227</v>
      </c>
      <c r="C940">
        <v>48</v>
      </c>
      <c r="D940">
        <v>4100</v>
      </c>
      <c r="E940">
        <v>242</v>
      </c>
      <c r="F940">
        <v>5324</v>
      </c>
      <c r="G940">
        <v>253</v>
      </c>
      <c r="H940" s="200">
        <v>0.01</v>
      </c>
      <c r="I940">
        <f t="shared" si="114"/>
        <v>796</v>
      </c>
      <c r="J940" s="193">
        <v>0.01</v>
      </c>
      <c r="K940">
        <f t="shared" si="113"/>
        <v>708</v>
      </c>
      <c r="L940" s="62">
        <f t="shared" si="115"/>
        <v>803</v>
      </c>
      <c r="M940" s="304">
        <v>0.79</v>
      </c>
      <c r="N940" s="301">
        <f>VLOOKUP(3227,季財報!A:N,8,0)</f>
        <v>3</v>
      </c>
    </row>
    <row r="941" spans="1:14">
      <c r="A941" s="187">
        <v>3236</v>
      </c>
      <c r="C941">
        <v>8</v>
      </c>
      <c r="D941">
        <v>509</v>
      </c>
      <c r="E941">
        <v>313</v>
      </c>
      <c r="F941">
        <v>792</v>
      </c>
      <c r="G941">
        <v>162</v>
      </c>
      <c r="H941" s="200">
        <v>0.01</v>
      </c>
      <c r="I941">
        <f t="shared" si="114"/>
        <v>796</v>
      </c>
      <c r="J941" s="193">
        <v>0.01</v>
      </c>
      <c r="K941">
        <f t="shared" si="113"/>
        <v>708</v>
      </c>
      <c r="L941" s="62">
        <f t="shared" si="115"/>
        <v>803</v>
      </c>
      <c r="M941" s="304">
        <v>0.79</v>
      </c>
      <c r="N941" s="301">
        <f>VLOOKUP(3236,季財報!A:N,8,0)</f>
        <v>6</v>
      </c>
    </row>
    <row r="942" spans="1:14">
      <c r="A942" s="187">
        <v>3290</v>
      </c>
      <c r="C942">
        <v>21</v>
      </c>
      <c r="D942">
        <v>890</v>
      </c>
      <c r="E942">
        <v>997</v>
      </c>
      <c r="F942">
        <v>1739</v>
      </c>
      <c r="G942">
        <v>759</v>
      </c>
      <c r="H942" s="200">
        <v>0.01</v>
      </c>
      <c r="I942">
        <f t="shared" si="114"/>
        <v>796</v>
      </c>
      <c r="J942" s="193">
        <v>0.01</v>
      </c>
      <c r="K942">
        <f t="shared" si="113"/>
        <v>708</v>
      </c>
      <c r="L942" s="62">
        <f t="shared" si="115"/>
        <v>803</v>
      </c>
      <c r="M942" s="304">
        <v>2.72</v>
      </c>
      <c r="N942" s="301">
        <f>VLOOKUP(3290,季財報!A:N,8,0)</f>
        <v>1</v>
      </c>
    </row>
    <row r="943" spans="1:14">
      <c r="A943" s="187">
        <v>3605</v>
      </c>
      <c r="C943">
        <v>48</v>
      </c>
      <c r="D943">
        <v>1624</v>
      </c>
      <c r="E943">
        <v>2162</v>
      </c>
      <c r="F943">
        <v>4143</v>
      </c>
      <c r="G943">
        <v>979</v>
      </c>
      <c r="H943" s="200">
        <v>0.01</v>
      </c>
      <c r="I943">
        <f t="shared" si="114"/>
        <v>796</v>
      </c>
      <c r="J943" s="193">
        <v>0.01</v>
      </c>
      <c r="K943">
        <f t="shared" si="113"/>
        <v>708</v>
      </c>
      <c r="L943" s="62">
        <f t="shared" si="115"/>
        <v>803</v>
      </c>
      <c r="M943" s="304">
        <v>0.79</v>
      </c>
      <c r="N943" s="301">
        <f>VLOOKUP(3605,季財報!A:N,8,0)</f>
        <v>4</v>
      </c>
    </row>
    <row r="944" spans="1:14">
      <c r="A944" s="187">
        <v>3615</v>
      </c>
      <c r="C944">
        <v>20</v>
      </c>
      <c r="D944">
        <v>758</v>
      </c>
      <c r="E944">
        <v>1764</v>
      </c>
      <c r="F944">
        <v>2617</v>
      </c>
      <c r="G944">
        <v>106</v>
      </c>
      <c r="H944" s="200">
        <v>0.01</v>
      </c>
      <c r="I944">
        <f t="shared" si="114"/>
        <v>796</v>
      </c>
      <c r="J944" s="193">
        <v>0.01</v>
      </c>
      <c r="K944">
        <f t="shared" si="113"/>
        <v>708</v>
      </c>
      <c r="L944" s="62">
        <f t="shared" si="115"/>
        <v>803</v>
      </c>
      <c r="M944" s="304">
        <v>22.67</v>
      </c>
      <c r="N944" s="301">
        <f>VLOOKUP(3615,季財報!A:N,8,0)</f>
        <v>4</v>
      </c>
    </row>
    <row r="945" spans="1:14">
      <c r="A945" s="187">
        <v>5426</v>
      </c>
      <c r="C945">
        <v>24</v>
      </c>
      <c r="D945">
        <v>1113</v>
      </c>
      <c r="E945">
        <v>1117</v>
      </c>
      <c r="F945">
        <v>2273</v>
      </c>
      <c r="G945">
        <v>0</v>
      </c>
      <c r="H945" s="200">
        <v>0.01</v>
      </c>
      <c r="I945">
        <f t="shared" si="114"/>
        <v>796</v>
      </c>
      <c r="J945" s="193">
        <v>0.01</v>
      </c>
      <c r="K945">
        <f t="shared" si="113"/>
        <v>708</v>
      </c>
      <c r="L945" s="62">
        <f t="shared" si="115"/>
        <v>803</v>
      </c>
      <c r="M945" s="304">
        <v>0.79</v>
      </c>
      <c r="N945" s="301">
        <f>VLOOKUP(5426,季財報!A:N,8,0)</f>
        <v>2</v>
      </c>
    </row>
    <row r="946" spans="1:14">
      <c r="A946" s="187">
        <v>2913</v>
      </c>
      <c r="C946">
        <v>58</v>
      </c>
      <c r="D946">
        <v>2016</v>
      </c>
      <c r="E946">
        <v>858</v>
      </c>
      <c r="F946">
        <v>16070</v>
      </c>
      <c r="G946">
        <v>96</v>
      </c>
      <c r="H946" s="200">
        <v>0.02</v>
      </c>
      <c r="I946">
        <f>RANK(0.02,H:H,0)</f>
        <v>619</v>
      </c>
      <c r="J946" s="193">
        <v>0</v>
      </c>
      <c r="K946">
        <f>RANK(0,J:J,0)</f>
        <v>945</v>
      </c>
      <c r="L946" s="62">
        <f>RANK(0.97,M:M,0)</f>
        <v>945</v>
      </c>
      <c r="M946" s="304">
        <v>0.79</v>
      </c>
      <c r="N946" s="301">
        <f>VLOOKUP(2913,季財報!A:N,8,0)</f>
        <v>1</v>
      </c>
    </row>
    <row r="947" spans="1:14">
      <c r="A947" s="187">
        <v>2312</v>
      </c>
      <c r="C947">
        <v>132</v>
      </c>
      <c r="D947">
        <v>0</v>
      </c>
      <c r="E947">
        <v>6798</v>
      </c>
      <c r="F947">
        <v>17093</v>
      </c>
      <c r="G947">
        <v>12226</v>
      </c>
      <c r="H947" s="200">
        <v>0.02</v>
      </c>
      <c r="I947">
        <f>RANK(0.02,H:H,0)</f>
        <v>619</v>
      </c>
      <c r="J947" s="193">
        <v>0</v>
      </c>
      <c r="K947">
        <f>RANK(0,J:J,0)</f>
        <v>945</v>
      </c>
      <c r="L947" s="62">
        <f>RANK(0.97,M:M,0)</f>
        <v>945</v>
      </c>
      <c r="M947" s="304">
        <v>0.79</v>
      </c>
      <c r="N947" s="301">
        <f>VLOOKUP(2312,季財報!A:N,8,0)</f>
        <v>1</v>
      </c>
    </row>
    <row r="948" spans="1:14">
      <c r="A948" s="187">
        <v>6180</v>
      </c>
      <c r="C948">
        <v>18</v>
      </c>
      <c r="D948">
        <v>855</v>
      </c>
      <c r="E948">
        <v>2797</v>
      </c>
      <c r="F948">
        <v>2885</v>
      </c>
      <c r="G948">
        <v>501</v>
      </c>
      <c r="H948" s="200">
        <v>0</v>
      </c>
      <c r="I948">
        <f>RANK(0,H:H,0)</f>
        <v>979</v>
      </c>
      <c r="J948" s="193">
        <v>0.01</v>
      </c>
      <c r="K948">
        <f>RANK(0.01,J:J,0)</f>
        <v>708</v>
      </c>
      <c r="L948" s="62">
        <f>RANK(0.9,M:M,0)</f>
        <v>947</v>
      </c>
      <c r="M948" s="304">
        <v>0.79</v>
      </c>
      <c r="N948" s="301">
        <f>VLOOKUP(6180,季財報!A:N,8,0)</f>
        <v>2</v>
      </c>
    </row>
    <row r="949" spans="1:14">
      <c r="A949" s="187">
        <v>1236</v>
      </c>
      <c r="C949">
        <v>10</v>
      </c>
      <c r="D949">
        <v>214</v>
      </c>
      <c r="E949">
        <v>1844</v>
      </c>
      <c r="F949">
        <v>1655</v>
      </c>
      <c r="G949">
        <v>150</v>
      </c>
      <c r="H949" s="200">
        <v>0</v>
      </c>
      <c r="I949">
        <f>RANK(0,H:H,0)</f>
        <v>979</v>
      </c>
      <c r="J949" s="193">
        <v>0.01</v>
      </c>
      <c r="K949">
        <f>RANK(0.01,J:J,0)</f>
        <v>708</v>
      </c>
      <c r="L949" s="62">
        <f>RANK(0.9,M:M,0)</f>
        <v>947</v>
      </c>
      <c r="M949" s="304">
        <v>0.79</v>
      </c>
      <c r="N949" s="301">
        <f>VLOOKUP(1236,季財報!A:N,8,0)</f>
        <v>1</v>
      </c>
    </row>
    <row r="950" spans="1:14">
      <c r="A950" s="187">
        <v>5608</v>
      </c>
      <c r="C950">
        <v>125</v>
      </c>
      <c r="D950">
        <v>0</v>
      </c>
      <c r="E950">
        <v>31968</v>
      </c>
      <c r="F950">
        <v>9773</v>
      </c>
      <c r="G950">
        <v>4727</v>
      </c>
      <c r="H950" s="200">
        <v>0</v>
      </c>
      <c r="I950">
        <f>RANK(0,H:H,0)</f>
        <v>979</v>
      </c>
      <c r="J950" s="193">
        <v>0.01</v>
      </c>
      <c r="K950">
        <f>RANK(0.01,J:J,0)</f>
        <v>708</v>
      </c>
      <c r="L950" s="62">
        <f>RANK(0.9,M:M,0)</f>
        <v>947</v>
      </c>
      <c r="M950" s="304">
        <v>0.79</v>
      </c>
      <c r="N950" s="301">
        <f>VLOOKUP(5608,季財報!A:N,8,0)</f>
        <v>2</v>
      </c>
    </row>
    <row r="951" spans="1:14">
      <c r="A951" s="187">
        <v>2615</v>
      </c>
      <c r="C951">
        <v>224</v>
      </c>
      <c r="D951">
        <v>11123</v>
      </c>
      <c r="E951">
        <v>46726</v>
      </c>
      <c r="F951">
        <v>35966</v>
      </c>
      <c r="G951">
        <v>8770</v>
      </c>
      <c r="H951" s="200">
        <v>0</v>
      </c>
      <c r="I951">
        <f>RANK(0,H:H,0)</f>
        <v>979</v>
      </c>
      <c r="J951" s="193">
        <v>0.01</v>
      </c>
      <c r="K951">
        <f>RANK(0.01,J:J,0)</f>
        <v>708</v>
      </c>
      <c r="L951" s="62">
        <f>RANK(0.9,M:M,0)</f>
        <v>947</v>
      </c>
      <c r="M951" s="304">
        <v>0.79</v>
      </c>
      <c r="N951" s="301">
        <f>VLOOKUP(2615,季財報!A:N,8,0)</f>
        <v>2</v>
      </c>
    </row>
    <row r="952" spans="1:14">
      <c r="A952" s="187">
        <v>8996</v>
      </c>
      <c r="C952">
        <v>10</v>
      </c>
      <c r="D952">
        <v>762</v>
      </c>
      <c r="E952">
        <v>979</v>
      </c>
      <c r="F952">
        <v>1760</v>
      </c>
      <c r="G952">
        <v>851</v>
      </c>
      <c r="H952" s="200">
        <v>0.01</v>
      </c>
      <c r="I952">
        <f t="shared" ref="I952:I983" si="116">RANK(0.01,H:H,0)</f>
        <v>796</v>
      </c>
      <c r="J952" s="193">
        <v>0</v>
      </c>
      <c r="K952">
        <f t="shared" ref="K952:K1015" si="117">RANK(0,J:J,0)</f>
        <v>945</v>
      </c>
      <c r="L952" s="62">
        <f t="shared" ref="L952:L983" si="118">RANK(0.87,M:M,0)</f>
        <v>951</v>
      </c>
      <c r="M952" s="304">
        <v>1.01</v>
      </c>
      <c r="N952" s="301">
        <f>VLOOKUP(8996,季財報!A:N,8,0)</f>
        <v>1</v>
      </c>
    </row>
    <row r="953" spans="1:14">
      <c r="A953" s="187">
        <v>8070</v>
      </c>
      <c r="C953">
        <v>42</v>
      </c>
      <c r="D953">
        <v>2481</v>
      </c>
      <c r="E953">
        <v>2752</v>
      </c>
      <c r="F953">
        <v>6844</v>
      </c>
      <c r="G953">
        <v>2935</v>
      </c>
      <c r="H953" s="200">
        <v>0.01</v>
      </c>
      <c r="I953">
        <f t="shared" si="116"/>
        <v>796</v>
      </c>
      <c r="J953" s="193">
        <v>0</v>
      </c>
      <c r="K953">
        <f t="shared" si="117"/>
        <v>945</v>
      </c>
      <c r="L953" s="62">
        <f t="shared" si="118"/>
        <v>951</v>
      </c>
      <c r="M953" s="304">
        <v>0.79</v>
      </c>
      <c r="N953" s="301">
        <f>VLOOKUP(8070,季財報!A:N,8,0)</f>
        <v>1</v>
      </c>
    </row>
    <row r="954" spans="1:14">
      <c r="A954" s="187">
        <v>6188</v>
      </c>
      <c r="C954">
        <v>51</v>
      </c>
      <c r="D954">
        <v>3476</v>
      </c>
      <c r="E954">
        <v>1852</v>
      </c>
      <c r="F954">
        <v>8637</v>
      </c>
      <c r="G954">
        <v>5625</v>
      </c>
      <c r="H954" s="200">
        <v>0.01</v>
      </c>
      <c r="I954">
        <f t="shared" si="116"/>
        <v>796</v>
      </c>
      <c r="J954" s="193">
        <v>0</v>
      </c>
      <c r="K954">
        <f t="shared" si="117"/>
        <v>945</v>
      </c>
      <c r="L954" s="62">
        <f t="shared" si="118"/>
        <v>951</v>
      </c>
      <c r="M954" s="304">
        <v>1.9</v>
      </c>
      <c r="N954" s="301">
        <f>VLOOKUP(6188,季財報!A:N,8,0)</f>
        <v>0</v>
      </c>
    </row>
    <row r="955" spans="1:14">
      <c r="A955" s="187">
        <v>4430</v>
      </c>
      <c r="C955">
        <v>12</v>
      </c>
      <c r="D955">
        <v>423</v>
      </c>
      <c r="E955">
        <v>1471</v>
      </c>
      <c r="F955">
        <v>1962</v>
      </c>
      <c r="G955">
        <v>570</v>
      </c>
      <c r="H955" s="200">
        <v>0.01</v>
      </c>
      <c r="I955">
        <f t="shared" si="116"/>
        <v>796</v>
      </c>
      <c r="J955" s="193">
        <v>0</v>
      </c>
      <c r="K955">
        <f t="shared" si="117"/>
        <v>945</v>
      </c>
      <c r="L955" s="62">
        <f t="shared" si="118"/>
        <v>951</v>
      </c>
      <c r="M955" s="304">
        <v>1.18</v>
      </c>
      <c r="N955" s="301">
        <f>VLOOKUP(4430,季財報!A:N,8,0)</f>
        <v>2</v>
      </c>
    </row>
    <row r="956" spans="1:14">
      <c r="A956" s="187">
        <v>1104</v>
      </c>
      <c r="C956">
        <v>51</v>
      </c>
      <c r="D956">
        <v>572</v>
      </c>
      <c r="E956">
        <v>5609</v>
      </c>
      <c r="F956">
        <v>15981</v>
      </c>
      <c r="G956">
        <v>1390</v>
      </c>
      <c r="H956" s="200">
        <v>0.01</v>
      </c>
      <c r="I956">
        <f t="shared" si="116"/>
        <v>796</v>
      </c>
      <c r="J956" s="193">
        <v>0</v>
      </c>
      <c r="K956">
        <f t="shared" si="117"/>
        <v>945</v>
      </c>
      <c r="L956" s="62">
        <f t="shared" si="118"/>
        <v>951</v>
      </c>
      <c r="M956" s="304">
        <v>0.79</v>
      </c>
      <c r="N956" s="301">
        <f>VLOOKUP(1104,季財報!A:N,8,0)</f>
        <v>2</v>
      </c>
    </row>
    <row r="957" spans="1:14">
      <c r="A957" s="187">
        <v>1110</v>
      </c>
      <c r="C957">
        <v>12</v>
      </c>
      <c r="D957">
        <v>1544</v>
      </c>
      <c r="E957">
        <v>343</v>
      </c>
      <c r="F957">
        <v>8597</v>
      </c>
      <c r="G957">
        <v>0</v>
      </c>
      <c r="H957" s="200">
        <v>0.01</v>
      </c>
      <c r="I957">
        <f t="shared" si="116"/>
        <v>796</v>
      </c>
      <c r="J957" s="193">
        <v>0</v>
      </c>
      <c r="K957">
        <f t="shared" si="117"/>
        <v>945</v>
      </c>
      <c r="L957" s="62">
        <f t="shared" si="118"/>
        <v>951</v>
      </c>
      <c r="M957" s="304">
        <v>1.01</v>
      </c>
      <c r="N957" s="301">
        <f>VLOOKUP(1110,季財報!A:N,8,0)</f>
        <v>2</v>
      </c>
    </row>
    <row r="958" spans="1:14">
      <c r="A958" s="187">
        <v>1235</v>
      </c>
      <c r="C958">
        <v>5</v>
      </c>
      <c r="D958">
        <v>747</v>
      </c>
      <c r="E958">
        <v>187</v>
      </c>
      <c r="F958">
        <v>1309</v>
      </c>
      <c r="G958">
        <v>1185</v>
      </c>
      <c r="H958" s="200">
        <v>0.01</v>
      </c>
      <c r="I958">
        <f t="shared" si="116"/>
        <v>796</v>
      </c>
      <c r="J958" s="193">
        <v>0</v>
      </c>
      <c r="K958">
        <f t="shared" si="117"/>
        <v>945</v>
      </c>
      <c r="L958" s="62">
        <f t="shared" si="118"/>
        <v>951</v>
      </c>
      <c r="M958" s="304">
        <v>12.45</v>
      </c>
      <c r="N958" s="301">
        <f>VLOOKUP(1235,季財報!A:N,8,0)</f>
        <v>3</v>
      </c>
    </row>
    <row r="959" spans="1:14">
      <c r="A959" s="187">
        <v>1315</v>
      </c>
      <c r="C959">
        <v>24</v>
      </c>
      <c r="D959">
        <v>2597</v>
      </c>
      <c r="E959">
        <v>1845</v>
      </c>
      <c r="F959">
        <v>6768</v>
      </c>
      <c r="G959">
        <v>649</v>
      </c>
      <c r="H959" s="200">
        <v>0.01</v>
      </c>
      <c r="I959">
        <f t="shared" si="116"/>
        <v>796</v>
      </c>
      <c r="J959" s="193">
        <v>0</v>
      </c>
      <c r="K959">
        <f t="shared" si="117"/>
        <v>945</v>
      </c>
      <c r="L959" s="62">
        <f t="shared" si="118"/>
        <v>951</v>
      </c>
      <c r="M959" s="304">
        <v>4.1500000000000004</v>
      </c>
      <c r="N959" s="301">
        <f>VLOOKUP(1315,季財報!A:N,8,0)</f>
        <v>4</v>
      </c>
    </row>
    <row r="960" spans="1:14">
      <c r="A960" s="187">
        <v>1525</v>
      </c>
      <c r="C960">
        <v>6</v>
      </c>
      <c r="D960">
        <v>174</v>
      </c>
      <c r="E960">
        <v>492</v>
      </c>
      <c r="F960">
        <v>3337</v>
      </c>
      <c r="G960">
        <v>100</v>
      </c>
      <c r="H960" s="200">
        <v>0.01</v>
      </c>
      <c r="I960">
        <f t="shared" si="116"/>
        <v>796</v>
      </c>
      <c r="J960" s="193">
        <v>0</v>
      </c>
      <c r="K960">
        <f t="shared" si="117"/>
        <v>945</v>
      </c>
      <c r="L960" s="62">
        <f t="shared" si="118"/>
        <v>951</v>
      </c>
      <c r="M960" s="304">
        <v>1.01</v>
      </c>
      <c r="N960" s="301">
        <f>VLOOKUP(1525,季財報!A:N,8,0)</f>
        <v>1</v>
      </c>
    </row>
    <row r="961" spans="1:14">
      <c r="A961" s="187">
        <v>1617</v>
      </c>
      <c r="C961">
        <v>9</v>
      </c>
      <c r="D961">
        <v>949</v>
      </c>
      <c r="E961">
        <v>721</v>
      </c>
      <c r="F961">
        <v>1646</v>
      </c>
      <c r="G961">
        <v>1051</v>
      </c>
      <c r="H961" s="200">
        <v>0.01</v>
      </c>
      <c r="I961">
        <f t="shared" si="116"/>
        <v>796</v>
      </c>
      <c r="J961" s="193">
        <v>0</v>
      </c>
      <c r="K961">
        <f t="shared" si="117"/>
        <v>945</v>
      </c>
      <c r="L961" s="62">
        <f t="shared" si="118"/>
        <v>951</v>
      </c>
      <c r="M961" s="304">
        <v>1.58</v>
      </c>
      <c r="N961" s="301">
        <f>VLOOKUP(1617,季財報!A:N,8,0)</f>
        <v>2</v>
      </c>
    </row>
    <row r="962" spans="1:14">
      <c r="A962" s="187">
        <v>1713</v>
      </c>
      <c r="C962">
        <v>8</v>
      </c>
      <c r="D962">
        <v>1059</v>
      </c>
      <c r="E962">
        <v>408</v>
      </c>
      <c r="F962">
        <v>2223</v>
      </c>
      <c r="G962">
        <v>0</v>
      </c>
      <c r="H962" s="200">
        <v>0.01</v>
      </c>
      <c r="I962">
        <f t="shared" si="116"/>
        <v>796</v>
      </c>
      <c r="J962" s="193">
        <v>0</v>
      </c>
      <c r="K962">
        <f t="shared" si="117"/>
        <v>945</v>
      </c>
      <c r="L962" s="62">
        <f t="shared" si="118"/>
        <v>951</v>
      </c>
      <c r="M962" s="304">
        <v>1.9</v>
      </c>
      <c r="N962" s="301">
        <f>VLOOKUP(1713,季財報!A:N,8,0)</f>
        <v>1</v>
      </c>
    </row>
    <row r="963" spans="1:14">
      <c r="A963" s="187">
        <v>1810</v>
      </c>
      <c r="C963">
        <v>32</v>
      </c>
      <c r="D963">
        <v>1028</v>
      </c>
      <c r="E963">
        <v>4526</v>
      </c>
      <c r="F963">
        <v>5673</v>
      </c>
      <c r="G963">
        <v>2514</v>
      </c>
      <c r="H963" s="200">
        <v>0.01</v>
      </c>
      <c r="I963">
        <f t="shared" si="116"/>
        <v>796</v>
      </c>
      <c r="J963" s="193">
        <v>0</v>
      </c>
      <c r="K963">
        <f t="shared" si="117"/>
        <v>945</v>
      </c>
      <c r="L963" s="62">
        <f t="shared" si="118"/>
        <v>951</v>
      </c>
      <c r="M963" s="304">
        <v>5.24</v>
      </c>
      <c r="N963" s="301">
        <f>VLOOKUP(1810,季財報!A:N,8,0)</f>
        <v>2</v>
      </c>
    </row>
    <row r="964" spans="1:14">
      <c r="A964" s="187">
        <v>2010</v>
      </c>
      <c r="C964">
        <v>61</v>
      </c>
      <c r="D964">
        <v>5711</v>
      </c>
      <c r="E964">
        <v>5163</v>
      </c>
      <c r="F964">
        <v>10995</v>
      </c>
      <c r="G964">
        <v>2556</v>
      </c>
      <c r="H964" s="200">
        <v>0.01</v>
      </c>
      <c r="I964">
        <f t="shared" si="116"/>
        <v>796</v>
      </c>
      <c r="J964" s="193">
        <v>0</v>
      </c>
      <c r="K964">
        <f t="shared" si="117"/>
        <v>945</v>
      </c>
      <c r="L964" s="62">
        <f t="shared" si="118"/>
        <v>951</v>
      </c>
      <c r="M964" s="304">
        <v>0.79</v>
      </c>
      <c r="N964" s="301">
        <f>VLOOKUP(2010,季財報!A:N,8,0)</f>
        <v>0</v>
      </c>
    </row>
    <row r="965" spans="1:14">
      <c r="A965" s="187">
        <v>2013</v>
      </c>
      <c r="C965">
        <v>34</v>
      </c>
      <c r="D965">
        <v>278</v>
      </c>
      <c r="E965">
        <v>2270</v>
      </c>
      <c r="F965">
        <v>4367</v>
      </c>
      <c r="G965">
        <v>6160</v>
      </c>
      <c r="H965" s="200">
        <v>0.01</v>
      </c>
      <c r="I965">
        <f t="shared" si="116"/>
        <v>796</v>
      </c>
      <c r="J965" s="193">
        <v>0</v>
      </c>
      <c r="K965">
        <f t="shared" si="117"/>
        <v>945</v>
      </c>
      <c r="L965" s="62">
        <f t="shared" si="118"/>
        <v>951</v>
      </c>
      <c r="M965" s="304">
        <v>1.1399999999999999</v>
      </c>
      <c r="N965" s="301">
        <f>VLOOKUP(2013,季財報!A:N,8,0)</f>
        <v>0</v>
      </c>
    </row>
    <row r="966" spans="1:14">
      <c r="A966" s="187">
        <v>2201</v>
      </c>
      <c r="C966">
        <v>339</v>
      </c>
      <c r="D966">
        <v>3254</v>
      </c>
      <c r="E966">
        <v>33994</v>
      </c>
      <c r="F966">
        <v>81042</v>
      </c>
      <c r="G966">
        <v>87616</v>
      </c>
      <c r="H966" s="200">
        <v>0.01</v>
      </c>
      <c r="I966">
        <f t="shared" si="116"/>
        <v>796</v>
      </c>
      <c r="J966" s="193">
        <v>0</v>
      </c>
      <c r="K966">
        <f t="shared" si="117"/>
        <v>945</v>
      </c>
      <c r="L966" s="62">
        <f t="shared" si="118"/>
        <v>951</v>
      </c>
      <c r="M966" s="304">
        <v>0.79</v>
      </c>
      <c r="N966" s="301">
        <f>VLOOKUP(2201,季財報!A:N,8,0)</f>
        <v>1</v>
      </c>
    </row>
    <row r="967" spans="1:14">
      <c r="A967" s="187">
        <v>2442</v>
      </c>
      <c r="C967">
        <v>11</v>
      </c>
      <c r="D967">
        <v>2006</v>
      </c>
      <c r="E967">
        <v>83</v>
      </c>
      <c r="F967">
        <v>2232</v>
      </c>
      <c r="G967">
        <v>1693</v>
      </c>
      <c r="H967" s="200">
        <v>0.01</v>
      </c>
      <c r="I967">
        <f t="shared" si="116"/>
        <v>796</v>
      </c>
      <c r="J967" s="193">
        <v>0</v>
      </c>
      <c r="K967">
        <f t="shared" si="117"/>
        <v>945</v>
      </c>
      <c r="L967" s="62">
        <f t="shared" si="118"/>
        <v>951</v>
      </c>
      <c r="M967" s="304">
        <v>1.18</v>
      </c>
      <c r="N967" s="301">
        <f>VLOOKUP(2442,季財報!A:N,8,0)</f>
        <v>1</v>
      </c>
    </row>
    <row r="968" spans="1:14">
      <c r="A968" s="187">
        <v>3162</v>
      </c>
      <c r="C968">
        <v>3</v>
      </c>
      <c r="D968">
        <v>8</v>
      </c>
      <c r="E968">
        <v>513</v>
      </c>
      <c r="F968">
        <v>555</v>
      </c>
      <c r="G968">
        <v>380</v>
      </c>
      <c r="H968" s="200">
        <v>0.01</v>
      </c>
      <c r="I968">
        <f t="shared" si="116"/>
        <v>796</v>
      </c>
      <c r="J968" s="193">
        <v>0</v>
      </c>
      <c r="K968">
        <f t="shared" si="117"/>
        <v>945</v>
      </c>
      <c r="L968" s="62">
        <f t="shared" si="118"/>
        <v>951</v>
      </c>
      <c r="M968" s="304">
        <v>0.79</v>
      </c>
      <c r="N968" s="301">
        <f>VLOOKUP(3162,季財報!A:N,8,0)</f>
        <v>2</v>
      </c>
    </row>
    <row r="969" spans="1:14">
      <c r="A969" s="187">
        <v>3706</v>
      </c>
      <c r="C969">
        <v>111</v>
      </c>
      <c r="D969">
        <v>10730</v>
      </c>
      <c r="E969">
        <v>5387</v>
      </c>
      <c r="F969">
        <v>33628</v>
      </c>
      <c r="G969">
        <v>2839</v>
      </c>
      <c r="H969" s="200">
        <v>0.01</v>
      </c>
      <c r="I969">
        <f t="shared" si="116"/>
        <v>796</v>
      </c>
      <c r="J969" s="193">
        <v>0</v>
      </c>
      <c r="K969">
        <f t="shared" si="117"/>
        <v>945</v>
      </c>
      <c r="L969" s="62">
        <f t="shared" si="118"/>
        <v>951</v>
      </c>
      <c r="M969" s="304">
        <v>0.79</v>
      </c>
      <c r="N969" s="301">
        <f>VLOOKUP(3706,季財報!A:N,8,0)</f>
        <v>3</v>
      </c>
    </row>
    <row r="970" spans="1:14">
      <c r="A970" s="187">
        <v>8101</v>
      </c>
      <c r="C970">
        <v>21</v>
      </c>
      <c r="D970">
        <v>1920</v>
      </c>
      <c r="E970">
        <v>1807</v>
      </c>
      <c r="F970">
        <v>4191</v>
      </c>
      <c r="G970">
        <v>3039</v>
      </c>
      <c r="H970" s="200">
        <v>0.01</v>
      </c>
      <c r="I970">
        <f t="shared" si="116"/>
        <v>796</v>
      </c>
      <c r="J970" s="193">
        <v>0</v>
      </c>
      <c r="K970">
        <f t="shared" si="117"/>
        <v>945</v>
      </c>
      <c r="L970" s="62">
        <f t="shared" si="118"/>
        <v>951</v>
      </c>
      <c r="M970" s="304">
        <v>0.79</v>
      </c>
      <c r="N970" s="301">
        <f>VLOOKUP(8101,季財報!A:N,8,0)</f>
        <v>4</v>
      </c>
    </row>
    <row r="971" spans="1:14">
      <c r="A971" s="187">
        <v>8287</v>
      </c>
      <c r="C971">
        <v>17</v>
      </c>
      <c r="D971">
        <v>2870</v>
      </c>
      <c r="E971">
        <v>154</v>
      </c>
      <c r="F971">
        <v>3269</v>
      </c>
      <c r="G971">
        <v>1630</v>
      </c>
      <c r="H971" s="200">
        <v>0.01</v>
      </c>
      <c r="I971">
        <f t="shared" si="116"/>
        <v>796</v>
      </c>
      <c r="J971" s="193">
        <v>0</v>
      </c>
      <c r="K971">
        <f t="shared" si="117"/>
        <v>945</v>
      </c>
      <c r="L971" s="62">
        <f t="shared" si="118"/>
        <v>951</v>
      </c>
      <c r="M971" s="304">
        <v>0.79</v>
      </c>
      <c r="N971" s="301">
        <f>VLOOKUP(8287,季財報!A:N,8,0)</f>
        <v>2</v>
      </c>
    </row>
    <row r="972" spans="1:14">
      <c r="A972" s="187">
        <v>6212</v>
      </c>
      <c r="C972">
        <v>9</v>
      </c>
      <c r="D972">
        <v>1012</v>
      </c>
      <c r="E972">
        <v>3</v>
      </c>
      <c r="F972">
        <v>1152</v>
      </c>
      <c r="G972">
        <v>2652</v>
      </c>
      <c r="H972" s="200">
        <v>0.01</v>
      </c>
      <c r="I972">
        <f t="shared" si="116"/>
        <v>796</v>
      </c>
      <c r="J972" s="193">
        <v>0</v>
      </c>
      <c r="K972">
        <f t="shared" si="117"/>
        <v>945</v>
      </c>
      <c r="L972" s="62">
        <f t="shared" si="118"/>
        <v>951</v>
      </c>
      <c r="M972" s="304">
        <v>0.79</v>
      </c>
      <c r="N972" s="301">
        <f>VLOOKUP(6212,季財報!A:N,8,0)</f>
        <v>2</v>
      </c>
    </row>
    <row r="973" spans="1:14">
      <c r="A973" s="187">
        <v>6158</v>
      </c>
      <c r="C973">
        <v>15</v>
      </c>
      <c r="D973">
        <v>1855</v>
      </c>
      <c r="E973">
        <v>960</v>
      </c>
      <c r="F973">
        <v>2767</v>
      </c>
      <c r="G973">
        <v>289</v>
      </c>
      <c r="H973" s="200">
        <v>0.01</v>
      </c>
      <c r="I973">
        <f t="shared" si="116"/>
        <v>796</v>
      </c>
      <c r="J973" s="193">
        <v>0</v>
      </c>
      <c r="K973">
        <f t="shared" si="117"/>
        <v>945</v>
      </c>
      <c r="L973" s="62">
        <f t="shared" si="118"/>
        <v>951</v>
      </c>
      <c r="M973" s="304">
        <v>0.79</v>
      </c>
      <c r="N973" s="301">
        <f>VLOOKUP(6158,季財報!A:N,8,0)</f>
        <v>4</v>
      </c>
    </row>
    <row r="974" spans="1:14">
      <c r="A974" s="187">
        <v>4161</v>
      </c>
      <c r="C974">
        <v>6</v>
      </c>
      <c r="D974">
        <v>564</v>
      </c>
      <c r="E974">
        <v>436</v>
      </c>
      <c r="F974">
        <v>1037</v>
      </c>
      <c r="G974">
        <v>235</v>
      </c>
      <c r="H974" s="200">
        <v>0.01</v>
      </c>
      <c r="I974">
        <f t="shared" si="116"/>
        <v>796</v>
      </c>
      <c r="J974" s="193">
        <v>0</v>
      </c>
      <c r="K974">
        <f t="shared" si="117"/>
        <v>945</v>
      </c>
      <c r="L974" s="62">
        <f t="shared" si="118"/>
        <v>951</v>
      </c>
      <c r="M974" s="304">
        <v>1.9</v>
      </c>
      <c r="N974" s="301">
        <f>VLOOKUP(4161,季財報!A:N,8,0)</f>
        <v>2</v>
      </c>
    </row>
    <row r="975" spans="1:14">
      <c r="A975" s="187">
        <v>4930</v>
      </c>
      <c r="C975">
        <v>37</v>
      </c>
      <c r="D975">
        <v>4797</v>
      </c>
      <c r="E975">
        <v>1290</v>
      </c>
      <c r="F975">
        <v>6792</v>
      </c>
      <c r="G975">
        <v>1159</v>
      </c>
      <c r="H975" s="200">
        <v>0.01</v>
      </c>
      <c r="I975">
        <f t="shared" si="116"/>
        <v>796</v>
      </c>
      <c r="J975" s="193">
        <v>0</v>
      </c>
      <c r="K975">
        <f t="shared" si="117"/>
        <v>945</v>
      </c>
      <c r="L975" s="62">
        <f t="shared" si="118"/>
        <v>951</v>
      </c>
      <c r="M975" s="304">
        <v>0.79</v>
      </c>
      <c r="N975" s="301">
        <f>VLOOKUP(4930,季財報!A:N,8,0)</f>
        <v>3</v>
      </c>
    </row>
    <row r="976" spans="1:14">
      <c r="A976" s="187">
        <v>1217</v>
      </c>
      <c r="C976">
        <v>19</v>
      </c>
      <c r="D976">
        <v>0</v>
      </c>
      <c r="E976">
        <v>3382</v>
      </c>
      <c r="F976">
        <v>6183</v>
      </c>
      <c r="G976">
        <v>2166</v>
      </c>
      <c r="H976" s="200">
        <v>0.01</v>
      </c>
      <c r="I976">
        <f t="shared" si="116"/>
        <v>796</v>
      </c>
      <c r="J976" s="193">
        <v>0</v>
      </c>
      <c r="K976">
        <f t="shared" si="117"/>
        <v>945</v>
      </c>
      <c r="L976" s="62">
        <f t="shared" si="118"/>
        <v>951</v>
      </c>
      <c r="M976" s="304">
        <v>0.79</v>
      </c>
      <c r="N976" s="301">
        <f>VLOOKUP(1217,季財報!A:N,8,0)</f>
        <v>2</v>
      </c>
    </row>
    <row r="977" spans="1:14">
      <c r="A977" s="187">
        <v>2107</v>
      </c>
      <c r="C977">
        <v>54</v>
      </c>
      <c r="D977">
        <v>7519</v>
      </c>
      <c r="E977">
        <v>863</v>
      </c>
      <c r="F977">
        <v>11751</v>
      </c>
      <c r="G977">
        <v>2202</v>
      </c>
      <c r="H977" s="200">
        <v>0.01</v>
      </c>
      <c r="I977">
        <f t="shared" si="116"/>
        <v>796</v>
      </c>
      <c r="J977" s="193">
        <v>0</v>
      </c>
      <c r="K977">
        <f t="shared" si="117"/>
        <v>945</v>
      </c>
      <c r="L977" s="62">
        <f t="shared" si="118"/>
        <v>951</v>
      </c>
      <c r="M977" s="304">
        <v>0.79</v>
      </c>
      <c r="N977" s="301">
        <f>VLOOKUP(2107,季財報!A:N,8,0)</f>
        <v>2</v>
      </c>
    </row>
    <row r="978" spans="1:14">
      <c r="A978" s="187">
        <v>2427</v>
      </c>
      <c r="C978">
        <v>9</v>
      </c>
      <c r="D978">
        <v>824</v>
      </c>
      <c r="E978">
        <v>546</v>
      </c>
      <c r="F978">
        <v>2055</v>
      </c>
      <c r="G978">
        <v>380</v>
      </c>
      <c r="H978" s="200">
        <v>0.01</v>
      </c>
      <c r="I978">
        <f t="shared" si="116"/>
        <v>796</v>
      </c>
      <c r="J978" s="193">
        <v>0</v>
      </c>
      <c r="K978">
        <f t="shared" si="117"/>
        <v>945</v>
      </c>
      <c r="L978" s="62">
        <f t="shared" si="118"/>
        <v>951</v>
      </c>
      <c r="M978" s="304">
        <v>3.37</v>
      </c>
      <c r="N978" s="301">
        <f>VLOOKUP(2427,季財報!A:N,8,0)</f>
        <v>3</v>
      </c>
    </row>
    <row r="979" spans="1:14">
      <c r="A979" s="187">
        <v>2506</v>
      </c>
      <c r="C979">
        <v>39</v>
      </c>
      <c r="D979">
        <v>2990</v>
      </c>
      <c r="E979">
        <v>1969</v>
      </c>
      <c r="F979">
        <v>7459</v>
      </c>
      <c r="G979">
        <v>2982</v>
      </c>
      <c r="H979" s="200">
        <v>0.01</v>
      </c>
      <c r="I979">
        <f t="shared" si="116"/>
        <v>796</v>
      </c>
      <c r="J979" s="193">
        <v>0</v>
      </c>
      <c r="K979">
        <f t="shared" si="117"/>
        <v>945</v>
      </c>
      <c r="L979" s="62">
        <f t="shared" si="118"/>
        <v>951</v>
      </c>
      <c r="M979" s="304">
        <v>0.79</v>
      </c>
      <c r="N979" s="301">
        <f>VLOOKUP(2506,季財報!A:N,8,0)</f>
        <v>1</v>
      </c>
    </row>
    <row r="980" spans="1:14">
      <c r="A980" s="187">
        <v>2611</v>
      </c>
      <c r="C980">
        <v>11</v>
      </c>
      <c r="D980">
        <v>196</v>
      </c>
      <c r="E980">
        <v>1454</v>
      </c>
      <c r="F980">
        <v>2839</v>
      </c>
      <c r="G980">
        <v>980</v>
      </c>
      <c r="H980" s="200">
        <v>0.01</v>
      </c>
      <c r="I980">
        <f t="shared" si="116"/>
        <v>796</v>
      </c>
      <c r="J980" s="193">
        <v>0</v>
      </c>
      <c r="K980">
        <f t="shared" si="117"/>
        <v>945</v>
      </c>
      <c r="L980" s="62">
        <f t="shared" si="118"/>
        <v>951</v>
      </c>
      <c r="M980" s="304">
        <v>0.79</v>
      </c>
      <c r="N980" s="301">
        <f>VLOOKUP(2611,季財報!A:N,8,0)</f>
        <v>2</v>
      </c>
    </row>
    <row r="981" spans="1:14">
      <c r="A981" s="187">
        <v>3050</v>
      </c>
      <c r="C981">
        <v>10</v>
      </c>
      <c r="D981">
        <v>572</v>
      </c>
      <c r="E981">
        <v>992</v>
      </c>
      <c r="F981">
        <v>2267</v>
      </c>
      <c r="G981">
        <v>278</v>
      </c>
      <c r="H981" s="200">
        <v>0.01</v>
      </c>
      <c r="I981">
        <f t="shared" si="116"/>
        <v>796</v>
      </c>
      <c r="J981" s="193">
        <v>0</v>
      </c>
      <c r="K981">
        <f t="shared" si="117"/>
        <v>945</v>
      </c>
      <c r="L981" s="62">
        <f t="shared" si="118"/>
        <v>951</v>
      </c>
      <c r="M981" s="304">
        <v>1.9</v>
      </c>
      <c r="N981" s="301">
        <f>VLOOKUP(3050,季財報!A:N,8,0)</f>
        <v>2</v>
      </c>
    </row>
    <row r="982" spans="1:14">
      <c r="A982" s="187">
        <v>3310</v>
      </c>
      <c r="C982">
        <v>8</v>
      </c>
      <c r="D982">
        <v>1272</v>
      </c>
      <c r="E982">
        <v>37</v>
      </c>
      <c r="F982">
        <v>1446</v>
      </c>
      <c r="G982">
        <v>1798</v>
      </c>
      <c r="H982" s="200">
        <v>0.01</v>
      </c>
      <c r="I982">
        <f t="shared" si="116"/>
        <v>796</v>
      </c>
      <c r="J982" s="193">
        <v>0</v>
      </c>
      <c r="K982">
        <f t="shared" si="117"/>
        <v>945</v>
      </c>
      <c r="L982" s="62">
        <f t="shared" si="118"/>
        <v>951</v>
      </c>
      <c r="M982" s="304">
        <v>1.01</v>
      </c>
      <c r="N982" s="301">
        <f>VLOOKUP(3310,季財報!A:N,8,0)</f>
        <v>2</v>
      </c>
    </row>
    <row r="983" spans="1:14">
      <c r="A983" s="187">
        <v>3354</v>
      </c>
      <c r="C983">
        <v>6</v>
      </c>
      <c r="D983">
        <v>689</v>
      </c>
      <c r="E983">
        <v>447</v>
      </c>
      <c r="F983">
        <v>1322</v>
      </c>
      <c r="G983">
        <v>96</v>
      </c>
      <c r="H983" s="200">
        <v>0.01</v>
      </c>
      <c r="I983">
        <f t="shared" si="116"/>
        <v>796</v>
      </c>
      <c r="J983" s="193">
        <v>0</v>
      </c>
      <c r="K983">
        <f t="shared" si="117"/>
        <v>945</v>
      </c>
      <c r="L983" s="62">
        <f t="shared" si="118"/>
        <v>951</v>
      </c>
      <c r="M983" s="304">
        <v>1.01</v>
      </c>
      <c r="N983" s="301">
        <f>VLOOKUP(3354,季財報!A:N,8,0)</f>
        <v>5</v>
      </c>
    </row>
    <row r="984" spans="1:14">
      <c r="A984" s="187">
        <v>9962</v>
      </c>
      <c r="C984">
        <v>-28</v>
      </c>
      <c r="H984" s="200">
        <v>0</v>
      </c>
      <c r="I984">
        <f t="shared" ref="I984:I1047" si="119">RANK(0,H:H,0)</f>
        <v>979</v>
      </c>
      <c r="J984" s="193">
        <v>0</v>
      </c>
      <c r="K984">
        <f t="shared" si="117"/>
        <v>945</v>
      </c>
      <c r="L984" s="62">
        <f t="shared" ref="L984:L1047" si="120">RANK(0.79,M:M,0)</f>
        <v>983</v>
      </c>
      <c r="M984" s="304">
        <v>0.79</v>
      </c>
      <c r="N984" s="301">
        <f>VLOOKUP(9962,季財報!A:N,8,0)</f>
        <v>0</v>
      </c>
    </row>
    <row r="985" spans="1:14">
      <c r="A985" s="187">
        <v>9940</v>
      </c>
      <c r="C985">
        <v>44</v>
      </c>
      <c r="D985">
        <v>8886</v>
      </c>
      <c r="E985">
        <v>3575</v>
      </c>
      <c r="F985">
        <v>9341</v>
      </c>
      <c r="G985">
        <v>303</v>
      </c>
      <c r="H985" s="200">
        <v>0</v>
      </c>
      <c r="I985">
        <f t="shared" si="119"/>
        <v>979</v>
      </c>
      <c r="J985" s="193">
        <v>0</v>
      </c>
      <c r="K985">
        <f t="shared" si="117"/>
        <v>945</v>
      </c>
      <c r="L985" s="62">
        <f t="shared" si="120"/>
        <v>983</v>
      </c>
      <c r="M985" s="304">
        <v>0.79</v>
      </c>
      <c r="N985" s="301">
        <f>VLOOKUP(9940,季財報!A:N,8,0)</f>
        <v>2</v>
      </c>
    </row>
    <row r="986" spans="1:14">
      <c r="A986" s="187">
        <v>9955</v>
      </c>
      <c r="C986">
        <v>-30</v>
      </c>
      <c r="H986" s="200">
        <v>0</v>
      </c>
      <c r="I986">
        <f t="shared" si="119"/>
        <v>979</v>
      </c>
      <c r="J986" s="193">
        <v>0</v>
      </c>
      <c r="K986">
        <f t="shared" si="117"/>
        <v>945</v>
      </c>
      <c r="L986" s="62">
        <f t="shared" si="120"/>
        <v>983</v>
      </c>
      <c r="M986" s="304">
        <v>0.79</v>
      </c>
      <c r="N986" s="301">
        <f>VLOOKUP(9955,季財報!A:N,8,0)</f>
        <v>2</v>
      </c>
    </row>
    <row r="987" spans="1:14">
      <c r="A987" s="187">
        <v>9960</v>
      </c>
      <c r="C987">
        <v>-3</v>
      </c>
      <c r="H987" s="200">
        <v>0</v>
      </c>
      <c r="I987">
        <f t="shared" si="119"/>
        <v>979</v>
      </c>
      <c r="J987" s="193">
        <v>0</v>
      </c>
      <c r="K987">
        <f t="shared" si="117"/>
        <v>945</v>
      </c>
      <c r="L987" s="62">
        <f t="shared" si="120"/>
        <v>983</v>
      </c>
      <c r="M987" s="304">
        <v>1.36</v>
      </c>
      <c r="N987" s="301">
        <f>VLOOKUP(9960,季財報!A:N,8,0)</f>
        <v>0</v>
      </c>
    </row>
    <row r="988" spans="1:14">
      <c r="A988" s="187">
        <v>9912</v>
      </c>
      <c r="C988">
        <v>-18</v>
      </c>
      <c r="H988" s="200">
        <v>0</v>
      </c>
      <c r="I988">
        <f t="shared" si="119"/>
        <v>979</v>
      </c>
      <c r="J988" s="193">
        <v>0</v>
      </c>
      <c r="K988">
        <f t="shared" si="117"/>
        <v>945</v>
      </c>
      <c r="L988" s="62">
        <f t="shared" si="120"/>
        <v>983</v>
      </c>
      <c r="M988" s="304">
        <v>0.79</v>
      </c>
      <c r="N988" s="301">
        <f>VLOOKUP(9912,季財報!A:N,8,0)</f>
        <v>2</v>
      </c>
    </row>
    <row r="989" spans="1:14">
      <c r="A989" s="187">
        <v>9949</v>
      </c>
      <c r="C989">
        <v>-23</v>
      </c>
      <c r="H989" s="200">
        <v>0</v>
      </c>
      <c r="I989">
        <f t="shared" si="119"/>
        <v>979</v>
      </c>
      <c r="J989" s="193">
        <v>0</v>
      </c>
      <c r="K989">
        <f t="shared" si="117"/>
        <v>945</v>
      </c>
      <c r="L989" s="62">
        <f t="shared" si="120"/>
        <v>983</v>
      </c>
      <c r="M989" s="304">
        <v>1.36</v>
      </c>
      <c r="N989" s="301">
        <f>VLOOKUP(9949,季財報!A:N,8,0)</f>
        <v>1</v>
      </c>
    </row>
    <row r="990" spans="1:14">
      <c r="A990" s="187">
        <v>9918</v>
      </c>
      <c r="C990">
        <v>3</v>
      </c>
      <c r="D990">
        <v>1667</v>
      </c>
      <c r="E990">
        <v>1441</v>
      </c>
      <c r="F990">
        <v>2789</v>
      </c>
      <c r="G990">
        <v>0</v>
      </c>
      <c r="H990" s="200">
        <v>0</v>
      </c>
      <c r="I990">
        <f t="shared" si="119"/>
        <v>979</v>
      </c>
      <c r="J990" s="193">
        <v>0</v>
      </c>
      <c r="K990">
        <f t="shared" si="117"/>
        <v>945</v>
      </c>
      <c r="L990" s="62">
        <f t="shared" si="120"/>
        <v>983</v>
      </c>
      <c r="M990" s="304">
        <v>1.1399999999999999</v>
      </c>
      <c r="N990" s="301">
        <f>VLOOKUP(9918,季財報!A:N,8,0)</f>
        <v>2</v>
      </c>
    </row>
    <row r="991" spans="1:14">
      <c r="A991" s="187">
        <v>9929</v>
      </c>
      <c r="C991">
        <v>-31</v>
      </c>
      <c r="H991" s="200">
        <v>0</v>
      </c>
      <c r="I991">
        <f t="shared" si="119"/>
        <v>979</v>
      </c>
      <c r="J991" s="193">
        <v>0</v>
      </c>
      <c r="K991">
        <f t="shared" si="117"/>
        <v>945</v>
      </c>
      <c r="L991" s="62">
        <f t="shared" si="120"/>
        <v>983</v>
      </c>
      <c r="M991" s="304">
        <v>0.9</v>
      </c>
      <c r="N991" s="301">
        <f>VLOOKUP(9929,季財報!A:N,8,0)</f>
        <v>3</v>
      </c>
    </row>
    <row r="992" spans="1:14">
      <c r="A992" s="187">
        <v>8940</v>
      </c>
      <c r="C992">
        <v>-99</v>
      </c>
      <c r="H992" s="200">
        <v>0</v>
      </c>
      <c r="I992">
        <f t="shared" si="119"/>
        <v>979</v>
      </c>
      <c r="J992" s="193">
        <v>0</v>
      </c>
      <c r="K992">
        <f t="shared" si="117"/>
        <v>945</v>
      </c>
      <c r="L992" s="62">
        <f t="shared" si="120"/>
        <v>983</v>
      </c>
      <c r="M992" s="304">
        <v>0.79</v>
      </c>
      <c r="N992" s="301">
        <f>VLOOKUP(8940,季財報!A:N,8,0)</f>
        <v>1</v>
      </c>
    </row>
    <row r="993" spans="1:14">
      <c r="A993" s="187">
        <v>8924</v>
      </c>
      <c r="C993">
        <v>-40</v>
      </c>
      <c r="H993" s="200">
        <v>0</v>
      </c>
      <c r="I993">
        <f t="shared" si="119"/>
        <v>979</v>
      </c>
      <c r="J993" s="193">
        <v>0</v>
      </c>
      <c r="K993">
        <f t="shared" si="117"/>
        <v>945</v>
      </c>
      <c r="L993" s="62">
        <f t="shared" si="120"/>
        <v>983</v>
      </c>
      <c r="M993" s="304">
        <v>0.79</v>
      </c>
      <c r="N993" s="301">
        <f>VLOOKUP(8924,季財報!A:N,8,0)</f>
        <v>1</v>
      </c>
    </row>
    <row r="994" spans="1:14">
      <c r="A994" s="187">
        <v>8934</v>
      </c>
      <c r="C994">
        <v>-3</v>
      </c>
      <c r="H994" s="200">
        <v>0</v>
      </c>
      <c r="I994">
        <f t="shared" si="119"/>
        <v>979</v>
      </c>
      <c r="J994" s="193">
        <v>0</v>
      </c>
      <c r="K994">
        <f t="shared" si="117"/>
        <v>945</v>
      </c>
      <c r="L994" s="62">
        <f t="shared" si="120"/>
        <v>983</v>
      </c>
      <c r="M994" s="304">
        <v>1.76</v>
      </c>
      <c r="N994" s="301">
        <f>VLOOKUP(8934,季財報!A:N,8,0)</f>
        <v>2</v>
      </c>
    </row>
    <row r="995" spans="1:14">
      <c r="A995" s="187">
        <v>8935</v>
      </c>
      <c r="C995">
        <v>1</v>
      </c>
      <c r="D995">
        <v>469</v>
      </c>
      <c r="E995">
        <v>774</v>
      </c>
      <c r="F995">
        <v>965</v>
      </c>
      <c r="G995">
        <v>189</v>
      </c>
      <c r="H995" s="200">
        <v>0</v>
      </c>
      <c r="I995">
        <f t="shared" si="119"/>
        <v>979</v>
      </c>
      <c r="J995" s="193">
        <v>0</v>
      </c>
      <c r="K995">
        <f t="shared" si="117"/>
        <v>945</v>
      </c>
      <c r="L995" s="62">
        <f t="shared" si="120"/>
        <v>983</v>
      </c>
      <c r="M995" s="304">
        <v>4.05</v>
      </c>
      <c r="N995" s="301">
        <f>VLOOKUP(8935,季財報!A:N,8,0)</f>
        <v>2</v>
      </c>
    </row>
    <row r="996" spans="1:14">
      <c r="A996" s="187">
        <v>9902</v>
      </c>
      <c r="C996">
        <v>-3</v>
      </c>
      <c r="H996" s="200">
        <v>0</v>
      </c>
      <c r="I996">
        <f t="shared" si="119"/>
        <v>979</v>
      </c>
      <c r="J996" s="193">
        <v>0</v>
      </c>
      <c r="K996">
        <f t="shared" si="117"/>
        <v>945</v>
      </c>
      <c r="L996" s="62">
        <f t="shared" si="120"/>
        <v>983</v>
      </c>
      <c r="M996" s="304">
        <v>4.08</v>
      </c>
      <c r="N996" s="301">
        <f>VLOOKUP(9902,季財報!A:N,8,0)</f>
        <v>2</v>
      </c>
    </row>
    <row r="997" spans="1:14">
      <c r="A997" s="187">
        <v>8409</v>
      </c>
      <c r="C997">
        <v>-9</v>
      </c>
      <c r="H997" s="200">
        <v>0</v>
      </c>
      <c r="I997">
        <f t="shared" si="119"/>
        <v>979</v>
      </c>
      <c r="J997" s="193">
        <v>0</v>
      </c>
      <c r="K997">
        <f t="shared" si="117"/>
        <v>945</v>
      </c>
      <c r="L997" s="62">
        <f t="shared" si="120"/>
        <v>983</v>
      </c>
      <c r="M997" s="304">
        <v>0.87</v>
      </c>
      <c r="N997" s="301">
        <f>VLOOKUP(8409,季財報!A:N,8,0)</f>
        <v>2</v>
      </c>
    </row>
    <row r="998" spans="1:14">
      <c r="A998" s="187">
        <v>8410</v>
      </c>
      <c r="C998">
        <v>5</v>
      </c>
      <c r="D998">
        <v>570</v>
      </c>
      <c r="E998">
        <v>714</v>
      </c>
      <c r="F998">
        <v>1223</v>
      </c>
      <c r="G998">
        <v>73</v>
      </c>
      <c r="H998" s="200">
        <v>0</v>
      </c>
      <c r="I998">
        <f t="shared" si="119"/>
        <v>979</v>
      </c>
      <c r="J998" s="193">
        <v>0</v>
      </c>
      <c r="K998">
        <f t="shared" si="117"/>
        <v>945</v>
      </c>
      <c r="L998" s="62">
        <f t="shared" si="120"/>
        <v>983</v>
      </c>
      <c r="M998" s="304">
        <v>0.79</v>
      </c>
      <c r="N998" s="301">
        <f>VLOOKUP(8410,季財報!A:N,8,0)</f>
        <v>3</v>
      </c>
    </row>
    <row r="999" spans="1:14">
      <c r="A999" s="187">
        <v>8906</v>
      </c>
      <c r="C999">
        <v>-1</v>
      </c>
      <c r="H999" s="200">
        <v>0</v>
      </c>
      <c r="I999">
        <f t="shared" si="119"/>
        <v>979</v>
      </c>
      <c r="J999" s="193">
        <v>0</v>
      </c>
      <c r="K999">
        <f t="shared" si="117"/>
        <v>945</v>
      </c>
      <c r="L999" s="62">
        <f t="shared" si="120"/>
        <v>983</v>
      </c>
      <c r="M999" s="304">
        <v>0.79</v>
      </c>
      <c r="N999" s="301">
        <f>VLOOKUP(8906,季財報!A:N,8,0)</f>
        <v>2</v>
      </c>
    </row>
    <row r="1000" spans="1:14">
      <c r="A1000" s="187">
        <v>8925</v>
      </c>
      <c r="C1000">
        <v>-183</v>
      </c>
      <c r="H1000" s="200">
        <v>0</v>
      </c>
      <c r="I1000">
        <f t="shared" si="119"/>
        <v>979</v>
      </c>
      <c r="J1000" s="193">
        <v>0</v>
      </c>
      <c r="K1000">
        <f t="shared" si="117"/>
        <v>945</v>
      </c>
      <c r="L1000" s="62">
        <f t="shared" si="120"/>
        <v>983</v>
      </c>
      <c r="M1000" s="304">
        <v>0.79</v>
      </c>
      <c r="N1000" s="301">
        <f>VLOOKUP(8925,季財報!A:N,8,0)</f>
        <v>3</v>
      </c>
    </row>
    <row r="1001" spans="1:14">
      <c r="A1001" s="187">
        <v>8927</v>
      </c>
      <c r="C1001">
        <v>-16</v>
      </c>
      <c r="H1001" s="200">
        <v>0</v>
      </c>
      <c r="I1001">
        <f t="shared" si="119"/>
        <v>979</v>
      </c>
      <c r="J1001" s="193">
        <v>0</v>
      </c>
      <c r="K1001">
        <f t="shared" si="117"/>
        <v>945</v>
      </c>
      <c r="L1001" s="62">
        <f t="shared" si="120"/>
        <v>983</v>
      </c>
      <c r="M1001" s="304">
        <v>0.79</v>
      </c>
      <c r="N1001" s="301">
        <f>VLOOKUP(8927,季財報!A:N,8,0)</f>
        <v>3</v>
      </c>
    </row>
    <row r="1002" spans="1:14">
      <c r="A1002" s="187">
        <v>8928</v>
      </c>
      <c r="C1002">
        <v>2</v>
      </c>
      <c r="D1002">
        <v>144</v>
      </c>
      <c r="E1002">
        <v>632</v>
      </c>
      <c r="F1002">
        <v>677</v>
      </c>
      <c r="G1002">
        <v>307</v>
      </c>
      <c r="H1002" s="200">
        <v>0</v>
      </c>
      <c r="I1002">
        <f t="shared" si="119"/>
        <v>979</v>
      </c>
      <c r="J1002" s="193">
        <v>0</v>
      </c>
      <c r="K1002">
        <f t="shared" si="117"/>
        <v>945</v>
      </c>
      <c r="L1002" s="62">
        <f t="shared" si="120"/>
        <v>983</v>
      </c>
      <c r="M1002" s="304">
        <v>0.79</v>
      </c>
      <c r="N1002" s="301">
        <f>VLOOKUP(8928,季財報!A:N,8,0)</f>
        <v>3</v>
      </c>
    </row>
    <row r="1003" spans="1:14">
      <c r="A1003" s="187">
        <v>8930</v>
      </c>
      <c r="C1003">
        <v>-11</v>
      </c>
      <c r="H1003" s="200">
        <v>0</v>
      </c>
      <c r="I1003">
        <f t="shared" si="119"/>
        <v>979</v>
      </c>
      <c r="J1003" s="193">
        <v>0</v>
      </c>
      <c r="K1003">
        <f t="shared" si="117"/>
        <v>945</v>
      </c>
      <c r="L1003" s="62">
        <f t="shared" si="120"/>
        <v>983</v>
      </c>
      <c r="M1003" s="304">
        <v>4.05</v>
      </c>
      <c r="N1003" s="301">
        <f>VLOOKUP(8930,季財報!A:N,8,0)</f>
        <v>1</v>
      </c>
    </row>
    <row r="1004" spans="1:14">
      <c r="A1004" s="187">
        <v>8941</v>
      </c>
      <c r="C1004">
        <v>-9</v>
      </c>
      <c r="H1004" s="200">
        <v>0</v>
      </c>
      <c r="I1004">
        <f t="shared" si="119"/>
        <v>979</v>
      </c>
      <c r="J1004" s="193">
        <v>0</v>
      </c>
      <c r="K1004">
        <f t="shared" si="117"/>
        <v>945</v>
      </c>
      <c r="L1004" s="62">
        <f t="shared" si="120"/>
        <v>983</v>
      </c>
      <c r="M1004" s="304">
        <v>2.69</v>
      </c>
      <c r="N1004" s="301">
        <f>VLOOKUP(8941,季財報!A:N,8,0)</f>
        <v>1</v>
      </c>
    </row>
    <row r="1005" spans="1:14">
      <c r="A1005" s="187">
        <v>9919</v>
      </c>
      <c r="C1005">
        <v>-14</v>
      </c>
      <c r="H1005" s="200">
        <v>0</v>
      </c>
      <c r="I1005">
        <f t="shared" si="119"/>
        <v>979</v>
      </c>
      <c r="J1005" s="193">
        <v>0</v>
      </c>
      <c r="K1005">
        <f t="shared" si="117"/>
        <v>945</v>
      </c>
      <c r="L1005" s="62">
        <f t="shared" si="120"/>
        <v>983</v>
      </c>
      <c r="M1005" s="304">
        <v>9.26</v>
      </c>
      <c r="N1005" s="301">
        <f>VLOOKUP(9919,季財報!A:N,8,0)</f>
        <v>1</v>
      </c>
    </row>
    <row r="1006" spans="1:14">
      <c r="A1006" s="187">
        <v>9928</v>
      </c>
      <c r="C1006">
        <v>-79</v>
      </c>
      <c r="H1006" s="200">
        <v>0</v>
      </c>
      <c r="I1006">
        <f t="shared" si="119"/>
        <v>979</v>
      </c>
      <c r="J1006" s="193">
        <v>0</v>
      </c>
      <c r="K1006">
        <f t="shared" si="117"/>
        <v>945</v>
      </c>
      <c r="L1006" s="62">
        <f t="shared" si="120"/>
        <v>983</v>
      </c>
      <c r="M1006" s="304">
        <v>0.79</v>
      </c>
      <c r="N1006" s="301">
        <f>VLOOKUP(9928,季財報!A:N,8,0)</f>
        <v>2</v>
      </c>
    </row>
    <row r="1007" spans="1:14">
      <c r="A1007" s="187">
        <v>8033</v>
      </c>
      <c r="C1007">
        <v>-39</v>
      </c>
      <c r="H1007" s="200">
        <v>0</v>
      </c>
      <c r="I1007">
        <f t="shared" si="119"/>
        <v>979</v>
      </c>
      <c r="J1007" s="193">
        <v>0</v>
      </c>
      <c r="K1007">
        <f t="shared" si="117"/>
        <v>945</v>
      </c>
      <c r="L1007" s="62">
        <f t="shared" si="120"/>
        <v>983</v>
      </c>
      <c r="M1007" s="304">
        <v>0.79</v>
      </c>
      <c r="N1007" s="301">
        <f>VLOOKUP(8033,季財報!A:N,8,0)</f>
        <v>1</v>
      </c>
    </row>
    <row r="1008" spans="1:14">
      <c r="A1008" s="187">
        <v>8103</v>
      </c>
      <c r="C1008">
        <v>-89</v>
      </c>
      <c r="H1008" s="200">
        <v>0</v>
      </c>
      <c r="I1008">
        <f t="shared" si="119"/>
        <v>979</v>
      </c>
      <c r="J1008" s="193">
        <v>0</v>
      </c>
      <c r="K1008">
        <f t="shared" si="117"/>
        <v>945</v>
      </c>
      <c r="L1008" s="62">
        <f t="shared" si="120"/>
        <v>983</v>
      </c>
      <c r="M1008" s="304">
        <v>0.79</v>
      </c>
      <c r="N1008" s="301">
        <f>VLOOKUP(8103,季財報!A:N,8,0)</f>
        <v>1</v>
      </c>
    </row>
    <row r="1009" spans="1:14">
      <c r="A1009" s="187">
        <v>8266</v>
      </c>
      <c r="C1009">
        <v>-38</v>
      </c>
      <c r="H1009" s="200">
        <v>0</v>
      </c>
      <c r="I1009">
        <f t="shared" si="119"/>
        <v>979</v>
      </c>
      <c r="J1009" s="193">
        <v>0</v>
      </c>
      <c r="K1009">
        <f t="shared" si="117"/>
        <v>945</v>
      </c>
      <c r="L1009" s="62">
        <f t="shared" si="120"/>
        <v>983</v>
      </c>
      <c r="M1009" s="304">
        <v>4.5199999999999996</v>
      </c>
      <c r="N1009" s="301">
        <f>VLOOKUP(8266,季財報!A:N,8,0)</f>
        <v>3</v>
      </c>
    </row>
    <row r="1010" spans="1:14">
      <c r="A1010" s="187">
        <v>8277</v>
      </c>
      <c r="C1010">
        <v>-10</v>
      </c>
      <c r="H1010" s="200">
        <v>0</v>
      </c>
      <c r="I1010">
        <f t="shared" si="119"/>
        <v>979</v>
      </c>
      <c r="J1010" s="193">
        <v>0</v>
      </c>
      <c r="K1010">
        <f t="shared" si="117"/>
        <v>945</v>
      </c>
      <c r="L1010" s="62">
        <f t="shared" si="120"/>
        <v>983</v>
      </c>
      <c r="M1010" s="304">
        <v>0.79</v>
      </c>
      <c r="N1010" s="301">
        <f>VLOOKUP(8277,季財報!A:N,8,0)</f>
        <v>2</v>
      </c>
    </row>
    <row r="1011" spans="1:14">
      <c r="A1011" s="187">
        <v>8291</v>
      </c>
      <c r="C1011">
        <v>-20</v>
      </c>
      <c r="H1011" s="200">
        <v>0</v>
      </c>
      <c r="I1011">
        <f t="shared" si="119"/>
        <v>979</v>
      </c>
      <c r="J1011" s="193">
        <v>0</v>
      </c>
      <c r="K1011">
        <f t="shared" si="117"/>
        <v>945</v>
      </c>
      <c r="L1011" s="62">
        <f t="shared" si="120"/>
        <v>983</v>
      </c>
      <c r="M1011" s="304">
        <v>0.79</v>
      </c>
      <c r="N1011" s="301">
        <f>VLOOKUP(8291,季財報!A:N,8,0)</f>
        <v>0</v>
      </c>
    </row>
    <row r="1012" spans="1:14">
      <c r="A1012" s="187">
        <v>8418</v>
      </c>
      <c r="C1012">
        <v>-17</v>
      </c>
      <c r="H1012" s="200">
        <v>0</v>
      </c>
      <c r="I1012">
        <f t="shared" si="119"/>
        <v>979</v>
      </c>
      <c r="J1012" s="193">
        <v>0</v>
      </c>
      <c r="K1012">
        <f t="shared" si="117"/>
        <v>945</v>
      </c>
      <c r="L1012" s="62">
        <f t="shared" si="120"/>
        <v>983</v>
      </c>
      <c r="M1012" s="304">
        <v>1.58</v>
      </c>
      <c r="N1012" s="301">
        <f>VLOOKUP(8418,季財報!A:N,8,0)</f>
        <v>1</v>
      </c>
    </row>
    <row r="1013" spans="1:14">
      <c r="A1013" s="187">
        <v>8427</v>
      </c>
      <c r="C1013">
        <v>-147</v>
      </c>
      <c r="H1013" s="200">
        <v>0</v>
      </c>
      <c r="I1013">
        <f t="shared" si="119"/>
        <v>979</v>
      </c>
      <c r="J1013" s="193">
        <v>0</v>
      </c>
      <c r="K1013">
        <f t="shared" si="117"/>
        <v>945</v>
      </c>
      <c r="L1013" s="62">
        <f t="shared" si="120"/>
        <v>983</v>
      </c>
      <c r="M1013" s="304">
        <v>0.79</v>
      </c>
      <c r="N1013" s="301">
        <f>VLOOKUP(8427,季財報!A:N,8,0)</f>
        <v>1</v>
      </c>
    </row>
    <row r="1014" spans="1:14">
      <c r="A1014" s="187">
        <v>8431</v>
      </c>
      <c r="C1014">
        <v>-62</v>
      </c>
      <c r="H1014" s="200">
        <v>0</v>
      </c>
      <c r="I1014">
        <f t="shared" si="119"/>
        <v>979</v>
      </c>
      <c r="J1014" s="193">
        <v>0</v>
      </c>
      <c r="K1014">
        <f t="shared" si="117"/>
        <v>945</v>
      </c>
      <c r="L1014" s="62">
        <f t="shared" si="120"/>
        <v>983</v>
      </c>
      <c r="M1014" s="304">
        <v>0.79</v>
      </c>
      <c r="N1014" s="301">
        <f>VLOOKUP(8431,季財報!A:N,8,0)</f>
        <v>1</v>
      </c>
    </row>
    <row r="1015" spans="1:14">
      <c r="A1015" s="187">
        <v>8938</v>
      </c>
      <c r="C1015">
        <v>-63</v>
      </c>
      <c r="H1015" s="200">
        <v>0</v>
      </c>
      <c r="I1015">
        <f t="shared" si="119"/>
        <v>979</v>
      </c>
      <c r="J1015" s="193">
        <v>0</v>
      </c>
      <c r="K1015">
        <f t="shared" si="117"/>
        <v>945</v>
      </c>
      <c r="L1015" s="62">
        <f t="shared" si="120"/>
        <v>983</v>
      </c>
      <c r="M1015" s="304">
        <v>0.79</v>
      </c>
      <c r="N1015" s="301">
        <f>VLOOKUP(8938,季財報!A:N,8,0)</f>
        <v>2</v>
      </c>
    </row>
    <row r="1016" spans="1:14">
      <c r="A1016" s="187">
        <v>9906</v>
      </c>
      <c r="C1016">
        <v>-2</v>
      </c>
      <c r="H1016" s="200">
        <v>0</v>
      </c>
      <c r="I1016">
        <f t="shared" si="119"/>
        <v>979</v>
      </c>
      <c r="J1016" s="193">
        <v>0</v>
      </c>
      <c r="K1016">
        <f t="shared" ref="K1016:K1079" si="121">RANK(0,J:J,0)</f>
        <v>945</v>
      </c>
      <c r="L1016" s="62">
        <f t="shared" si="120"/>
        <v>983</v>
      </c>
      <c r="M1016" s="304">
        <v>0.87</v>
      </c>
      <c r="N1016" s="301" t="e">
        <f>VLOOKUP(9906,季財報!A:N,8,0)</f>
        <v>#N/A</v>
      </c>
    </row>
    <row r="1017" spans="1:14">
      <c r="A1017" s="187">
        <v>6222</v>
      </c>
      <c r="C1017">
        <v>-33</v>
      </c>
      <c r="H1017" s="200">
        <v>0</v>
      </c>
      <c r="I1017">
        <f t="shared" si="119"/>
        <v>979</v>
      </c>
      <c r="J1017" s="193">
        <v>0</v>
      </c>
      <c r="K1017">
        <f t="shared" si="121"/>
        <v>945</v>
      </c>
      <c r="L1017" s="62">
        <f t="shared" si="120"/>
        <v>983</v>
      </c>
      <c r="M1017" s="304">
        <v>0.79</v>
      </c>
      <c r="N1017" s="301">
        <f>VLOOKUP(6222,季財報!A:N,8,0)</f>
        <v>0</v>
      </c>
    </row>
    <row r="1018" spans="1:14">
      <c r="A1018" s="187">
        <v>6419</v>
      </c>
      <c r="C1018">
        <v>-4</v>
      </c>
      <c r="H1018" s="200">
        <v>0</v>
      </c>
      <c r="I1018">
        <f t="shared" si="119"/>
        <v>979</v>
      </c>
      <c r="J1018" s="193">
        <v>0</v>
      </c>
      <c r="K1018">
        <f t="shared" si="121"/>
        <v>945</v>
      </c>
      <c r="L1018" s="62">
        <f t="shared" si="120"/>
        <v>983</v>
      </c>
      <c r="M1018" s="304">
        <v>0.79</v>
      </c>
      <c r="N1018" s="301">
        <f>VLOOKUP(6419,季財報!A:N,8,0)</f>
        <v>0</v>
      </c>
    </row>
    <row r="1019" spans="1:14">
      <c r="A1019" s="187">
        <v>6431</v>
      </c>
      <c r="C1019">
        <v>-29</v>
      </c>
      <c r="H1019" s="200">
        <v>0</v>
      </c>
      <c r="I1019">
        <f t="shared" si="119"/>
        <v>979</v>
      </c>
      <c r="J1019" s="193">
        <v>0</v>
      </c>
      <c r="K1019">
        <f t="shared" si="121"/>
        <v>945</v>
      </c>
      <c r="L1019" s="62">
        <f t="shared" si="120"/>
        <v>983</v>
      </c>
      <c r="M1019" s="304">
        <v>0.79</v>
      </c>
      <c r="N1019" s="301">
        <f>VLOOKUP(6431,季財報!A:N,8,0)</f>
        <v>1</v>
      </c>
    </row>
    <row r="1020" spans="1:14">
      <c r="A1020" s="187">
        <v>8053</v>
      </c>
      <c r="C1020">
        <v>-147</v>
      </c>
      <c r="H1020" s="200">
        <v>0</v>
      </c>
      <c r="I1020">
        <f t="shared" si="119"/>
        <v>979</v>
      </c>
      <c r="J1020" s="193">
        <v>0</v>
      </c>
      <c r="K1020">
        <f t="shared" si="121"/>
        <v>945</v>
      </c>
      <c r="L1020" s="62">
        <f t="shared" si="120"/>
        <v>983</v>
      </c>
      <c r="M1020" s="304">
        <v>0.79</v>
      </c>
      <c r="N1020" s="301">
        <f>VLOOKUP(8053,季財報!A:N,8,0)</f>
        <v>2</v>
      </c>
    </row>
    <row r="1021" spans="1:14">
      <c r="A1021" s="187">
        <v>8054</v>
      </c>
      <c r="C1021">
        <v>2</v>
      </c>
      <c r="D1021">
        <v>1826</v>
      </c>
      <c r="E1021">
        <v>66</v>
      </c>
      <c r="F1021">
        <v>2267</v>
      </c>
      <c r="G1021">
        <v>0</v>
      </c>
      <c r="H1021" s="200">
        <v>0</v>
      </c>
      <c r="I1021">
        <f t="shared" si="119"/>
        <v>979</v>
      </c>
      <c r="J1021" s="193">
        <v>0</v>
      </c>
      <c r="K1021">
        <f t="shared" si="121"/>
        <v>945</v>
      </c>
      <c r="L1021" s="62">
        <f t="shared" si="120"/>
        <v>983</v>
      </c>
      <c r="M1021" s="304">
        <v>0.79</v>
      </c>
      <c r="N1021" s="301">
        <f>VLOOKUP(8054,季財報!A:N,8,0)</f>
        <v>1</v>
      </c>
    </row>
    <row r="1022" spans="1:14">
      <c r="A1022" s="187">
        <v>8059</v>
      </c>
      <c r="C1022">
        <v>1</v>
      </c>
      <c r="D1022">
        <v>537</v>
      </c>
      <c r="E1022">
        <v>278</v>
      </c>
      <c r="F1022">
        <v>1012</v>
      </c>
      <c r="G1022">
        <v>0</v>
      </c>
      <c r="H1022" s="200">
        <v>0</v>
      </c>
      <c r="I1022">
        <f t="shared" si="119"/>
        <v>979</v>
      </c>
      <c r="J1022" s="193">
        <v>0</v>
      </c>
      <c r="K1022">
        <f t="shared" si="121"/>
        <v>945</v>
      </c>
      <c r="L1022" s="62">
        <f t="shared" si="120"/>
        <v>983</v>
      </c>
      <c r="M1022" s="304">
        <v>0.79</v>
      </c>
      <c r="N1022" s="301">
        <f>VLOOKUP(8059,季財報!A:N,8,0)</f>
        <v>1</v>
      </c>
    </row>
    <row r="1023" spans="1:14">
      <c r="A1023" s="187">
        <v>8064</v>
      </c>
      <c r="C1023">
        <v>-30</v>
      </c>
      <c r="H1023" s="200">
        <v>0</v>
      </c>
      <c r="I1023">
        <f t="shared" si="119"/>
        <v>979</v>
      </c>
      <c r="J1023" s="193">
        <v>0</v>
      </c>
      <c r="K1023">
        <f t="shared" si="121"/>
        <v>945</v>
      </c>
      <c r="L1023" s="62">
        <f t="shared" si="120"/>
        <v>983</v>
      </c>
      <c r="M1023" s="304">
        <v>0.79</v>
      </c>
      <c r="N1023" s="301">
        <f>VLOOKUP(8064,季財報!A:N,8,0)</f>
        <v>1</v>
      </c>
    </row>
    <row r="1024" spans="1:14">
      <c r="A1024" s="187">
        <v>8067</v>
      </c>
      <c r="C1024">
        <v>0</v>
      </c>
      <c r="H1024" s="200">
        <v>0</v>
      </c>
      <c r="I1024">
        <f t="shared" si="119"/>
        <v>979</v>
      </c>
      <c r="J1024" s="193">
        <v>0</v>
      </c>
      <c r="K1024">
        <f t="shared" si="121"/>
        <v>945</v>
      </c>
      <c r="L1024" s="62">
        <f t="shared" si="120"/>
        <v>983</v>
      </c>
      <c r="M1024" s="304">
        <v>0.79</v>
      </c>
      <c r="N1024" s="301">
        <f>VLOOKUP(8067,季財報!A:N,8,0)</f>
        <v>2</v>
      </c>
    </row>
    <row r="1025" spans="1:14">
      <c r="A1025" s="187">
        <v>8068</v>
      </c>
      <c r="C1025">
        <v>-2</v>
      </c>
      <c r="H1025" s="200">
        <v>0</v>
      </c>
      <c r="I1025">
        <f t="shared" si="119"/>
        <v>979</v>
      </c>
      <c r="J1025" s="193">
        <v>0</v>
      </c>
      <c r="K1025">
        <f t="shared" si="121"/>
        <v>945</v>
      </c>
      <c r="L1025" s="62">
        <f t="shared" si="120"/>
        <v>983</v>
      </c>
      <c r="M1025" s="304">
        <v>0.79</v>
      </c>
      <c r="N1025" s="301">
        <f>VLOOKUP(8068,季財報!A:N,8,0)</f>
        <v>1</v>
      </c>
    </row>
    <row r="1026" spans="1:14">
      <c r="A1026" s="187">
        <v>8071</v>
      </c>
      <c r="C1026">
        <v>-31</v>
      </c>
      <c r="H1026" s="200">
        <v>0</v>
      </c>
      <c r="I1026">
        <f t="shared" si="119"/>
        <v>979</v>
      </c>
      <c r="J1026" s="193">
        <v>0</v>
      </c>
      <c r="K1026">
        <f t="shared" si="121"/>
        <v>945</v>
      </c>
      <c r="L1026" s="62">
        <f t="shared" si="120"/>
        <v>983</v>
      </c>
      <c r="M1026" s="304">
        <v>1.01</v>
      </c>
      <c r="N1026" s="301">
        <f>VLOOKUP(8071,季財報!A:N,8,0)</f>
        <v>1</v>
      </c>
    </row>
    <row r="1027" spans="1:14">
      <c r="A1027" s="187">
        <v>8072</v>
      </c>
      <c r="C1027">
        <v>8</v>
      </c>
      <c r="D1027">
        <v>1907</v>
      </c>
      <c r="E1027">
        <v>784</v>
      </c>
      <c r="F1027">
        <v>2755</v>
      </c>
      <c r="G1027">
        <v>0</v>
      </c>
      <c r="H1027" s="200">
        <v>0</v>
      </c>
      <c r="I1027">
        <f t="shared" si="119"/>
        <v>979</v>
      </c>
      <c r="J1027" s="193">
        <v>0</v>
      </c>
      <c r="K1027">
        <f t="shared" si="121"/>
        <v>945</v>
      </c>
      <c r="L1027" s="62">
        <f t="shared" si="120"/>
        <v>983</v>
      </c>
      <c r="M1027" s="304">
        <v>1.36</v>
      </c>
      <c r="N1027" s="301">
        <f>VLOOKUP(8072,季財報!A:N,8,0)</f>
        <v>2</v>
      </c>
    </row>
    <row r="1028" spans="1:14">
      <c r="A1028" s="187">
        <v>8077</v>
      </c>
      <c r="C1028">
        <v>-6</v>
      </c>
      <c r="H1028" s="200">
        <v>0</v>
      </c>
      <c r="I1028">
        <f t="shared" si="119"/>
        <v>979</v>
      </c>
      <c r="J1028" s="193">
        <v>0</v>
      </c>
      <c r="K1028">
        <f t="shared" si="121"/>
        <v>945</v>
      </c>
      <c r="L1028" s="62">
        <f t="shared" si="120"/>
        <v>983</v>
      </c>
      <c r="M1028" s="304">
        <v>0.79</v>
      </c>
      <c r="N1028" s="301">
        <f>VLOOKUP(8077,季財報!A:N,8,0)</f>
        <v>4</v>
      </c>
    </row>
    <row r="1029" spans="1:14">
      <c r="A1029" s="187">
        <v>8080</v>
      </c>
      <c r="C1029">
        <v>-17</v>
      </c>
      <c r="H1029" s="200">
        <v>0</v>
      </c>
      <c r="I1029">
        <f t="shared" si="119"/>
        <v>979</v>
      </c>
      <c r="J1029" s="193">
        <v>0</v>
      </c>
      <c r="K1029">
        <f t="shared" si="121"/>
        <v>945</v>
      </c>
      <c r="L1029" s="62">
        <f t="shared" si="120"/>
        <v>983</v>
      </c>
      <c r="M1029" s="304">
        <v>2.76</v>
      </c>
      <c r="N1029" s="301">
        <f>VLOOKUP(8080,季財報!A:N,8,0)</f>
        <v>1</v>
      </c>
    </row>
    <row r="1030" spans="1:14">
      <c r="A1030" s="187">
        <v>8082</v>
      </c>
      <c r="C1030">
        <v>-6</v>
      </c>
      <c r="H1030" s="200">
        <v>0</v>
      </c>
      <c r="I1030">
        <f t="shared" si="119"/>
        <v>979</v>
      </c>
      <c r="J1030" s="193">
        <v>0</v>
      </c>
      <c r="K1030">
        <f t="shared" si="121"/>
        <v>945</v>
      </c>
      <c r="L1030" s="62">
        <f t="shared" si="120"/>
        <v>983</v>
      </c>
      <c r="M1030" s="304">
        <v>1.01</v>
      </c>
      <c r="N1030" s="301">
        <f>VLOOKUP(8082,季財報!A:N,8,0)</f>
        <v>1</v>
      </c>
    </row>
    <row r="1031" spans="1:14">
      <c r="A1031" s="187">
        <v>8084</v>
      </c>
      <c r="C1031">
        <v>-68</v>
      </c>
      <c r="H1031" s="200">
        <v>0</v>
      </c>
      <c r="I1031">
        <f t="shared" si="119"/>
        <v>979</v>
      </c>
      <c r="J1031" s="193">
        <v>0</v>
      </c>
      <c r="K1031">
        <f t="shared" si="121"/>
        <v>945</v>
      </c>
      <c r="L1031" s="62">
        <f t="shared" si="120"/>
        <v>983</v>
      </c>
      <c r="M1031" s="304">
        <v>0.79</v>
      </c>
      <c r="N1031" s="301">
        <f>VLOOKUP(8084,季財報!A:N,8,0)</f>
        <v>1</v>
      </c>
    </row>
    <row r="1032" spans="1:14">
      <c r="A1032" s="187">
        <v>8085</v>
      </c>
      <c r="C1032">
        <v>-32</v>
      </c>
      <c r="H1032" s="200">
        <v>0</v>
      </c>
      <c r="I1032">
        <f t="shared" si="119"/>
        <v>979</v>
      </c>
      <c r="J1032" s="193">
        <v>0</v>
      </c>
      <c r="K1032">
        <f t="shared" si="121"/>
        <v>945</v>
      </c>
      <c r="L1032" s="62">
        <f t="shared" si="120"/>
        <v>983</v>
      </c>
      <c r="M1032" s="304">
        <v>0.79</v>
      </c>
      <c r="N1032" s="301">
        <f>VLOOKUP(8085,季財報!A:N,8,0)</f>
        <v>2</v>
      </c>
    </row>
    <row r="1033" spans="1:14">
      <c r="A1033" s="187">
        <v>8107</v>
      </c>
      <c r="C1033">
        <v>6</v>
      </c>
      <c r="D1033">
        <v>1080</v>
      </c>
      <c r="E1033">
        <v>579</v>
      </c>
      <c r="F1033">
        <v>1937</v>
      </c>
      <c r="G1033">
        <v>443</v>
      </c>
      <c r="H1033" s="200">
        <v>0</v>
      </c>
      <c r="I1033">
        <f t="shared" si="119"/>
        <v>979</v>
      </c>
      <c r="J1033" s="193">
        <v>0</v>
      </c>
      <c r="K1033">
        <f t="shared" si="121"/>
        <v>945</v>
      </c>
      <c r="L1033" s="62">
        <f t="shared" si="120"/>
        <v>983</v>
      </c>
      <c r="M1033" s="304">
        <v>0.79</v>
      </c>
      <c r="N1033" s="301">
        <f>VLOOKUP(8107,季財報!A:N,8,0)</f>
        <v>5</v>
      </c>
    </row>
    <row r="1034" spans="1:14">
      <c r="A1034" s="187">
        <v>8110</v>
      </c>
      <c r="C1034">
        <v>34</v>
      </c>
      <c r="D1034">
        <v>1768</v>
      </c>
      <c r="E1034">
        <v>10559</v>
      </c>
      <c r="F1034">
        <v>7599</v>
      </c>
      <c r="G1034">
        <v>1081</v>
      </c>
      <c r="H1034" s="200">
        <v>0</v>
      </c>
      <c r="I1034">
        <f t="shared" si="119"/>
        <v>979</v>
      </c>
      <c r="J1034" s="193">
        <v>0</v>
      </c>
      <c r="K1034">
        <f t="shared" si="121"/>
        <v>945</v>
      </c>
      <c r="L1034" s="62">
        <f t="shared" si="120"/>
        <v>983</v>
      </c>
      <c r="M1034" s="304">
        <v>0.79</v>
      </c>
      <c r="N1034" s="301">
        <f>VLOOKUP(8110,季財報!A:N,8,0)</f>
        <v>4</v>
      </c>
    </row>
    <row r="1035" spans="1:14">
      <c r="A1035" s="187">
        <v>8111</v>
      </c>
      <c r="C1035">
        <v>-27</v>
      </c>
      <c r="H1035" s="200">
        <v>0</v>
      </c>
      <c r="I1035">
        <f t="shared" si="119"/>
        <v>979</v>
      </c>
      <c r="J1035" s="193">
        <v>0</v>
      </c>
      <c r="K1035">
        <f t="shared" si="121"/>
        <v>945</v>
      </c>
      <c r="L1035" s="62">
        <f t="shared" si="120"/>
        <v>983</v>
      </c>
      <c r="M1035" s="304">
        <v>0.79</v>
      </c>
      <c r="N1035" s="301">
        <f>VLOOKUP(8111,季財報!A:N,8,0)</f>
        <v>2</v>
      </c>
    </row>
    <row r="1036" spans="1:14">
      <c r="A1036" s="187">
        <v>8121</v>
      </c>
      <c r="C1036">
        <v>-136</v>
      </c>
      <c r="H1036" s="200">
        <v>0</v>
      </c>
      <c r="I1036">
        <f t="shared" si="119"/>
        <v>979</v>
      </c>
      <c r="J1036" s="193">
        <v>0</v>
      </c>
      <c r="K1036">
        <f t="shared" si="121"/>
        <v>945</v>
      </c>
      <c r="L1036" s="62">
        <f t="shared" si="120"/>
        <v>983</v>
      </c>
      <c r="M1036" s="304">
        <v>0.79</v>
      </c>
      <c r="N1036" s="301">
        <f>VLOOKUP(8121,季財報!A:N,8,0)</f>
        <v>1</v>
      </c>
    </row>
    <row r="1037" spans="1:14">
      <c r="A1037" s="187">
        <v>8171</v>
      </c>
      <c r="C1037">
        <v>-22</v>
      </c>
      <c r="H1037" s="200">
        <v>0</v>
      </c>
      <c r="I1037">
        <f t="shared" si="119"/>
        <v>979</v>
      </c>
      <c r="J1037" s="193">
        <v>0</v>
      </c>
      <c r="K1037">
        <f t="shared" si="121"/>
        <v>945</v>
      </c>
      <c r="L1037" s="62">
        <f t="shared" si="120"/>
        <v>983</v>
      </c>
      <c r="M1037" s="304">
        <v>1.1399999999999999</v>
      </c>
      <c r="N1037" s="301">
        <f>VLOOKUP(8171,季財報!A:N,8,0)</f>
        <v>2</v>
      </c>
    </row>
    <row r="1038" spans="1:14">
      <c r="A1038" s="187">
        <v>8176</v>
      </c>
      <c r="C1038">
        <v>1</v>
      </c>
      <c r="D1038">
        <v>203</v>
      </c>
      <c r="E1038">
        <v>523</v>
      </c>
      <c r="F1038">
        <v>927</v>
      </c>
      <c r="G1038">
        <v>330</v>
      </c>
      <c r="H1038" s="200">
        <v>0</v>
      </c>
      <c r="I1038">
        <f t="shared" si="119"/>
        <v>979</v>
      </c>
      <c r="J1038" s="193">
        <v>0</v>
      </c>
      <c r="K1038">
        <f t="shared" si="121"/>
        <v>945</v>
      </c>
      <c r="L1038" s="62">
        <f t="shared" si="120"/>
        <v>983</v>
      </c>
      <c r="M1038" s="304">
        <v>4.1500000000000004</v>
      </c>
      <c r="N1038" s="301">
        <f>VLOOKUP(8176,季財報!A:N,8,0)</f>
        <v>5</v>
      </c>
    </row>
    <row r="1039" spans="1:14">
      <c r="A1039" s="187">
        <v>8183</v>
      </c>
      <c r="C1039">
        <v>-7</v>
      </c>
      <c r="H1039" s="200">
        <v>0</v>
      </c>
      <c r="I1039">
        <f t="shared" si="119"/>
        <v>979</v>
      </c>
      <c r="J1039" s="193">
        <v>0</v>
      </c>
      <c r="K1039">
        <f t="shared" si="121"/>
        <v>945</v>
      </c>
      <c r="L1039" s="62">
        <f t="shared" si="120"/>
        <v>983</v>
      </c>
      <c r="M1039" s="304">
        <v>0.79</v>
      </c>
      <c r="N1039" s="301">
        <f>VLOOKUP(8183,季財報!A:N,8,0)</f>
        <v>4</v>
      </c>
    </row>
    <row r="1040" spans="1:14">
      <c r="A1040" s="187">
        <v>8201</v>
      </c>
      <c r="C1040">
        <v>-77</v>
      </c>
      <c r="H1040" s="200">
        <v>0</v>
      </c>
      <c r="I1040">
        <f t="shared" si="119"/>
        <v>979</v>
      </c>
      <c r="J1040" s="193">
        <v>0</v>
      </c>
      <c r="K1040">
        <f t="shared" si="121"/>
        <v>945</v>
      </c>
      <c r="L1040" s="62">
        <f t="shared" si="120"/>
        <v>983</v>
      </c>
      <c r="M1040" s="304">
        <v>0.79</v>
      </c>
      <c r="N1040" s="301">
        <f>VLOOKUP(8201,季財報!A:N,8,0)</f>
        <v>3</v>
      </c>
    </row>
    <row r="1041" spans="1:14">
      <c r="A1041" s="187">
        <v>8358</v>
      </c>
      <c r="C1041">
        <v>-49</v>
      </c>
      <c r="H1041" s="200">
        <v>0</v>
      </c>
      <c r="I1041">
        <f t="shared" si="119"/>
        <v>979</v>
      </c>
      <c r="J1041" s="193">
        <v>0</v>
      </c>
      <c r="K1041">
        <f t="shared" si="121"/>
        <v>945</v>
      </c>
      <c r="L1041" s="62">
        <f t="shared" si="120"/>
        <v>983</v>
      </c>
      <c r="M1041" s="304">
        <v>0.79</v>
      </c>
      <c r="N1041" s="301">
        <f>VLOOKUP(8358,季財報!A:N,8,0)</f>
        <v>3</v>
      </c>
    </row>
    <row r="1042" spans="1:14">
      <c r="A1042" s="187">
        <v>8374</v>
      </c>
      <c r="C1042">
        <v>-41</v>
      </c>
      <c r="H1042" s="200">
        <v>0</v>
      </c>
      <c r="I1042">
        <f t="shared" si="119"/>
        <v>979</v>
      </c>
      <c r="J1042" s="193">
        <v>0</v>
      </c>
      <c r="K1042">
        <f t="shared" si="121"/>
        <v>945</v>
      </c>
      <c r="L1042" s="62">
        <f t="shared" si="120"/>
        <v>983</v>
      </c>
      <c r="M1042" s="304">
        <v>6.28</v>
      </c>
      <c r="N1042" s="301">
        <f>VLOOKUP(8374,季財報!A:N,8,0)</f>
        <v>0</v>
      </c>
    </row>
    <row r="1043" spans="1:14">
      <c r="A1043" s="187">
        <v>8390</v>
      </c>
      <c r="C1043">
        <v>-40</v>
      </c>
      <c r="H1043" s="200">
        <v>0</v>
      </c>
      <c r="I1043">
        <f t="shared" si="119"/>
        <v>979</v>
      </c>
      <c r="J1043" s="193">
        <v>0</v>
      </c>
      <c r="K1043">
        <f t="shared" si="121"/>
        <v>945</v>
      </c>
      <c r="L1043" s="62">
        <f t="shared" si="120"/>
        <v>983</v>
      </c>
      <c r="M1043" s="304">
        <v>1.36</v>
      </c>
      <c r="N1043" s="301">
        <f>VLOOKUP(8390,季財報!A:N,8,0)</f>
        <v>0</v>
      </c>
    </row>
    <row r="1044" spans="1:14">
      <c r="A1044" s="187">
        <v>6169</v>
      </c>
      <c r="C1044">
        <v>-29</v>
      </c>
      <c r="H1044" s="200">
        <v>0</v>
      </c>
      <c r="I1044">
        <f t="shared" si="119"/>
        <v>979</v>
      </c>
      <c r="J1044" s="193">
        <v>0</v>
      </c>
      <c r="K1044">
        <f t="shared" si="121"/>
        <v>945</v>
      </c>
      <c r="L1044" s="62">
        <f t="shared" si="120"/>
        <v>983</v>
      </c>
      <c r="M1044" s="304">
        <v>1.01</v>
      </c>
      <c r="N1044" s="301">
        <f>VLOOKUP(6169,季財報!A:N,8,0)</f>
        <v>4</v>
      </c>
    </row>
    <row r="1045" spans="1:14">
      <c r="A1045" s="187">
        <v>6170</v>
      </c>
      <c r="C1045">
        <v>-12</v>
      </c>
      <c r="H1045" s="200">
        <v>0</v>
      </c>
      <c r="I1045">
        <f t="shared" si="119"/>
        <v>979</v>
      </c>
      <c r="J1045" s="193">
        <v>0</v>
      </c>
      <c r="K1045">
        <f t="shared" si="121"/>
        <v>945</v>
      </c>
      <c r="L1045" s="62">
        <f t="shared" si="120"/>
        <v>983</v>
      </c>
      <c r="M1045" s="304">
        <v>0.79</v>
      </c>
      <c r="N1045" s="301">
        <f>VLOOKUP(6170,季財報!A:N,8,0)</f>
        <v>4</v>
      </c>
    </row>
    <row r="1046" spans="1:14">
      <c r="A1046" s="187">
        <v>6171</v>
      </c>
      <c r="C1046">
        <v>-6</v>
      </c>
      <c r="H1046" s="200">
        <v>0</v>
      </c>
      <c r="I1046">
        <f t="shared" si="119"/>
        <v>979</v>
      </c>
      <c r="J1046" s="193">
        <v>0</v>
      </c>
      <c r="K1046">
        <f t="shared" si="121"/>
        <v>945</v>
      </c>
      <c r="L1046" s="62">
        <f t="shared" si="120"/>
        <v>983</v>
      </c>
      <c r="M1046" s="304">
        <v>0.79</v>
      </c>
      <c r="N1046" s="301">
        <f>VLOOKUP(6171,季財報!A:N,8,0)</f>
        <v>4</v>
      </c>
    </row>
    <row r="1047" spans="1:14">
      <c r="A1047" s="187">
        <v>6243</v>
      </c>
      <c r="C1047">
        <v>-27</v>
      </c>
      <c r="H1047" s="200">
        <v>0</v>
      </c>
      <c r="I1047">
        <f t="shared" si="119"/>
        <v>979</v>
      </c>
      <c r="J1047" s="193">
        <v>0</v>
      </c>
      <c r="K1047">
        <f t="shared" si="121"/>
        <v>945</v>
      </c>
      <c r="L1047" s="62">
        <f t="shared" si="120"/>
        <v>983</v>
      </c>
      <c r="M1047" s="304">
        <v>0.79</v>
      </c>
      <c r="N1047" s="301">
        <f>VLOOKUP(6243,季財報!A:N,8,0)</f>
        <v>3</v>
      </c>
    </row>
    <row r="1048" spans="1:14">
      <c r="A1048" s="187">
        <v>6246</v>
      </c>
      <c r="C1048">
        <v>-33</v>
      </c>
      <c r="H1048" s="200">
        <v>0</v>
      </c>
      <c r="I1048">
        <f t="shared" ref="I1048:I1111" si="122">RANK(0,H:H,0)</f>
        <v>979</v>
      </c>
      <c r="J1048" s="193">
        <v>0</v>
      </c>
      <c r="K1048">
        <f t="shared" si="121"/>
        <v>945</v>
      </c>
      <c r="L1048" s="62">
        <f t="shared" ref="L1048:L1111" si="123">RANK(0.79,M:M,0)</f>
        <v>983</v>
      </c>
      <c r="M1048" s="304">
        <v>2.29</v>
      </c>
      <c r="N1048" s="301">
        <f>VLOOKUP(6246,季財報!A:N,8,0)</f>
        <v>3</v>
      </c>
    </row>
    <row r="1049" spans="1:14">
      <c r="A1049" s="187">
        <v>6250</v>
      </c>
      <c r="C1049">
        <v>-44</v>
      </c>
      <c r="H1049" s="200">
        <v>0</v>
      </c>
      <c r="I1049">
        <f t="shared" si="122"/>
        <v>979</v>
      </c>
      <c r="J1049" s="193">
        <v>0</v>
      </c>
      <c r="K1049">
        <f t="shared" si="121"/>
        <v>945</v>
      </c>
      <c r="L1049" s="62">
        <f t="shared" si="123"/>
        <v>983</v>
      </c>
      <c r="M1049" s="304">
        <v>0.79</v>
      </c>
      <c r="N1049" s="301">
        <f>VLOOKUP(6250,季財報!A:N,8,0)</f>
        <v>0</v>
      </c>
    </row>
    <row r="1050" spans="1:14">
      <c r="A1050" s="187">
        <v>6251</v>
      </c>
      <c r="C1050">
        <v>19</v>
      </c>
      <c r="D1050">
        <v>374</v>
      </c>
      <c r="E1050">
        <v>4771</v>
      </c>
      <c r="F1050">
        <v>4682</v>
      </c>
      <c r="G1050">
        <v>2700</v>
      </c>
      <c r="H1050" s="200">
        <v>0</v>
      </c>
      <c r="I1050">
        <f t="shared" si="122"/>
        <v>979</v>
      </c>
      <c r="J1050" s="193">
        <v>0</v>
      </c>
      <c r="K1050">
        <f t="shared" si="121"/>
        <v>945</v>
      </c>
      <c r="L1050" s="62">
        <f t="shared" si="123"/>
        <v>983</v>
      </c>
      <c r="M1050" s="304">
        <v>1.1399999999999999</v>
      </c>
      <c r="N1050" s="301">
        <f>VLOOKUP(6251,季財報!A:N,8,0)</f>
        <v>2</v>
      </c>
    </row>
    <row r="1051" spans="1:14">
      <c r="A1051" s="187">
        <v>6259</v>
      </c>
      <c r="C1051">
        <v>-49</v>
      </c>
      <c r="H1051" s="200">
        <v>0</v>
      </c>
      <c r="I1051">
        <f t="shared" si="122"/>
        <v>979</v>
      </c>
      <c r="J1051" s="193">
        <v>0</v>
      </c>
      <c r="K1051">
        <f t="shared" si="121"/>
        <v>945</v>
      </c>
      <c r="L1051" s="62">
        <f t="shared" si="123"/>
        <v>983</v>
      </c>
      <c r="M1051" s="304">
        <v>2.69</v>
      </c>
      <c r="N1051" s="301">
        <f>VLOOKUP(6259,季財報!A:N,8,0)</f>
        <v>1</v>
      </c>
    </row>
    <row r="1052" spans="1:14">
      <c r="A1052" s="187">
        <v>6264</v>
      </c>
      <c r="C1052">
        <v>-18</v>
      </c>
      <c r="H1052" s="200">
        <v>0</v>
      </c>
      <c r="I1052">
        <f t="shared" si="122"/>
        <v>979</v>
      </c>
      <c r="J1052" s="193">
        <v>0</v>
      </c>
      <c r="K1052">
        <f t="shared" si="121"/>
        <v>945</v>
      </c>
      <c r="L1052" s="62">
        <f t="shared" si="123"/>
        <v>983</v>
      </c>
      <c r="M1052" s="304">
        <v>6.36</v>
      </c>
      <c r="N1052" s="301">
        <f>VLOOKUP(6264,季財報!A:N,8,0)</f>
        <v>1</v>
      </c>
    </row>
    <row r="1053" spans="1:14">
      <c r="A1053" s="187">
        <v>6265</v>
      </c>
      <c r="C1053">
        <v>2</v>
      </c>
      <c r="D1053">
        <v>1227</v>
      </c>
      <c r="E1053">
        <v>294</v>
      </c>
      <c r="F1053">
        <v>1636</v>
      </c>
      <c r="G1053">
        <v>265</v>
      </c>
      <c r="H1053" s="200">
        <v>0</v>
      </c>
      <c r="I1053">
        <f t="shared" si="122"/>
        <v>979</v>
      </c>
      <c r="J1053" s="193">
        <v>0</v>
      </c>
      <c r="K1053">
        <f t="shared" si="121"/>
        <v>945</v>
      </c>
      <c r="L1053" s="62">
        <f t="shared" si="123"/>
        <v>983</v>
      </c>
      <c r="M1053" s="304">
        <v>4.05</v>
      </c>
      <c r="N1053" s="301">
        <f>VLOOKUP(6265,季財報!A:N,8,0)</f>
        <v>3</v>
      </c>
    </row>
    <row r="1054" spans="1:14">
      <c r="A1054" s="187">
        <v>6266</v>
      </c>
      <c r="C1054">
        <v>2</v>
      </c>
      <c r="D1054">
        <v>891</v>
      </c>
      <c r="E1054">
        <v>523</v>
      </c>
      <c r="F1054">
        <v>1371</v>
      </c>
      <c r="G1054">
        <v>0</v>
      </c>
      <c r="H1054" s="200">
        <v>0</v>
      </c>
      <c r="I1054">
        <f t="shared" si="122"/>
        <v>979</v>
      </c>
      <c r="J1054" s="193">
        <v>0</v>
      </c>
      <c r="K1054">
        <f t="shared" si="121"/>
        <v>945</v>
      </c>
      <c r="L1054" s="62">
        <f t="shared" si="123"/>
        <v>983</v>
      </c>
      <c r="M1054" s="304">
        <v>0.79</v>
      </c>
      <c r="N1054" s="301">
        <f>VLOOKUP(6266,季財報!A:N,8,0)</f>
        <v>4</v>
      </c>
    </row>
    <row r="1055" spans="1:14">
      <c r="A1055" s="187">
        <v>6270</v>
      </c>
      <c r="C1055">
        <v>5</v>
      </c>
      <c r="D1055">
        <v>1042</v>
      </c>
      <c r="E1055">
        <v>89</v>
      </c>
      <c r="F1055">
        <v>1260</v>
      </c>
      <c r="G1055">
        <v>0</v>
      </c>
      <c r="H1055" s="200">
        <v>0</v>
      </c>
      <c r="I1055">
        <f t="shared" si="122"/>
        <v>979</v>
      </c>
      <c r="J1055" s="193">
        <v>0</v>
      </c>
      <c r="K1055">
        <f t="shared" si="121"/>
        <v>945</v>
      </c>
      <c r="L1055" s="62">
        <f t="shared" si="123"/>
        <v>983</v>
      </c>
      <c r="M1055" s="304">
        <v>1.1399999999999999</v>
      </c>
      <c r="N1055" s="301">
        <f>VLOOKUP(6270,季財報!A:N,8,0)</f>
        <v>3</v>
      </c>
    </row>
    <row r="1056" spans="1:14">
      <c r="A1056" s="187">
        <v>6275</v>
      </c>
      <c r="C1056">
        <v>0</v>
      </c>
      <c r="H1056" s="200">
        <v>0</v>
      </c>
      <c r="I1056">
        <f t="shared" si="122"/>
        <v>979</v>
      </c>
      <c r="J1056" s="193">
        <v>0</v>
      </c>
      <c r="K1056">
        <f t="shared" si="121"/>
        <v>945</v>
      </c>
      <c r="L1056" s="62">
        <f t="shared" si="123"/>
        <v>983</v>
      </c>
      <c r="M1056" s="304">
        <v>0.79</v>
      </c>
      <c r="N1056" s="301">
        <f>VLOOKUP(6275,季財報!A:N,8,0)</f>
        <v>1</v>
      </c>
    </row>
    <row r="1057" spans="1:14">
      <c r="A1057" s="187">
        <v>6276</v>
      </c>
      <c r="C1057">
        <v>-43</v>
      </c>
      <c r="H1057" s="200">
        <v>0</v>
      </c>
      <c r="I1057">
        <f t="shared" si="122"/>
        <v>979</v>
      </c>
      <c r="J1057" s="193">
        <v>0</v>
      </c>
      <c r="K1057">
        <f t="shared" si="121"/>
        <v>945</v>
      </c>
      <c r="L1057" s="62">
        <f t="shared" si="123"/>
        <v>983</v>
      </c>
      <c r="M1057" s="304">
        <v>1.01</v>
      </c>
      <c r="N1057" s="301">
        <f>VLOOKUP(6276,季財報!A:N,8,0)</f>
        <v>2</v>
      </c>
    </row>
    <row r="1058" spans="1:14">
      <c r="A1058" s="187">
        <v>6283</v>
      </c>
      <c r="C1058">
        <v>-15</v>
      </c>
      <c r="H1058" s="200">
        <v>0</v>
      </c>
      <c r="I1058">
        <f t="shared" si="122"/>
        <v>979</v>
      </c>
      <c r="J1058" s="193">
        <v>0</v>
      </c>
      <c r="K1058">
        <f t="shared" si="121"/>
        <v>945</v>
      </c>
      <c r="L1058" s="62">
        <f t="shared" si="123"/>
        <v>983</v>
      </c>
      <c r="M1058" s="304">
        <v>0.79</v>
      </c>
      <c r="N1058" s="301">
        <f>VLOOKUP(6283,季財報!A:N,8,0)</f>
        <v>2</v>
      </c>
    </row>
    <row r="1059" spans="1:14">
      <c r="A1059" s="187">
        <v>6284</v>
      </c>
      <c r="C1059">
        <v>14</v>
      </c>
      <c r="D1059">
        <v>793</v>
      </c>
      <c r="E1059">
        <v>2098</v>
      </c>
      <c r="F1059">
        <v>2760</v>
      </c>
      <c r="G1059">
        <v>1515</v>
      </c>
      <c r="H1059" s="200">
        <v>0</v>
      </c>
      <c r="I1059">
        <f t="shared" si="122"/>
        <v>979</v>
      </c>
      <c r="J1059" s="193">
        <v>0</v>
      </c>
      <c r="K1059">
        <f t="shared" si="121"/>
        <v>945</v>
      </c>
      <c r="L1059" s="62">
        <f t="shared" si="123"/>
        <v>983</v>
      </c>
      <c r="M1059" s="304">
        <v>1.9</v>
      </c>
      <c r="N1059" s="301">
        <f>VLOOKUP(6284,季財報!A:N,8,0)</f>
        <v>4</v>
      </c>
    </row>
    <row r="1060" spans="1:14">
      <c r="A1060" s="187">
        <v>6287</v>
      </c>
      <c r="C1060">
        <v>-56</v>
      </c>
      <c r="H1060" s="200">
        <v>0</v>
      </c>
      <c r="I1060">
        <f t="shared" si="122"/>
        <v>979</v>
      </c>
      <c r="J1060" s="193">
        <v>0</v>
      </c>
      <c r="K1060">
        <f t="shared" si="121"/>
        <v>945</v>
      </c>
      <c r="L1060" s="62">
        <f t="shared" si="123"/>
        <v>983</v>
      </c>
      <c r="M1060" s="304">
        <v>0.79</v>
      </c>
      <c r="N1060" s="301">
        <f>VLOOKUP(6287,季財報!A:N,8,0)</f>
        <v>3</v>
      </c>
    </row>
    <row r="1061" spans="1:14">
      <c r="A1061" s="187">
        <v>6289</v>
      </c>
      <c r="C1061">
        <v>-75</v>
      </c>
      <c r="H1061" s="200">
        <v>0</v>
      </c>
      <c r="I1061">
        <f t="shared" si="122"/>
        <v>979</v>
      </c>
      <c r="J1061" s="193">
        <v>0</v>
      </c>
      <c r="K1061">
        <f t="shared" si="121"/>
        <v>945</v>
      </c>
      <c r="L1061" s="62">
        <f t="shared" si="123"/>
        <v>983</v>
      </c>
      <c r="M1061" s="304">
        <v>0.79</v>
      </c>
      <c r="N1061" s="301">
        <f>VLOOKUP(6289,季財報!A:N,8,0)</f>
        <v>2</v>
      </c>
    </row>
    <row r="1062" spans="1:14">
      <c r="A1062" s="187">
        <v>6291</v>
      </c>
      <c r="C1062">
        <v>-12</v>
      </c>
      <c r="H1062" s="200">
        <v>0</v>
      </c>
      <c r="I1062">
        <f t="shared" si="122"/>
        <v>979</v>
      </c>
      <c r="J1062" s="193">
        <v>0</v>
      </c>
      <c r="K1062">
        <f t="shared" si="121"/>
        <v>945</v>
      </c>
      <c r="L1062" s="62">
        <f t="shared" si="123"/>
        <v>983</v>
      </c>
      <c r="M1062" s="304">
        <v>0.79</v>
      </c>
      <c r="N1062" s="301">
        <f>VLOOKUP(6291,季財報!A:N,8,0)</f>
        <v>0</v>
      </c>
    </row>
    <row r="1063" spans="1:14">
      <c r="A1063" s="187">
        <v>6404</v>
      </c>
      <c r="C1063">
        <v>4</v>
      </c>
      <c r="D1063">
        <v>801</v>
      </c>
      <c r="E1063">
        <v>0</v>
      </c>
      <c r="F1063">
        <v>1507</v>
      </c>
      <c r="G1063">
        <v>0</v>
      </c>
      <c r="H1063" s="200">
        <v>0</v>
      </c>
      <c r="I1063">
        <f t="shared" si="122"/>
        <v>979</v>
      </c>
      <c r="J1063" s="193">
        <v>0</v>
      </c>
      <c r="K1063">
        <f t="shared" si="121"/>
        <v>945</v>
      </c>
      <c r="L1063" s="62">
        <f t="shared" si="123"/>
        <v>983</v>
      </c>
      <c r="M1063" s="304">
        <v>1.01</v>
      </c>
      <c r="N1063" s="301">
        <f>VLOOKUP(6404,季財報!A:N,8,0)</f>
        <v>1</v>
      </c>
    </row>
    <row r="1064" spans="1:14">
      <c r="A1064" s="187">
        <v>6702</v>
      </c>
      <c r="C1064">
        <v>-665</v>
      </c>
      <c r="H1064" s="200">
        <v>0</v>
      </c>
      <c r="I1064">
        <f t="shared" si="122"/>
        <v>979</v>
      </c>
      <c r="J1064" s="193">
        <v>0</v>
      </c>
      <c r="K1064">
        <f t="shared" si="121"/>
        <v>945</v>
      </c>
      <c r="L1064" s="62">
        <f t="shared" si="123"/>
        <v>983</v>
      </c>
      <c r="M1064" s="304">
        <v>2.29</v>
      </c>
      <c r="N1064" s="301">
        <f>VLOOKUP(6702,季財報!A:N,8,0)</f>
        <v>2</v>
      </c>
    </row>
    <row r="1065" spans="1:14">
      <c r="A1065" s="187">
        <v>8011</v>
      </c>
      <c r="C1065">
        <v>-71</v>
      </c>
      <c r="H1065" s="200">
        <v>0</v>
      </c>
      <c r="I1065">
        <f t="shared" si="122"/>
        <v>979</v>
      </c>
      <c r="J1065" s="193">
        <v>0</v>
      </c>
      <c r="K1065">
        <f t="shared" si="121"/>
        <v>945</v>
      </c>
      <c r="L1065" s="62">
        <f t="shared" si="123"/>
        <v>983</v>
      </c>
      <c r="M1065" s="304">
        <v>1.36</v>
      </c>
      <c r="N1065" s="301">
        <f>VLOOKUP(8011,季財報!A:N,8,0)</f>
        <v>1</v>
      </c>
    </row>
    <row r="1066" spans="1:14">
      <c r="A1066" s="187">
        <v>8024</v>
      </c>
      <c r="C1066">
        <v>-8</v>
      </c>
      <c r="H1066" s="200">
        <v>0</v>
      </c>
      <c r="I1066">
        <f t="shared" si="122"/>
        <v>979</v>
      </c>
      <c r="J1066" s="193">
        <v>0</v>
      </c>
      <c r="K1066">
        <f t="shared" si="121"/>
        <v>945</v>
      </c>
      <c r="L1066" s="62">
        <f t="shared" si="123"/>
        <v>983</v>
      </c>
      <c r="M1066" s="304">
        <v>0.79</v>
      </c>
      <c r="N1066" s="301">
        <f>VLOOKUP(8024,季財報!A:N,8,0)</f>
        <v>1</v>
      </c>
    </row>
    <row r="1067" spans="1:14">
      <c r="A1067" s="187">
        <v>8034</v>
      </c>
      <c r="C1067">
        <v>-10</v>
      </c>
      <c r="H1067" s="200">
        <v>0</v>
      </c>
      <c r="I1067">
        <f t="shared" si="122"/>
        <v>979</v>
      </c>
      <c r="J1067" s="193">
        <v>0</v>
      </c>
      <c r="K1067">
        <f t="shared" si="121"/>
        <v>945</v>
      </c>
      <c r="L1067" s="62">
        <f t="shared" si="123"/>
        <v>983</v>
      </c>
      <c r="M1067" s="304">
        <v>1.84</v>
      </c>
      <c r="N1067" s="301">
        <f>VLOOKUP(8034,季財報!A:N,8,0)</f>
        <v>3</v>
      </c>
    </row>
    <row r="1068" spans="1:14">
      <c r="A1068" s="187">
        <v>8038</v>
      </c>
      <c r="C1068">
        <v>-34</v>
      </c>
      <c r="H1068" s="200">
        <v>0</v>
      </c>
      <c r="I1068">
        <f t="shared" si="122"/>
        <v>979</v>
      </c>
      <c r="J1068" s="193">
        <v>0</v>
      </c>
      <c r="K1068">
        <f t="shared" si="121"/>
        <v>945</v>
      </c>
      <c r="L1068" s="62">
        <f t="shared" si="123"/>
        <v>983</v>
      </c>
      <c r="M1068" s="304">
        <v>1.36</v>
      </c>
      <c r="N1068" s="301">
        <f>VLOOKUP(8038,季財報!A:N,8,0)</f>
        <v>1</v>
      </c>
    </row>
    <row r="1069" spans="1:14">
      <c r="A1069" s="187">
        <v>8040</v>
      </c>
      <c r="C1069">
        <v>-31</v>
      </c>
      <c r="H1069" s="200">
        <v>0</v>
      </c>
      <c r="I1069">
        <f t="shared" si="122"/>
        <v>979</v>
      </c>
      <c r="J1069" s="193">
        <v>0</v>
      </c>
      <c r="K1069">
        <f t="shared" si="121"/>
        <v>945</v>
      </c>
      <c r="L1069" s="62">
        <f t="shared" si="123"/>
        <v>983</v>
      </c>
      <c r="M1069" s="304">
        <v>1.58</v>
      </c>
      <c r="N1069" s="301">
        <f>VLOOKUP(8040,季財報!A:N,8,0)</f>
        <v>1</v>
      </c>
    </row>
    <row r="1070" spans="1:14">
      <c r="A1070" s="187">
        <v>8046</v>
      </c>
      <c r="C1070">
        <v>-462</v>
      </c>
      <c r="H1070" s="200">
        <v>0</v>
      </c>
      <c r="I1070">
        <f t="shared" si="122"/>
        <v>979</v>
      </c>
      <c r="J1070" s="193">
        <v>0</v>
      </c>
      <c r="K1070">
        <f t="shared" si="121"/>
        <v>945</v>
      </c>
      <c r="L1070" s="62">
        <f t="shared" si="123"/>
        <v>983</v>
      </c>
      <c r="M1070" s="304">
        <v>0.79</v>
      </c>
      <c r="N1070" s="301">
        <f>VLOOKUP(8046,季財報!A:N,8,0)</f>
        <v>2</v>
      </c>
    </row>
    <row r="1071" spans="1:14">
      <c r="A1071" s="187">
        <v>8092</v>
      </c>
      <c r="C1071">
        <v>-4</v>
      </c>
      <c r="H1071" s="200">
        <v>0</v>
      </c>
      <c r="I1071">
        <f t="shared" si="122"/>
        <v>979</v>
      </c>
      <c r="J1071" s="193">
        <v>0</v>
      </c>
      <c r="K1071">
        <f t="shared" si="121"/>
        <v>945</v>
      </c>
      <c r="L1071" s="62">
        <f t="shared" si="123"/>
        <v>983</v>
      </c>
      <c r="M1071" s="304">
        <v>0.79</v>
      </c>
      <c r="N1071" s="301">
        <f>VLOOKUP(8092,季財報!A:N,8,0)</f>
        <v>2</v>
      </c>
    </row>
    <row r="1072" spans="1:14">
      <c r="A1072" s="187">
        <v>8097</v>
      </c>
      <c r="C1072">
        <v>-7</v>
      </c>
      <c r="H1072" s="200">
        <v>0</v>
      </c>
      <c r="I1072">
        <f t="shared" si="122"/>
        <v>979</v>
      </c>
      <c r="J1072" s="193">
        <v>0</v>
      </c>
      <c r="K1072">
        <f t="shared" si="121"/>
        <v>945</v>
      </c>
      <c r="L1072" s="62">
        <f t="shared" si="123"/>
        <v>983</v>
      </c>
      <c r="M1072" s="304">
        <v>0.79</v>
      </c>
      <c r="N1072" s="301">
        <f>VLOOKUP(8097,季財報!A:N,8,0)</f>
        <v>5</v>
      </c>
    </row>
    <row r="1073" spans="1:14">
      <c r="A1073" s="187">
        <v>5523</v>
      </c>
      <c r="C1073">
        <v>-1</v>
      </c>
      <c r="H1073" s="200">
        <v>0</v>
      </c>
      <c r="I1073">
        <f t="shared" si="122"/>
        <v>979</v>
      </c>
      <c r="J1073" s="193">
        <v>0</v>
      </c>
      <c r="K1073">
        <f t="shared" si="121"/>
        <v>945</v>
      </c>
      <c r="L1073" s="62">
        <f t="shared" si="123"/>
        <v>983</v>
      </c>
      <c r="M1073" s="304">
        <v>1.01</v>
      </c>
      <c r="N1073" s="301">
        <f>VLOOKUP(5523,季財報!A:N,8,0)</f>
        <v>0</v>
      </c>
    </row>
    <row r="1074" spans="1:14">
      <c r="A1074" s="187">
        <v>5529</v>
      </c>
      <c r="C1074">
        <v>-15</v>
      </c>
      <c r="H1074" s="200">
        <v>0</v>
      </c>
      <c r="I1074">
        <f t="shared" si="122"/>
        <v>979</v>
      </c>
      <c r="J1074" s="193">
        <v>0</v>
      </c>
      <c r="K1074">
        <f t="shared" si="121"/>
        <v>945</v>
      </c>
      <c r="L1074" s="62">
        <f t="shared" si="123"/>
        <v>983</v>
      </c>
      <c r="M1074" s="304">
        <v>0.79</v>
      </c>
      <c r="N1074" s="301">
        <f>VLOOKUP(5529,季財報!A:N,8,0)</f>
        <v>0</v>
      </c>
    </row>
    <row r="1075" spans="1:14">
      <c r="A1075" s="187">
        <v>5531</v>
      </c>
      <c r="C1075">
        <v>-68</v>
      </c>
      <c r="H1075" s="200">
        <v>0</v>
      </c>
      <c r="I1075">
        <f t="shared" si="122"/>
        <v>979</v>
      </c>
      <c r="J1075" s="193">
        <v>0</v>
      </c>
      <c r="K1075">
        <f t="shared" si="121"/>
        <v>945</v>
      </c>
      <c r="L1075" s="62">
        <f t="shared" si="123"/>
        <v>983</v>
      </c>
      <c r="M1075" s="304">
        <v>0.79</v>
      </c>
      <c r="N1075" s="301">
        <f>VLOOKUP(5531,季財報!A:N,8,0)</f>
        <v>1</v>
      </c>
    </row>
    <row r="1076" spans="1:14">
      <c r="A1076" s="187">
        <v>5906</v>
      </c>
      <c r="C1076">
        <v>-122</v>
      </c>
      <c r="H1076" s="200">
        <v>0</v>
      </c>
      <c r="I1076">
        <f t="shared" si="122"/>
        <v>979</v>
      </c>
      <c r="J1076" s="193">
        <v>0</v>
      </c>
      <c r="K1076">
        <f t="shared" si="121"/>
        <v>945</v>
      </c>
      <c r="L1076" s="62">
        <f t="shared" si="123"/>
        <v>983</v>
      </c>
      <c r="M1076" s="304">
        <v>0.87</v>
      </c>
      <c r="N1076" s="301">
        <f>VLOOKUP(5906,季財報!A:N,8,0)</f>
        <v>3</v>
      </c>
    </row>
    <row r="1077" spans="1:14">
      <c r="A1077" s="187">
        <v>6101</v>
      </c>
      <c r="C1077">
        <v>-53</v>
      </c>
      <c r="H1077" s="200">
        <v>0</v>
      </c>
      <c r="I1077">
        <f t="shared" si="122"/>
        <v>979</v>
      </c>
      <c r="J1077" s="193">
        <v>0</v>
      </c>
      <c r="K1077">
        <f t="shared" si="121"/>
        <v>945</v>
      </c>
      <c r="L1077" s="62">
        <f t="shared" si="123"/>
        <v>983</v>
      </c>
      <c r="M1077" s="304">
        <v>1.01</v>
      </c>
      <c r="N1077" s="301">
        <f>VLOOKUP(6101,季財報!A:N,8,0)</f>
        <v>0</v>
      </c>
    </row>
    <row r="1078" spans="1:14">
      <c r="A1078" s="187">
        <v>6103</v>
      </c>
      <c r="C1078">
        <v>0</v>
      </c>
      <c r="H1078" s="200">
        <v>0</v>
      </c>
      <c r="I1078">
        <f t="shared" si="122"/>
        <v>979</v>
      </c>
      <c r="J1078" s="193">
        <v>0</v>
      </c>
      <c r="K1078">
        <f t="shared" si="121"/>
        <v>945</v>
      </c>
      <c r="L1078" s="62">
        <f t="shared" si="123"/>
        <v>983</v>
      </c>
      <c r="M1078" s="304">
        <v>1.1399999999999999</v>
      </c>
      <c r="N1078" s="301">
        <f>VLOOKUP(6103,季財報!A:N,8,0)</f>
        <v>4</v>
      </c>
    </row>
    <row r="1079" spans="1:14">
      <c r="A1079" s="187">
        <v>6113</v>
      </c>
      <c r="C1079">
        <v>-11</v>
      </c>
      <c r="H1079" s="200">
        <v>0</v>
      </c>
      <c r="I1079">
        <f t="shared" si="122"/>
        <v>979</v>
      </c>
      <c r="J1079" s="193">
        <v>0</v>
      </c>
      <c r="K1079">
        <f t="shared" si="121"/>
        <v>945</v>
      </c>
      <c r="L1079" s="62">
        <f t="shared" si="123"/>
        <v>983</v>
      </c>
      <c r="M1079" s="304">
        <v>0.79</v>
      </c>
      <c r="N1079" s="301">
        <f>VLOOKUP(6113,季財報!A:N,8,0)</f>
        <v>2</v>
      </c>
    </row>
    <row r="1080" spans="1:14">
      <c r="A1080" s="187">
        <v>6116</v>
      </c>
      <c r="C1080">
        <v>-874</v>
      </c>
      <c r="H1080" s="200">
        <v>0</v>
      </c>
      <c r="I1080">
        <f t="shared" si="122"/>
        <v>979</v>
      </c>
      <c r="J1080" s="193">
        <v>0</v>
      </c>
      <c r="K1080">
        <f t="shared" ref="K1080:K1143" si="124">RANK(0,J:J,0)</f>
        <v>945</v>
      </c>
      <c r="L1080" s="62">
        <f t="shared" si="123"/>
        <v>983</v>
      </c>
      <c r="M1080" s="304">
        <v>0.79</v>
      </c>
      <c r="N1080" s="301">
        <f>VLOOKUP(6116,季財報!A:N,8,0)</f>
        <v>2</v>
      </c>
    </row>
    <row r="1081" spans="1:14">
      <c r="A1081" s="187">
        <v>6117</v>
      </c>
      <c r="C1081">
        <v>-54</v>
      </c>
      <c r="H1081" s="200">
        <v>0</v>
      </c>
      <c r="I1081">
        <f t="shared" si="122"/>
        <v>979</v>
      </c>
      <c r="J1081" s="193">
        <v>0</v>
      </c>
      <c r="K1081">
        <f t="shared" si="124"/>
        <v>945</v>
      </c>
      <c r="L1081" s="62">
        <f t="shared" si="123"/>
        <v>983</v>
      </c>
      <c r="M1081" s="304">
        <v>0.79</v>
      </c>
      <c r="N1081" s="301">
        <f>VLOOKUP(6117,季財報!A:N,8,0)</f>
        <v>3</v>
      </c>
    </row>
    <row r="1082" spans="1:14">
      <c r="A1082" s="187">
        <v>6118</v>
      </c>
      <c r="C1082">
        <v>-3</v>
      </c>
      <c r="H1082" s="200">
        <v>0</v>
      </c>
      <c r="I1082">
        <f t="shared" si="122"/>
        <v>979</v>
      </c>
      <c r="J1082" s="193">
        <v>0</v>
      </c>
      <c r="K1082">
        <f t="shared" si="124"/>
        <v>945</v>
      </c>
      <c r="L1082" s="62">
        <f t="shared" si="123"/>
        <v>983</v>
      </c>
      <c r="M1082" s="304">
        <v>0.79</v>
      </c>
      <c r="N1082" s="301">
        <f>VLOOKUP(6118,季財報!A:N,8,0)</f>
        <v>2</v>
      </c>
    </row>
    <row r="1083" spans="1:14">
      <c r="A1083" s="187">
        <v>6120</v>
      </c>
      <c r="C1083">
        <v>-187</v>
      </c>
      <c r="H1083" s="200">
        <v>0</v>
      </c>
      <c r="I1083">
        <f t="shared" si="122"/>
        <v>979</v>
      </c>
      <c r="J1083" s="193">
        <v>0</v>
      </c>
      <c r="K1083">
        <f t="shared" si="124"/>
        <v>945</v>
      </c>
      <c r="L1083" s="62">
        <f t="shared" si="123"/>
        <v>983</v>
      </c>
      <c r="M1083" s="304">
        <v>0.79</v>
      </c>
      <c r="N1083" s="301">
        <f>VLOOKUP(6120,季財報!A:N,8,0)</f>
        <v>0</v>
      </c>
    </row>
    <row r="1084" spans="1:14">
      <c r="A1084" s="187">
        <v>6122</v>
      </c>
      <c r="C1084">
        <v>-18</v>
      </c>
      <c r="H1084" s="200">
        <v>0</v>
      </c>
      <c r="I1084">
        <f t="shared" si="122"/>
        <v>979</v>
      </c>
      <c r="J1084" s="193">
        <v>0</v>
      </c>
      <c r="K1084">
        <f t="shared" si="124"/>
        <v>945</v>
      </c>
      <c r="L1084" s="62">
        <f t="shared" si="123"/>
        <v>983</v>
      </c>
      <c r="M1084" s="304">
        <v>0.79</v>
      </c>
      <c r="N1084" s="301">
        <f>VLOOKUP(6122,季財報!A:N,8,0)</f>
        <v>1</v>
      </c>
    </row>
    <row r="1085" spans="1:14">
      <c r="A1085" s="187">
        <v>6124</v>
      </c>
      <c r="C1085">
        <v>-15</v>
      </c>
      <c r="H1085" s="200">
        <v>0</v>
      </c>
      <c r="I1085">
        <f t="shared" si="122"/>
        <v>979</v>
      </c>
      <c r="J1085" s="193">
        <v>0</v>
      </c>
      <c r="K1085">
        <f t="shared" si="124"/>
        <v>945</v>
      </c>
      <c r="L1085" s="62">
        <f t="shared" si="123"/>
        <v>983</v>
      </c>
      <c r="M1085" s="304">
        <v>0.79</v>
      </c>
      <c r="N1085" s="301">
        <f>VLOOKUP(6124,季財報!A:N,8,0)</f>
        <v>3</v>
      </c>
    </row>
    <row r="1086" spans="1:14">
      <c r="A1086" s="187">
        <v>6125</v>
      </c>
      <c r="C1086">
        <v>31</v>
      </c>
      <c r="D1086">
        <v>1380</v>
      </c>
      <c r="E1086">
        <v>5651</v>
      </c>
      <c r="F1086">
        <v>8548</v>
      </c>
      <c r="G1086">
        <v>1910</v>
      </c>
      <c r="H1086" s="200">
        <v>0</v>
      </c>
      <c r="I1086">
        <f t="shared" si="122"/>
        <v>979</v>
      </c>
      <c r="J1086" s="193">
        <v>0</v>
      </c>
      <c r="K1086">
        <f t="shared" si="124"/>
        <v>945</v>
      </c>
      <c r="L1086" s="62">
        <f t="shared" si="123"/>
        <v>983</v>
      </c>
      <c r="M1086" s="304">
        <v>1.01</v>
      </c>
      <c r="N1086" s="301">
        <f>VLOOKUP(6125,季財報!A:N,8,0)</f>
        <v>2</v>
      </c>
    </row>
    <row r="1087" spans="1:14">
      <c r="A1087" s="187">
        <v>6126</v>
      </c>
      <c r="C1087">
        <v>-26</v>
      </c>
      <c r="H1087" s="200">
        <v>0</v>
      </c>
      <c r="I1087">
        <f t="shared" si="122"/>
        <v>979</v>
      </c>
      <c r="J1087" s="193">
        <v>0</v>
      </c>
      <c r="K1087">
        <f t="shared" si="124"/>
        <v>945</v>
      </c>
      <c r="L1087" s="62">
        <f t="shared" si="123"/>
        <v>983</v>
      </c>
      <c r="M1087" s="304">
        <v>0.79</v>
      </c>
      <c r="N1087" s="301">
        <f>VLOOKUP(6126,季財報!A:N,8,0)</f>
        <v>4</v>
      </c>
    </row>
    <row r="1088" spans="1:14">
      <c r="A1088" s="187">
        <v>6129</v>
      </c>
      <c r="C1088">
        <v>-18</v>
      </c>
      <c r="H1088" s="200">
        <v>0</v>
      </c>
      <c r="I1088">
        <f t="shared" si="122"/>
        <v>979</v>
      </c>
      <c r="J1088" s="193">
        <v>0</v>
      </c>
      <c r="K1088">
        <f t="shared" si="124"/>
        <v>945</v>
      </c>
      <c r="L1088" s="62">
        <f t="shared" si="123"/>
        <v>983</v>
      </c>
      <c r="M1088" s="304">
        <v>0.79</v>
      </c>
      <c r="N1088" s="301">
        <f>VLOOKUP(6129,季財報!A:N,8,0)</f>
        <v>1</v>
      </c>
    </row>
    <row r="1089" spans="1:14">
      <c r="A1089" s="187">
        <v>6130</v>
      </c>
      <c r="C1089">
        <v>1</v>
      </c>
      <c r="D1089">
        <v>205</v>
      </c>
      <c r="E1089">
        <v>45</v>
      </c>
      <c r="F1089">
        <v>307</v>
      </c>
      <c r="G1089">
        <v>0</v>
      </c>
      <c r="H1089" s="200">
        <v>0</v>
      </c>
      <c r="I1089">
        <f t="shared" si="122"/>
        <v>979</v>
      </c>
      <c r="J1089" s="193">
        <v>0</v>
      </c>
      <c r="K1089">
        <f t="shared" si="124"/>
        <v>945</v>
      </c>
      <c r="L1089" s="62">
        <f t="shared" si="123"/>
        <v>983</v>
      </c>
      <c r="M1089" s="304">
        <v>1.36</v>
      </c>
      <c r="N1089" s="301">
        <f>VLOOKUP(6130,季財報!A:N,8,0)</f>
        <v>2</v>
      </c>
    </row>
    <row r="1090" spans="1:14">
      <c r="A1090" s="187">
        <v>6131</v>
      </c>
      <c r="C1090">
        <v>-29</v>
      </c>
      <c r="H1090" s="200">
        <v>0</v>
      </c>
      <c r="I1090">
        <f t="shared" si="122"/>
        <v>979</v>
      </c>
      <c r="J1090" s="193">
        <v>0</v>
      </c>
      <c r="K1090">
        <f t="shared" si="124"/>
        <v>945</v>
      </c>
      <c r="L1090" s="62">
        <f t="shared" si="123"/>
        <v>983</v>
      </c>
      <c r="M1090" s="304">
        <v>1.29</v>
      </c>
      <c r="N1090" s="301">
        <f>VLOOKUP(6131,季財報!A:N,8,0)</f>
        <v>3</v>
      </c>
    </row>
    <row r="1091" spans="1:14">
      <c r="A1091" s="187">
        <v>6133</v>
      </c>
      <c r="C1091">
        <v>7</v>
      </c>
      <c r="D1091">
        <v>1067</v>
      </c>
      <c r="E1091">
        <v>484</v>
      </c>
      <c r="F1091">
        <v>1634</v>
      </c>
      <c r="G1091">
        <v>0</v>
      </c>
      <c r="H1091" s="200">
        <v>0</v>
      </c>
      <c r="I1091">
        <f t="shared" si="122"/>
        <v>979</v>
      </c>
      <c r="J1091" s="193">
        <v>0</v>
      </c>
      <c r="K1091">
        <f t="shared" si="124"/>
        <v>945</v>
      </c>
      <c r="L1091" s="62">
        <f t="shared" si="123"/>
        <v>983</v>
      </c>
      <c r="M1091" s="304">
        <v>1.1399999999999999</v>
      </c>
      <c r="N1091" s="301">
        <f>VLOOKUP(6133,季財報!A:N,8,0)</f>
        <v>3</v>
      </c>
    </row>
    <row r="1092" spans="1:14">
      <c r="A1092" s="187">
        <v>6134</v>
      </c>
      <c r="C1092">
        <v>0</v>
      </c>
      <c r="H1092" s="200">
        <v>0</v>
      </c>
      <c r="I1092">
        <f t="shared" si="122"/>
        <v>979</v>
      </c>
      <c r="J1092" s="193">
        <v>0</v>
      </c>
      <c r="K1092">
        <f t="shared" si="124"/>
        <v>945</v>
      </c>
      <c r="L1092" s="62">
        <f t="shared" si="123"/>
        <v>983</v>
      </c>
      <c r="M1092" s="304">
        <v>0.79</v>
      </c>
      <c r="N1092" s="301">
        <f>VLOOKUP(6134,季財報!A:N,8,0)</f>
        <v>2</v>
      </c>
    </row>
    <row r="1093" spans="1:14">
      <c r="A1093" s="187">
        <v>6136</v>
      </c>
      <c r="C1093">
        <v>-8</v>
      </c>
      <c r="H1093" s="200">
        <v>0</v>
      </c>
      <c r="I1093">
        <f t="shared" si="122"/>
        <v>979</v>
      </c>
      <c r="J1093" s="193">
        <v>0</v>
      </c>
      <c r="K1093">
        <f t="shared" si="124"/>
        <v>945</v>
      </c>
      <c r="L1093" s="62">
        <f t="shared" si="123"/>
        <v>983</v>
      </c>
      <c r="M1093" s="304">
        <v>0.79</v>
      </c>
      <c r="N1093" s="301">
        <f>VLOOKUP(6136,季財報!A:N,8,0)</f>
        <v>4</v>
      </c>
    </row>
    <row r="1094" spans="1:14">
      <c r="A1094" s="187">
        <v>6140</v>
      </c>
      <c r="C1094">
        <v>-1</v>
      </c>
      <c r="H1094" s="200">
        <v>0</v>
      </c>
      <c r="I1094">
        <f t="shared" si="122"/>
        <v>979</v>
      </c>
      <c r="J1094" s="193">
        <v>0</v>
      </c>
      <c r="K1094">
        <f t="shared" si="124"/>
        <v>945</v>
      </c>
      <c r="L1094" s="62">
        <f t="shared" si="123"/>
        <v>983</v>
      </c>
      <c r="M1094" s="304">
        <v>1.9</v>
      </c>
      <c r="N1094" s="301">
        <f>VLOOKUP(6140,季財報!A:N,8,0)</f>
        <v>2</v>
      </c>
    </row>
    <row r="1095" spans="1:14">
      <c r="A1095" s="187">
        <v>6141</v>
      </c>
      <c r="C1095">
        <v>-76</v>
      </c>
      <c r="H1095" s="200">
        <v>0</v>
      </c>
      <c r="I1095">
        <f t="shared" si="122"/>
        <v>979</v>
      </c>
      <c r="J1095" s="193">
        <v>0</v>
      </c>
      <c r="K1095">
        <f t="shared" si="124"/>
        <v>945</v>
      </c>
      <c r="L1095" s="62">
        <f t="shared" si="123"/>
        <v>983</v>
      </c>
      <c r="M1095" s="304">
        <v>0.79</v>
      </c>
      <c r="N1095" s="301">
        <f>VLOOKUP(6141,季財報!A:N,8,0)</f>
        <v>1</v>
      </c>
    </row>
    <row r="1096" spans="1:14">
      <c r="A1096" s="187">
        <v>6142</v>
      </c>
      <c r="C1096">
        <v>-19</v>
      </c>
      <c r="H1096" s="200">
        <v>0</v>
      </c>
      <c r="I1096">
        <f t="shared" si="122"/>
        <v>979</v>
      </c>
      <c r="J1096" s="193">
        <v>0</v>
      </c>
      <c r="K1096">
        <f t="shared" si="124"/>
        <v>945</v>
      </c>
      <c r="L1096" s="62">
        <f t="shared" si="123"/>
        <v>983</v>
      </c>
      <c r="M1096" s="304">
        <v>0.79</v>
      </c>
      <c r="N1096" s="301">
        <f>VLOOKUP(6142,季財報!A:N,8,0)</f>
        <v>2</v>
      </c>
    </row>
    <row r="1097" spans="1:14">
      <c r="A1097" s="187">
        <v>6143</v>
      </c>
      <c r="C1097">
        <v>-6</v>
      </c>
      <c r="H1097" s="200">
        <v>0</v>
      </c>
      <c r="I1097">
        <f t="shared" si="122"/>
        <v>979</v>
      </c>
      <c r="J1097" s="193">
        <v>0</v>
      </c>
      <c r="K1097">
        <f t="shared" si="124"/>
        <v>945</v>
      </c>
      <c r="L1097" s="62">
        <f t="shared" si="123"/>
        <v>983</v>
      </c>
      <c r="M1097" s="304">
        <v>2.29</v>
      </c>
      <c r="N1097" s="301">
        <f>VLOOKUP(6143,季財報!A:N,8,0)</f>
        <v>5</v>
      </c>
    </row>
    <row r="1098" spans="1:14">
      <c r="A1098" s="187">
        <v>6144</v>
      </c>
      <c r="C1098">
        <v>-4</v>
      </c>
      <c r="H1098" s="200">
        <v>0</v>
      </c>
      <c r="I1098">
        <f t="shared" si="122"/>
        <v>979</v>
      </c>
      <c r="J1098" s="193">
        <v>0</v>
      </c>
      <c r="K1098">
        <f t="shared" si="124"/>
        <v>945</v>
      </c>
      <c r="L1098" s="62">
        <f t="shared" si="123"/>
        <v>983</v>
      </c>
      <c r="M1098" s="304">
        <v>0.87</v>
      </c>
      <c r="N1098" s="301">
        <f>VLOOKUP(6144,季財報!A:N,8,0)</f>
        <v>2</v>
      </c>
    </row>
    <row r="1099" spans="1:14">
      <c r="A1099" s="187">
        <v>6145</v>
      </c>
      <c r="C1099">
        <v>3</v>
      </c>
      <c r="D1099">
        <v>1288</v>
      </c>
      <c r="E1099">
        <v>38</v>
      </c>
      <c r="F1099">
        <v>4962</v>
      </c>
      <c r="G1099">
        <v>457</v>
      </c>
      <c r="H1099" s="200">
        <v>0</v>
      </c>
      <c r="I1099">
        <f t="shared" si="122"/>
        <v>979</v>
      </c>
      <c r="J1099" s="193">
        <v>0</v>
      </c>
      <c r="K1099">
        <f t="shared" si="124"/>
        <v>945</v>
      </c>
      <c r="L1099" s="62">
        <f t="shared" si="123"/>
        <v>983</v>
      </c>
      <c r="M1099" s="304">
        <v>11.17</v>
      </c>
      <c r="N1099" s="301">
        <f>VLOOKUP(6145,季財報!A:N,8,0)</f>
        <v>2</v>
      </c>
    </row>
    <row r="1100" spans="1:14">
      <c r="A1100" s="187">
        <v>6150</v>
      </c>
      <c r="C1100">
        <v>-36</v>
      </c>
      <c r="H1100" s="200">
        <v>0</v>
      </c>
      <c r="I1100">
        <f t="shared" si="122"/>
        <v>979</v>
      </c>
      <c r="J1100" s="193">
        <v>0</v>
      </c>
      <c r="K1100">
        <f t="shared" si="124"/>
        <v>945</v>
      </c>
      <c r="L1100" s="62">
        <f t="shared" si="123"/>
        <v>983</v>
      </c>
      <c r="M1100" s="304">
        <v>5.24</v>
      </c>
      <c r="N1100" s="301">
        <f>VLOOKUP(6150,季財報!A:N,8,0)</f>
        <v>2</v>
      </c>
    </row>
    <row r="1101" spans="1:14">
      <c r="A1101" s="187">
        <v>6152</v>
      </c>
      <c r="C1101">
        <v>-165</v>
      </c>
      <c r="H1101" s="200">
        <v>0</v>
      </c>
      <c r="I1101">
        <f t="shared" si="122"/>
        <v>979</v>
      </c>
      <c r="J1101" s="193">
        <v>0</v>
      </c>
      <c r="K1101">
        <f t="shared" si="124"/>
        <v>945</v>
      </c>
      <c r="L1101" s="62">
        <f t="shared" si="123"/>
        <v>983</v>
      </c>
      <c r="M1101" s="304">
        <v>0.79</v>
      </c>
      <c r="N1101" s="301">
        <f>VLOOKUP(6152,季財報!A:N,8,0)</f>
        <v>3</v>
      </c>
    </row>
    <row r="1102" spans="1:14">
      <c r="A1102" s="187">
        <v>6186</v>
      </c>
      <c r="C1102">
        <v>-18</v>
      </c>
      <c r="H1102" s="200">
        <v>0</v>
      </c>
      <c r="I1102">
        <f t="shared" si="122"/>
        <v>979</v>
      </c>
      <c r="J1102" s="193">
        <v>0</v>
      </c>
      <c r="K1102">
        <f t="shared" si="124"/>
        <v>945</v>
      </c>
      <c r="L1102" s="62">
        <f t="shared" si="123"/>
        <v>983</v>
      </c>
      <c r="M1102" s="304">
        <v>0.79</v>
      </c>
      <c r="N1102" s="301" t="e">
        <f>VLOOKUP(6186,季財報!A:N,8,0)</f>
        <v>#N/A</v>
      </c>
    </row>
    <row r="1103" spans="1:14">
      <c r="A1103" s="187">
        <v>6191</v>
      </c>
      <c r="C1103">
        <v>55</v>
      </c>
      <c r="D1103">
        <v>6442</v>
      </c>
      <c r="E1103">
        <v>6930</v>
      </c>
      <c r="F1103">
        <v>11467</v>
      </c>
      <c r="G1103">
        <v>3249</v>
      </c>
      <c r="H1103" s="200">
        <v>0</v>
      </c>
      <c r="I1103">
        <f t="shared" si="122"/>
        <v>979</v>
      </c>
      <c r="J1103" s="193">
        <v>0</v>
      </c>
      <c r="K1103">
        <f t="shared" si="124"/>
        <v>945</v>
      </c>
      <c r="L1103" s="62">
        <f t="shared" si="123"/>
        <v>983</v>
      </c>
      <c r="M1103" s="304">
        <v>0.79</v>
      </c>
      <c r="N1103" s="301">
        <f>VLOOKUP(6191,季財報!A:N,8,0)</f>
        <v>0</v>
      </c>
    </row>
    <row r="1104" spans="1:14">
      <c r="A1104" s="187">
        <v>6194</v>
      </c>
      <c r="C1104">
        <v>-22</v>
      </c>
      <c r="H1104" s="200">
        <v>0</v>
      </c>
      <c r="I1104">
        <f t="shared" si="122"/>
        <v>979</v>
      </c>
      <c r="J1104" s="193">
        <v>0</v>
      </c>
      <c r="K1104">
        <f t="shared" si="124"/>
        <v>945</v>
      </c>
      <c r="L1104" s="62">
        <f t="shared" si="123"/>
        <v>983</v>
      </c>
      <c r="M1104" s="304">
        <v>0.79</v>
      </c>
      <c r="N1104" s="301">
        <f>VLOOKUP(6194,季財報!A:N,8,0)</f>
        <v>3</v>
      </c>
    </row>
    <row r="1105" spans="1:14">
      <c r="A1105" s="187">
        <v>6198</v>
      </c>
      <c r="C1105">
        <v>-9</v>
      </c>
      <c r="H1105" s="200">
        <v>0</v>
      </c>
      <c r="I1105">
        <f t="shared" si="122"/>
        <v>979</v>
      </c>
      <c r="J1105" s="193">
        <v>0</v>
      </c>
      <c r="K1105">
        <f t="shared" si="124"/>
        <v>945</v>
      </c>
      <c r="L1105" s="62">
        <f t="shared" si="123"/>
        <v>983</v>
      </c>
      <c r="M1105" s="304">
        <v>0.79</v>
      </c>
      <c r="N1105" s="301">
        <f>VLOOKUP(6198,季財報!A:N,8,0)</f>
        <v>3</v>
      </c>
    </row>
    <row r="1106" spans="1:14">
      <c r="A1106" s="187">
        <v>6209</v>
      </c>
      <c r="C1106">
        <v>-3</v>
      </c>
      <c r="H1106" s="200">
        <v>0</v>
      </c>
      <c r="I1106">
        <f t="shared" si="122"/>
        <v>979</v>
      </c>
      <c r="J1106" s="193">
        <v>0</v>
      </c>
      <c r="K1106">
        <f t="shared" si="124"/>
        <v>945</v>
      </c>
      <c r="L1106" s="62">
        <f t="shared" si="123"/>
        <v>983</v>
      </c>
      <c r="M1106" s="304">
        <v>0.79</v>
      </c>
      <c r="N1106" s="301">
        <f>VLOOKUP(6209,季財報!A:N,8,0)</f>
        <v>0</v>
      </c>
    </row>
    <row r="1107" spans="1:14">
      <c r="A1107" s="187">
        <v>6211</v>
      </c>
      <c r="C1107">
        <v>-8</v>
      </c>
      <c r="H1107" s="200">
        <v>0</v>
      </c>
      <c r="I1107">
        <f t="shared" si="122"/>
        <v>979</v>
      </c>
      <c r="J1107" s="193">
        <v>0</v>
      </c>
      <c r="K1107">
        <f t="shared" si="124"/>
        <v>945</v>
      </c>
      <c r="L1107" s="62">
        <f t="shared" si="123"/>
        <v>983</v>
      </c>
      <c r="M1107" s="304">
        <v>1.01</v>
      </c>
      <c r="N1107" s="301">
        <f>VLOOKUP(6211,季財報!A:N,8,0)</f>
        <v>4</v>
      </c>
    </row>
    <row r="1108" spans="1:14">
      <c r="A1108" s="187">
        <v>6225</v>
      </c>
      <c r="C1108">
        <v>-15</v>
      </c>
      <c r="H1108" s="200">
        <v>0</v>
      </c>
      <c r="I1108">
        <f t="shared" si="122"/>
        <v>979</v>
      </c>
      <c r="J1108" s="193">
        <v>0</v>
      </c>
      <c r="K1108">
        <f t="shared" si="124"/>
        <v>945</v>
      </c>
      <c r="L1108" s="62">
        <f t="shared" si="123"/>
        <v>983</v>
      </c>
      <c r="M1108" s="304">
        <v>1.46</v>
      </c>
      <c r="N1108" s="301">
        <f>VLOOKUP(6225,季財報!A:N,8,0)</f>
        <v>3</v>
      </c>
    </row>
    <row r="1109" spans="1:14">
      <c r="A1109" s="187">
        <v>6228</v>
      </c>
      <c r="C1109">
        <v>-4</v>
      </c>
      <c r="H1109" s="200">
        <v>0</v>
      </c>
      <c r="I1109">
        <f t="shared" si="122"/>
        <v>979</v>
      </c>
      <c r="J1109" s="193">
        <v>0</v>
      </c>
      <c r="K1109">
        <f t="shared" si="124"/>
        <v>945</v>
      </c>
      <c r="L1109" s="62">
        <f t="shared" si="123"/>
        <v>983</v>
      </c>
      <c r="M1109" s="304">
        <v>0.79</v>
      </c>
      <c r="N1109" s="301">
        <f>VLOOKUP(6228,季財報!A:N,8,0)</f>
        <v>4</v>
      </c>
    </row>
    <row r="1110" spans="1:14">
      <c r="A1110" s="187">
        <v>6231</v>
      </c>
      <c r="C1110">
        <v>-2</v>
      </c>
      <c r="H1110" s="200">
        <v>0</v>
      </c>
      <c r="I1110">
        <f t="shared" si="122"/>
        <v>979</v>
      </c>
      <c r="J1110" s="193">
        <v>0</v>
      </c>
      <c r="K1110">
        <f t="shared" si="124"/>
        <v>945</v>
      </c>
      <c r="L1110" s="62">
        <f t="shared" si="123"/>
        <v>983</v>
      </c>
      <c r="M1110" s="304">
        <v>1.58</v>
      </c>
      <c r="N1110" s="301">
        <f>VLOOKUP(6231,季財報!A:N,8,0)</f>
        <v>2</v>
      </c>
    </row>
    <row r="1111" spans="1:14">
      <c r="A1111" s="187">
        <v>6233</v>
      </c>
      <c r="C1111">
        <v>-9</v>
      </c>
      <c r="H1111" s="200">
        <v>0</v>
      </c>
      <c r="I1111">
        <f t="shared" si="122"/>
        <v>979</v>
      </c>
      <c r="J1111" s="193">
        <v>0</v>
      </c>
      <c r="K1111">
        <f t="shared" si="124"/>
        <v>945</v>
      </c>
      <c r="L1111" s="62">
        <f t="shared" si="123"/>
        <v>983</v>
      </c>
      <c r="M1111" s="304">
        <v>1.29</v>
      </c>
      <c r="N1111" s="301">
        <f>VLOOKUP(6233,季財報!A:N,8,0)</f>
        <v>2</v>
      </c>
    </row>
    <row r="1112" spans="1:14">
      <c r="A1112" s="187">
        <v>6234</v>
      </c>
      <c r="C1112">
        <v>-8</v>
      </c>
      <c r="H1112" s="200">
        <v>0</v>
      </c>
      <c r="I1112">
        <f t="shared" ref="I1112:I1175" si="125">RANK(0,H:H,0)</f>
        <v>979</v>
      </c>
      <c r="J1112" s="193">
        <v>0</v>
      </c>
      <c r="K1112">
        <f t="shared" si="124"/>
        <v>945</v>
      </c>
      <c r="L1112" s="62">
        <f t="shared" ref="L1112:L1175" si="126">RANK(0.79,M:M,0)</f>
        <v>983</v>
      </c>
      <c r="M1112" s="304">
        <v>0.79</v>
      </c>
      <c r="N1112" s="301">
        <f>VLOOKUP(6234,季財報!A:N,8,0)</f>
        <v>1</v>
      </c>
    </row>
    <row r="1113" spans="1:14">
      <c r="A1113" s="187">
        <v>6235</v>
      </c>
      <c r="C1113">
        <v>-19</v>
      </c>
      <c r="H1113" s="200">
        <v>0</v>
      </c>
      <c r="I1113">
        <f t="shared" si="125"/>
        <v>979</v>
      </c>
      <c r="J1113" s="193">
        <v>0</v>
      </c>
      <c r="K1113">
        <f t="shared" si="124"/>
        <v>945</v>
      </c>
      <c r="L1113" s="62">
        <f t="shared" si="126"/>
        <v>983</v>
      </c>
      <c r="M1113" s="304">
        <v>0.79</v>
      </c>
      <c r="N1113" s="301">
        <f>VLOOKUP(6235,季財報!A:N,8,0)</f>
        <v>2</v>
      </c>
    </row>
    <row r="1114" spans="1:14">
      <c r="A1114" s="187">
        <v>6236</v>
      </c>
      <c r="C1114">
        <v>-13</v>
      </c>
      <c r="H1114" s="200">
        <v>0</v>
      </c>
      <c r="I1114">
        <f t="shared" si="125"/>
        <v>979</v>
      </c>
      <c r="J1114" s="193">
        <v>0</v>
      </c>
      <c r="K1114">
        <f t="shared" si="124"/>
        <v>945</v>
      </c>
      <c r="L1114" s="62">
        <f t="shared" si="126"/>
        <v>983</v>
      </c>
      <c r="M1114" s="304">
        <v>0.79</v>
      </c>
      <c r="N1114" s="301">
        <f>VLOOKUP(6236,季財報!A:N,8,0)</f>
        <v>1</v>
      </c>
    </row>
    <row r="1115" spans="1:14">
      <c r="A1115" s="187">
        <v>6237</v>
      </c>
      <c r="C1115">
        <v>-2</v>
      </c>
      <c r="H1115" s="200">
        <v>0</v>
      </c>
      <c r="I1115">
        <f t="shared" si="125"/>
        <v>979</v>
      </c>
      <c r="J1115" s="193">
        <v>0</v>
      </c>
      <c r="K1115">
        <f t="shared" si="124"/>
        <v>945</v>
      </c>
      <c r="L1115" s="62">
        <f t="shared" si="126"/>
        <v>983</v>
      </c>
      <c r="M1115" s="304">
        <v>0.79</v>
      </c>
      <c r="N1115" s="301">
        <f>VLOOKUP(6237,季財報!A:N,8,0)</f>
        <v>2</v>
      </c>
    </row>
    <row r="1116" spans="1:14">
      <c r="A1116" s="187">
        <v>6241</v>
      </c>
      <c r="C1116">
        <v>-4</v>
      </c>
      <c r="H1116" s="200">
        <v>0</v>
      </c>
      <c r="I1116">
        <f t="shared" si="125"/>
        <v>979</v>
      </c>
      <c r="J1116" s="193">
        <v>0</v>
      </c>
      <c r="K1116">
        <f t="shared" si="124"/>
        <v>945</v>
      </c>
      <c r="L1116" s="62">
        <f t="shared" si="126"/>
        <v>983</v>
      </c>
      <c r="M1116" s="304">
        <v>0.79</v>
      </c>
      <c r="N1116" s="301">
        <f>VLOOKUP(6241,季財報!A:N,8,0)</f>
        <v>1</v>
      </c>
    </row>
    <row r="1117" spans="1:14">
      <c r="A1117" s="187">
        <v>8027</v>
      </c>
      <c r="C1117">
        <v>4</v>
      </c>
      <c r="D1117">
        <v>500</v>
      </c>
      <c r="E1117">
        <v>383</v>
      </c>
      <c r="F1117">
        <v>904</v>
      </c>
      <c r="G1117">
        <v>210</v>
      </c>
      <c r="H1117" s="200">
        <v>0</v>
      </c>
      <c r="I1117">
        <f t="shared" si="125"/>
        <v>979</v>
      </c>
      <c r="J1117" s="193">
        <v>0</v>
      </c>
      <c r="K1117">
        <f t="shared" si="124"/>
        <v>945</v>
      </c>
      <c r="L1117" s="62">
        <f t="shared" si="126"/>
        <v>983</v>
      </c>
      <c r="M1117" s="304">
        <v>0.79</v>
      </c>
      <c r="N1117" s="301">
        <f>VLOOKUP(8027,季財報!A:N,8,0)</f>
        <v>2</v>
      </c>
    </row>
    <row r="1118" spans="1:14">
      <c r="A1118" s="187">
        <v>5014</v>
      </c>
      <c r="C1118">
        <v>-64</v>
      </c>
      <c r="H1118" s="200">
        <v>0</v>
      </c>
      <c r="I1118">
        <f t="shared" si="125"/>
        <v>979</v>
      </c>
      <c r="J1118" s="193">
        <v>0</v>
      </c>
      <c r="K1118">
        <f t="shared" si="124"/>
        <v>945</v>
      </c>
      <c r="L1118" s="62">
        <f t="shared" si="126"/>
        <v>983</v>
      </c>
      <c r="M1118" s="304">
        <v>0.79</v>
      </c>
      <c r="N1118" s="301">
        <f>VLOOKUP(5014,季財報!A:N,8,0)</f>
        <v>3</v>
      </c>
    </row>
    <row r="1119" spans="1:14">
      <c r="A1119" s="187">
        <v>5201</v>
      </c>
      <c r="C1119">
        <v>1</v>
      </c>
      <c r="D1119">
        <v>229</v>
      </c>
      <c r="E1119">
        <v>20</v>
      </c>
      <c r="F1119">
        <v>341</v>
      </c>
      <c r="G1119">
        <v>0</v>
      </c>
      <c r="H1119" s="200">
        <v>0</v>
      </c>
      <c r="I1119">
        <f t="shared" si="125"/>
        <v>979</v>
      </c>
      <c r="J1119" s="193">
        <v>0</v>
      </c>
      <c r="K1119">
        <f t="shared" si="124"/>
        <v>945</v>
      </c>
      <c r="L1119" s="62">
        <f t="shared" si="126"/>
        <v>983</v>
      </c>
      <c r="M1119" s="304">
        <v>0.79</v>
      </c>
      <c r="N1119" s="301">
        <f>VLOOKUP(5201,季財報!A:N,8,0)</f>
        <v>4</v>
      </c>
    </row>
    <row r="1120" spans="1:14">
      <c r="A1120" s="187">
        <v>5202</v>
      </c>
      <c r="C1120">
        <v>0</v>
      </c>
      <c r="H1120" s="200">
        <v>0</v>
      </c>
      <c r="I1120">
        <f t="shared" si="125"/>
        <v>979</v>
      </c>
      <c r="J1120" s="193">
        <v>0</v>
      </c>
      <c r="K1120">
        <f t="shared" si="124"/>
        <v>945</v>
      </c>
      <c r="L1120" s="62">
        <f t="shared" si="126"/>
        <v>983</v>
      </c>
      <c r="M1120" s="304">
        <v>0.79</v>
      </c>
      <c r="N1120" s="301">
        <f>VLOOKUP(5202,季財報!A:N,8,0)</f>
        <v>2</v>
      </c>
    </row>
    <row r="1121" spans="1:14">
      <c r="A1121" s="187">
        <v>5205</v>
      </c>
      <c r="C1121">
        <v>-4</v>
      </c>
      <c r="H1121" s="200">
        <v>0</v>
      </c>
      <c r="I1121">
        <f t="shared" si="125"/>
        <v>979</v>
      </c>
      <c r="J1121" s="193">
        <v>0</v>
      </c>
      <c r="K1121">
        <f t="shared" si="124"/>
        <v>945</v>
      </c>
      <c r="L1121" s="62">
        <f t="shared" si="126"/>
        <v>983</v>
      </c>
      <c r="M1121" s="304">
        <v>0.79</v>
      </c>
      <c r="N1121" s="301">
        <f>VLOOKUP(5205,季財報!A:N,8,0)</f>
        <v>0</v>
      </c>
    </row>
    <row r="1122" spans="1:14">
      <c r="A1122" s="187">
        <v>5210</v>
      </c>
      <c r="C1122">
        <v>-19</v>
      </c>
      <c r="H1122" s="200">
        <v>0</v>
      </c>
      <c r="I1122">
        <f t="shared" si="125"/>
        <v>979</v>
      </c>
      <c r="J1122" s="193">
        <v>0</v>
      </c>
      <c r="K1122">
        <f t="shared" si="124"/>
        <v>945</v>
      </c>
      <c r="L1122" s="62">
        <f t="shared" si="126"/>
        <v>983</v>
      </c>
      <c r="M1122" s="304">
        <v>1.62</v>
      </c>
      <c r="N1122" s="301">
        <f>VLOOKUP(5210,季財報!A:N,8,0)</f>
        <v>2</v>
      </c>
    </row>
    <row r="1123" spans="1:14">
      <c r="A1123" s="187">
        <v>5213</v>
      </c>
      <c r="C1123">
        <v>24</v>
      </c>
      <c r="D1123">
        <v>7830</v>
      </c>
      <c r="E1123">
        <v>1228</v>
      </c>
      <c r="F1123">
        <v>7241</v>
      </c>
      <c r="G1123">
        <v>11622</v>
      </c>
      <c r="H1123" s="200">
        <v>0</v>
      </c>
      <c r="I1123">
        <f t="shared" si="125"/>
        <v>979</v>
      </c>
      <c r="J1123" s="193">
        <v>0</v>
      </c>
      <c r="K1123">
        <f t="shared" si="124"/>
        <v>945</v>
      </c>
      <c r="L1123" s="62">
        <f t="shared" si="126"/>
        <v>983</v>
      </c>
      <c r="M1123" s="304">
        <v>0.79</v>
      </c>
      <c r="N1123" s="301">
        <f>VLOOKUP(5213,季財報!A:N,8,0)</f>
        <v>1</v>
      </c>
    </row>
    <row r="1124" spans="1:14">
      <c r="A1124" s="187">
        <v>5227</v>
      </c>
      <c r="C1124">
        <v>-97</v>
      </c>
      <c r="H1124" s="200">
        <v>0</v>
      </c>
      <c r="I1124">
        <f t="shared" si="125"/>
        <v>979</v>
      </c>
      <c r="J1124" s="193">
        <v>0</v>
      </c>
      <c r="K1124">
        <f t="shared" si="124"/>
        <v>945</v>
      </c>
      <c r="L1124" s="62">
        <f t="shared" si="126"/>
        <v>983</v>
      </c>
      <c r="M1124" s="304">
        <v>0.79</v>
      </c>
      <c r="N1124" s="301">
        <f>VLOOKUP(5227,季財報!A:N,8,0)</f>
        <v>4</v>
      </c>
    </row>
    <row r="1125" spans="1:14">
      <c r="A1125" s="187">
        <v>5243</v>
      </c>
      <c r="C1125">
        <v>30</v>
      </c>
      <c r="D1125">
        <v>2659</v>
      </c>
      <c r="E1125">
        <v>3530</v>
      </c>
      <c r="F1125">
        <v>6346</v>
      </c>
      <c r="G1125">
        <v>728</v>
      </c>
      <c r="H1125" s="200">
        <v>0</v>
      </c>
      <c r="I1125">
        <f t="shared" si="125"/>
        <v>979</v>
      </c>
      <c r="J1125" s="193">
        <v>0</v>
      </c>
      <c r="K1125">
        <f t="shared" si="124"/>
        <v>945</v>
      </c>
      <c r="L1125" s="62">
        <f t="shared" si="126"/>
        <v>983</v>
      </c>
      <c r="M1125" s="304">
        <v>0.79</v>
      </c>
      <c r="N1125" s="301">
        <f>VLOOKUP(5243,季財報!A:N,8,0)</f>
        <v>1</v>
      </c>
    </row>
    <row r="1126" spans="1:14">
      <c r="A1126" s="187">
        <v>5251</v>
      </c>
      <c r="C1126">
        <v>-1</v>
      </c>
      <c r="H1126" s="200">
        <v>0</v>
      </c>
      <c r="I1126">
        <f t="shared" si="125"/>
        <v>979</v>
      </c>
      <c r="J1126" s="193">
        <v>0</v>
      </c>
      <c r="K1126">
        <f t="shared" si="124"/>
        <v>945</v>
      </c>
      <c r="L1126" s="62">
        <f t="shared" si="126"/>
        <v>983</v>
      </c>
      <c r="M1126" s="304">
        <v>0.79</v>
      </c>
      <c r="N1126" s="301">
        <f>VLOOKUP(5251,季財報!A:N,8,0)</f>
        <v>2</v>
      </c>
    </row>
    <row r="1127" spans="1:14">
      <c r="A1127" s="187">
        <v>5259</v>
      </c>
      <c r="C1127">
        <v>-142</v>
      </c>
      <c r="H1127" s="200">
        <v>0</v>
      </c>
      <c r="I1127">
        <f t="shared" si="125"/>
        <v>979</v>
      </c>
      <c r="J1127" s="193">
        <v>0</v>
      </c>
      <c r="K1127">
        <f t="shared" si="124"/>
        <v>945</v>
      </c>
      <c r="L1127" s="62">
        <f t="shared" si="126"/>
        <v>983</v>
      </c>
      <c r="M1127" s="304">
        <v>0.79</v>
      </c>
      <c r="N1127" s="301">
        <f>VLOOKUP(5259,季財報!A:N,8,0)</f>
        <v>0</v>
      </c>
    </row>
    <row r="1128" spans="1:14">
      <c r="A1128" s="187">
        <v>5272</v>
      </c>
      <c r="C1128">
        <v>3</v>
      </c>
      <c r="D1128">
        <v>502</v>
      </c>
      <c r="E1128">
        <v>150</v>
      </c>
      <c r="F1128">
        <v>814</v>
      </c>
      <c r="G1128">
        <v>0</v>
      </c>
      <c r="H1128" s="200">
        <v>0</v>
      </c>
      <c r="I1128">
        <f t="shared" si="125"/>
        <v>979</v>
      </c>
      <c r="J1128" s="193">
        <v>0</v>
      </c>
      <c r="K1128">
        <f t="shared" si="124"/>
        <v>945</v>
      </c>
      <c r="L1128" s="62">
        <f t="shared" si="126"/>
        <v>983</v>
      </c>
      <c r="M1128" s="304">
        <v>1.01</v>
      </c>
      <c r="N1128" s="301">
        <f>VLOOKUP(5272,季財報!A:N,8,0)</f>
        <v>1</v>
      </c>
    </row>
    <row r="1129" spans="1:14">
      <c r="A1129" s="187">
        <v>5278</v>
      </c>
      <c r="C1129">
        <v>-21</v>
      </c>
      <c r="H1129" s="200">
        <v>0</v>
      </c>
      <c r="I1129">
        <f t="shared" si="125"/>
        <v>979</v>
      </c>
      <c r="J1129" s="193">
        <v>0</v>
      </c>
      <c r="K1129">
        <f t="shared" si="124"/>
        <v>945</v>
      </c>
      <c r="L1129" s="62">
        <f t="shared" si="126"/>
        <v>983</v>
      </c>
      <c r="M1129" s="304">
        <v>0.79</v>
      </c>
      <c r="N1129" s="301">
        <f>VLOOKUP(5278,季財報!A:N,8,0)</f>
        <v>2</v>
      </c>
    </row>
    <row r="1130" spans="1:14">
      <c r="A1130" s="187">
        <v>5291</v>
      </c>
      <c r="C1130">
        <v>-12</v>
      </c>
      <c r="H1130" s="200">
        <v>0</v>
      </c>
      <c r="I1130">
        <f t="shared" si="125"/>
        <v>979</v>
      </c>
      <c r="J1130" s="193">
        <v>0</v>
      </c>
      <c r="K1130">
        <f t="shared" si="124"/>
        <v>945</v>
      </c>
      <c r="L1130" s="62">
        <f t="shared" si="126"/>
        <v>983</v>
      </c>
      <c r="M1130" s="304">
        <v>0.79</v>
      </c>
      <c r="N1130" s="301">
        <f>VLOOKUP(5291,季財報!A:N,8,0)</f>
        <v>1</v>
      </c>
    </row>
    <row r="1131" spans="1:14">
      <c r="A1131" s="187">
        <v>5301</v>
      </c>
      <c r="C1131">
        <v>-26</v>
      </c>
      <c r="H1131" s="200">
        <v>0</v>
      </c>
      <c r="I1131">
        <f t="shared" si="125"/>
        <v>979</v>
      </c>
      <c r="J1131" s="193">
        <v>0</v>
      </c>
      <c r="K1131">
        <f t="shared" si="124"/>
        <v>945</v>
      </c>
      <c r="L1131" s="62">
        <f t="shared" si="126"/>
        <v>983</v>
      </c>
      <c r="M1131" s="304">
        <v>0.79</v>
      </c>
      <c r="N1131" s="301">
        <f>VLOOKUP(5301,季財報!A:N,8,0)</f>
        <v>0</v>
      </c>
    </row>
    <row r="1132" spans="1:14">
      <c r="A1132" s="187">
        <v>5302</v>
      </c>
      <c r="C1132">
        <v>-10</v>
      </c>
      <c r="H1132" s="200">
        <v>0</v>
      </c>
      <c r="I1132">
        <f t="shared" si="125"/>
        <v>979</v>
      </c>
      <c r="J1132" s="193">
        <v>0</v>
      </c>
      <c r="K1132">
        <f t="shared" si="124"/>
        <v>945</v>
      </c>
      <c r="L1132" s="62">
        <f t="shared" si="126"/>
        <v>983</v>
      </c>
      <c r="M1132" s="304">
        <v>0.79</v>
      </c>
      <c r="N1132" s="301">
        <f>VLOOKUP(5302,季財報!A:N,8,0)</f>
        <v>2</v>
      </c>
    </row>
    <row r="1133" spans="1:14">
      <c r="A1133" s="187">
        <v>5304</v>
      </c>
      <c r="C1133">
        <v>-20</v>
      </c>
      <c r="H1133" s="200">
        <v>0</v>
      </c>
      <c r="I1133">
        <f t="shared" si="125"/>
        <v>979</v>
      </c>
      <c r="J1133" s="193">
        <v>0</v>
      </c>
      <c r="K1133">
        <f t="shared" si="124"/>
        <v>945</v>
      </c>
      <c r="L1133" s="62">
        <f t="shared" si="126"/>
        <v>983</v>
      </c>
      <c r="M1133" s="304">
        <v>0.79</v>
      </c>
      <c r="N1133" s="301">
        <f>VLOOKUP(5304,季財報!A:N,8,0)</f>
        <v>4</v>
      </c>
    </row>
    <row r="1134" spans="1:14">
      <c r="A1134" s="187">
        <v>5309</v>
      </c>
      <c r="C1134">
        <v>-71</v>
      </c>
      <c r="H1134" s="200">
        <v>0</v>
      </c>
      <c r="I1134">
        <f t="shared" si="125"/>
        <v>979</v>
      </c>
      <c r="J1134" s="193">
        <v>0</v>
      </c>
      <c r="K1134">
        <f t="shared" si="124"/>
        <v>945</v>
      </c>
      <c r="L1134" s="62">
        <f t="shared" si="126"/>
        <v>983</v>
      </c>
      <c r="M1134" s="304">
        <v>0.79</v>
      </c>
      <c r="N1134" s="301">
        <f>VLOOKUP(5309,季財報!A:N,8,0)</f>
        <v>2</v>
      </c>
    </row>
    <row r="1135" spans="1:14">
      <c r="A1135" s="187">
        <v>5310</v>
      </c>
      <c r="C1135">
        <v>0</v>
      </c>
      <c r="H1135" s="200">
        <v>0</v>
      </c>
      <c r="I1135">
        <f t="shared" si="125"/>
        <v>979</v>
      </c>
      <c r="J1135" s="193">
        <v>0</v>
      </c>
      <c r="K1135">
        <f t="shared" si="124"/>
        <v>945</v>
      </c>
      <c r="L1135" s="62">
        <f t="shared" si="126"/>
        <v>983</v>
      </c>
      <c r="M1135" s="304">
        <v>0.79</v>
      </c>
      <c r="N1135" s="301">
        <f>VLOOKUP(5310,季財報!A:N,8,0)</f>
        <v>2</v>
      </c>
    </row>
    <row r="1136" spans="1:14">
      <c r="A1136" s="187">
        <v>5314</v>
      </c>
      <c r="C1136">
        <v>-16</v>
      </c>
      <c r="H1136" s="200">
        <v>0</v>
      </c>
      <c r="I1136">
        <f t="shared" si="125"/>
        <v>979</v>
      </c>
      <c r="J1136" s="193">
        <v>0</v>
      </c>
      <c r="K1136">
        <f t="shared" si="124"/>
        <v>945</v>
      </c>
      <c r="L1136" s="62">
        <f t="shared" si="126"/>
        <v>983</v>
      </c>
      <c r="M1136" s="304">
        <v>0.79</v>
      </c>
      <c r="N1136" s="301">
        <f>VLOOKUP(5314,季財報!A:N,8,0)</f>
        <v>1</v>
      </c>
    </row>
    <row r="1137" spans="1:14">
      <c r="A1137" s="187">
        <v>5324</v>
      </c>
      <c r="C1137">
        <v>-30</v>
      </c>
      <c r="H1137" s="200">
        <v>0</v>
      </c>
      <c r="I1137">
        <f t="shared" si="125"/>
        <v>979</v>
      </c>
      <c r="J1137" s="193">
        <v>0</v>
      </c>
      <c r="K1137">
        <f t="shared" si="124"/>
        <v>945</v>
      </c>
      <c r="L1137" s="62">
        <f t="shared" si="126"/>
        <v>983</v>
      </c>
      <c r="M1137" s="304">
        <v>1.1399999999999999</v>
      </c>
      <c r="N1137" s="301">
        <f>VLOOKUP(5324,季財報!A:N,8,0)</f>
        <v>1</v>
      </c>
    </row>
    <row r="1138" spans="1:14">
      <c r="A1138" s="187">
        <v>5328</v>
      </c>
      <c r="C1138">
        <v>-3</v>
      </c>
      <c r="H1138" s="200">
        <v>0</v>
      </c>
      <c r="I1138">
        <f t="shared" si="125"/>
        <v>979</v>
      </c>
      <c r="J1138" s="193">
        <v>0</v>
      </c>
      <c r="K1138">
        <f t="shared" si="124"/>
        <v>945</v>
      </c>
      <c r="L1138" s="62">
        <f t="shared" si="126"/>
        <v>983</v>
      </c>
      <c r="M1138" s="304">
        <v>0.79</v>
      </c>
      <c r="N1138" s="301">
        <f>VLOOKUP(5328,季財報!A:N,8,0)</f>
        <v>3</v>
      </c>
    </row>
    <row r="1139" spans="1:14">
      <c r="A1139" s="187">
        <v>5340</v>
      </c>
      <c r="C1139">
        <v>-22</v>
      </c>
      <c r="H1139" s="200">
        <v>0</v>
      </c>
      <c r="I1139">
        <f t="shared" si="125"/>
        <v>979</v>
      </c>
      <c r="J1139" s="193">
        <v>0</v>
      </c>
      <c r="K1139">
        <f t="shared" si="124"/>
        <v>945</v>
      </c>
      <c r="L1139" s="62">
        <f t="shared" si="126"/>
        <v>983</v>
      </c>
      <c r="M1139" s="304">
        <v>0.79</v>
      </c>
      <c r="N1139" s="301">
        <f>VLOOKUP(5340,季財報!A:N,8,0)</f>
        <v>1</v>
      </c>
    </row>
    <row r="1140" spans="1:14">
      <c r="A1140" s="187">
        <v>5344</v>
      </c>
      <c r="C1140">
        <v>-22</v>
      </c>
      <c r="H1140" s="200">
        <v>0</v>
      </c>
      <c r="I1140">
        <f t="shared" si="125"/>
        <v>979</v>
      </c>
      <c r="J1140" s="193">
        <v>0</v>
      </c>
      <c r="K1140">
        <f t="shared" si="124"/>
        <v>945</v>
      </c>
      <c r="L1140" s="62">
        <f t="shared" si="126"/>
        <v>983</v>
      </c>
      <c r="M1140" s="304">
        <v>0.79</v>
      </c>
      <c r="N1140" s="301">
        <f>VLOOKUP(5344,季財報!A:N,8,0)</f>
        <v>4</v>
      </c>
    </row>
    <row r="1141" spans="1:14">
      <c r="A1141" s="187">
        <v>5345</v>
      </c>
      <c r="C1141">
        <v>-4</v>
      </c>
      <c r="H1141" s="200">
        <v>0</v>
      </c>
      <c r="I1141">
        <f t="shared" si="125"/>
        <v>979</v>
      </c>
      <c r="J1141" s="193">
        <v>0</v>
      </c>
      <c r="K1141">
        <f t="shared" si="124"/>
        <v>945</v>
      </c>
      <c r="L1141" s="62">
        <f t="shared" si="126"/>
        <v>983</v>
      </c>
      <c r="M1141" s="304">
        <v>0.79</v>
      </c>
      <c r="N1141" s="301">
        <f>VLOOKUP(5345,季財報!A:N,8,0)</f>
        <v>3</v>
      </c>
    </row>
    <row r="1142" spans="1:14">
      <c r="A1142" s="187">
        <v>5348</v>
      </c>
      <c r="C1142">
        <v>-10</v>
      </c>
      <c r="H1142" s="200">
        <v>0</v>
      </c>
      <c r="I1142">
        <f t="shared" si="125"/>
        <v>979</v>
      </c>
      <c r="J1142" s="193">
        <v>0</v>
      </c>
      <c r="K1142">
        <f t="shared" si="124"/>
        <v>945</v>
      </c>
      <c r="L1142" s="62">
        <f t="shared" si="126"/>
        <v>983</v>
      </c>
      <c r="M1142" s="304">
        <v>0.79</v>
      </c>
      <c r="N1142" s="301">
        <f>VLOOKUP(5348,季財報!A:N,8,0)</f>
        <v>5</v>
      </c>
    </row>
    <row r="1143" spans="1:14">
      <c r="A1143" s="187">
        <v>5351</v>
      </c>
      <c r="C1143">
        <v>-84</v>
      </c>
      <c r="H1143" s="200">
        <v>0</v>
      </c>
      <c r="I1143">
        <f t="shared" si="125"/>
        <v>979</v>
      </c>
      <c r="J1143" s="193">
        <v>0</v>
      </c>
      <c r="K1143">
        <f t="shared" si="124"/>
        <v>945</v>
      </c>
      <c r="L1143" s="62">
        <f t="shared" si="126"/>
        <v>983</v>
      </c>
      <c r="M1143" s="304">
        <v>1.1399999999999999</v>
      </c>
      <c r="N1143" s="301">
        <f>VLOOKUP(5351,季財報!A:N,8,0)</f>
        <v>0</v>
      </c>
    </row>
    <row r="1144" spans="1:14">
      <c r="A1144" s="187">
        <v>5355</v>
      </c>
      <c r="C1144">
        <v>-3</v>
      </c>
      <c r="H1144" s="200">
        <v>0</v>
      </c>
      <c r="I1144">
        <f t="shared" si="125"/>
        <v>979</v>
      </c>
      <c r="J1144" s="193">
        <v>0</v>
      </c>
      <c r="K1144">
        <f t="shared" ref="K1144:K1207" si="127">RANK(0,J:J,0)</f>
        <v>945</v>
      </c>
      <c r="L1144" s="62">
        <f t="shared" si="126"/>
        <v>983</v>
      </c>
      <c r="M1144" s="304">
        <v>0.79</v>
      </c>
      <c r="N1144" s="301">
        <f>VLOOKUP(5355,季財報!A:N,8,0)</f>
        <v>2</v>
      </c>
    </row>
    <row r="1145" spans="1:14">
      <c r="A1145" s="187">
        <v>5383</v>
      </c>
      <c r="C1145">
        <v>-31</v>
      </c>
      <c r="H1145" s="200">
        <v>0</v>
      </c>
      <c r="I1145">
        <f t="shared" si="125"/>
        <v>979</v>
      </c>
      <c r="J1145" s="193">
        <v>0</v>
      </c>
      <c r="K1145">
        <f t="shared" si="127"/>
        <v>945</v>
      </c>
      <c r="L1145" s="62">
        <f t="shared" si="126"/>
        <v>983</v>
      </c>
      <c r="M1145" s="304">
        <v>1.01</v>
      </c>
      <c r="N1145" s="301">
        <f>VLOOKUP(5383,季財報!A:N,8,0)</f>
        <v>0</v>
      </c>
    </row>
    <row r="1146" spans="1:14">
      <c r="A1146" s="187">
        <v>5450</v>
      </c>
      <c r="C1146">
        <v>-7</v>
      </c>
      <c r="H1146" s="200">
        <v>0</v>
      </c>
      <c r="I1146">
        <f t="shared" si="125"/>
        <v>979</v>
      </c>
      <c r="J1146" s="193">
        <v>0</v>
      </c>
      <c r="K1146">
        <f t="shared" si="127"/>
        <v>945</v>
      </c>
      <c r="L1146" s="62">
        <f t="shared" si="126"/>
        <v>983</v>
      </c>
      <c r="M1146" s="304">
        <v>0.79</v>
      </c>
      <c r="N1146" s="301">
        <f>VLOOKUP(5450,季財報!A:N,8,0)</f>
        <v>3</v>
      </c>
    </row>
    <row r="1147" spans="1:14">
      <c r="A1147" s="187">
        <v>5455</v>
      </c>
      <c r="C1147">
        <v>-11</v>
      </c>
      <c r="H1147" s="200">
        <v>0</v>
      </c>
      <c r="I1147">
        <f t="shared" si="125"/>
        <v>979</v>
      </c>
      <c r="J1147" s="193">
        <v>0</v>
      </c>
      <c r="K1147">
        <f t="shared" si="127"/>
        <v>945</v>
      </c>
      <c r="L1147" s="62">
        <f t="shared" si="126"/>
        <v>983</v>
      </c>
      <c r="M1147" s="304">
        <v>1.01</v>
      </c>
      <c r="N1147" s="301">
        <f>VLOOKUP(5455,季財報!A:N,8,0)</f>
        <v>0</v>
      </c>
    </row>
    <row r="1148" spans="1:14">
      <c r="A1148" s="187">
        <v>5464</v>
      </c>
      <c r="C1148">
        <v>2</v>
      </c>
      <c r="D1148">
        <v>1003</v>
      </c>
      <c r="E1148">
        <v>396</v>
      </c>
      <c r="F1148">
        <v>1276</v>
      </c>
      <c r="G1148">
        <v>877</v>
      </c>
      <c r="H1148" s="200">
        <v>0</v>
      </c>
      <c r="I1148">
        <f t="shared" si="125"/>
        <v>979</v>
      </c>
      <c r="J1148" s="193">
        <v>0</v>
      </c>
      <c r="K1148">
        <f t="shared" si="127"/>
        <v>945</v>
      </c>
      <c r="L1148" s="62">
        <f t="shared" si="126"/>
        <v>983</v>
      </c>
      <c r="M1148" s="304">
        <v>0.79</v>
      </c>
      <c r="N1148" s="301">
        <f>VLOOKUP(5464,季財報!A:N,8,0)</f>
        <v>2</v>
      </c>
    </row>
    <row r="1149" spans="1:14">
      <c r="A1149" s="187">
        <v>5465</v>
      </c>
      <c r="C1149">
        <v>-11</v>
      </c>
      <c r="H1149" s="200">
        <v>0</v>
      </c>
      <c r="I1149">
        <f t="shared" si="125"/>
        <v>979</v>
      </c>
      <c r="J1149" s="193">
        <v>0</v>
      </c>
      <c r="K1149">
        <f t="shared" si="127"/>
        <v>945</v>
      </c>
      <c r="L1149" s="62">
        <f t="shared" si="126"/>
        <v>983</v>
      </c>
      <c r="M1149" s="304">
        <v>0.79</v>
      </c>
      <c r="N1149" s="301">
        <f>VLOOKUP(5465,季財報!A:N,8,0)</f>
        <v>2</v>
      </c>
    </row>
    <row r="1150" spans="1:14">
      <c r="A1150" s="187">
        <v>5468</v>
      </c>
      <c r="C1150">
        <v>-1</v>
      </c>
      <c r="H1150" s="200">
        <v>0</v>
      </c>
      <c r="I1150">
        <f t="shared" si="125"/>
        <v>979</v>
      </c>
      <c r="J1150" s="193">
        <v>0</v>
      </c>
      <c r="K1150">
        <f t="shared" si="127"/>
        <v>945</v>
      </c>
      <c r="L1150" s="62">
        <f t="shared" si="126"/>
        <v>983</v>
      </c>
      <c r="M1150" s="304">
        <v>5.24</v>
      </c>
      <c r="N1150" s="301">
        <f>VLOOKUP(5468,季財報!A:N,8,0)</f>
        <v>2</v>
      </c>
    </row>
    <row r="1151" spans="1:14">
      <c r="A1151" s="187">
        <v>5475</v>
      </c>
      <c r="C1151">
        <v>-77</v>
      </c>
      <c r="H1151" s="200">
        <v>0</v>
      </c>
      <c r="I1151">
        <f t="shared" si="125"/>
        <v>979</v>
      </c>
      <c r="J1151" s="193">
        <v>0</v>
      </c>
      <c r="K1151">
        <f t="shared" si="127"/>
        <v>945</v>
      </c>
      <c r="L1151" s="62">
        <f t="shared" si="126"/>
        <v>983</v>
      </c>
      <c r="M1151" s="304">
        <v>0.79</v>
      </c>
      <c r="N1151" s="301">
        <f>VLOOKUP(5475,季財報!A:N,8,0)</f>
        <v>1</v>
      </c>
    </row>
    <row r="1152" spans="1:14">
      <c r="A1152" s="187">
        <v>5478</v>
      </c>
      <c r="C1152">
        <v>12</v>
      </c>
      <c r="D1152">
        <v>4903</v>
      </c>
      <c r="E1152">
        <v>266</v>
      </c>
      <c r="F1152">
        <v>6158</v>
      </c>
      <c r="G1152">
        <v>0</v>
      </c>
      <c r="H1152" s="200">
        <v>0</v>
      </c>
      <c r="I1152">
        <f t="shared" si="125"/>
        <v>979</v>
      </c>
      <c r="J1152" s="193">
        <v>0</v>
      </c>
      <c r="K1152">
        <f t="shared" si="127"/>
        <v>945</v>
      </c>
      <c r="L1152" s="62">
        <f t="shared" si="126"/>
        <v>983</v>
      </c>
      <c r="M1152" s="304">
        <v>0.79</v>
      </c>
      <c r="N1152" s="301">
        <f>VLOOKUP(5478,季財報!A:N,8,0)</f>
        <v>3</v>
      </c>
    </row>
    <row r="1153" spans="1:14">
      <c r="A1153" s="187">
        <v>5481</v>
      </c>
      <c r="C1153">
        <v>-30</v>
      </c>
      <c r="H1153" s="200">
        <v>0</v>
      </c>
      <c r="I1153">
        <f t="shared" si="125"/>
        <v>979</v>
      </c>
      <c r="J1153" s="193">
        <v>0</v>
      </c>
      <c r="K1153">
        <f t="shared" si="127"/>
        <v>945</v>
      </c>
      <c r="L1153" s="62">
        <f t="shared" si="126"/>
        <v>983</v>
      </c>
      <c r="M1153" s="304">
        <v>0.79</v>
      </c>
      <c r="N1153" s="301">
        <f>VLOOKUP(5481,季財報!A:N,8,0)</f>
        <v>1</v>
      </c>
    </row>
    <row r="1154" spans="1:14">
      <c r="A1154" s="187">
        <v>5484</v>
      </c>
      <c r="C1154">
        <v>-44</v>
      </c>
      <c r="H1154" s="200">
        <v>0</v>
      </c>
      <c r="I1154">
        <f t="shared" si="125"/>
        <v>979</v>
      </c>
      <c r="J1154" s="193">
        <v>0</v>
      </c>
      <c r="K1154">
        <f t="shared" si="127"/>
        <v>945</v>
      </c>
      <c r="L1154" s="62">
        <f t="shared" si="126"/>
        <v>983</v>
      </c>
      <c r="M1154" s="304">
        <v>2.29</v>
      </c>
      <c r="N1154" s="301">
        <f>VLOOKUP(5484,季財報!A:N,8,0)</f>
        <v>4</v>
      </c>
    </row>
    <row r="1155" spans="1:14">
      <c r="A1155" s="187">
        <v>5488</v>
      </c>
      <c r="C1155">
        <v>-24</v>
      </c>
      <c r="H1155" s="200">
        <v>0</v>
      </c>
      <c r="I1155">
        <f t="shared" si="125"/>
        <v>979</v>
      </c>
      <c r="J1155" s="193">
        <v>0</v>
      </c>
      <c r="K1155">
        <f t="shared" si="127"/>
        <v>945</v>
      </c>
      <c r="L1155" s="62">
        <f t="shared" si="126"/>
        <v>983</v>
      </c>
      <c r="M1155" s="304">
        <v>1.58</v>
      </c>
      <c r="N1155" s="301">
        <f>VLOOKUP(5488,季財報!A:N,8,0)</f>
        <v>2</v>
      </c>
    </row>
    <row r="1156" spans="1:14">
      <c r="A1156" s="187">
        <v>5491</v>
      </c>
      <c r="C1156">
        <v>0</v>
      </c>
      <c r="H1156" s="200">
        <v>0</v>
      </c>
      <c r="I1156">
        <f t="shared" si="125"/>
        <v>979</v>
      </c>
      <c r="J1156" s="193">
        <v>0</v>
      </c>
      <c r="K1156">
        <f t="shared" si="127"/>
        <v>945</v>
      </c>
      <c r="L1156" s="62">
        <f t="shared" si="126"/>
        <v>983</v>
      </c>
      <c r="M1156" s="304">
        <v>0.79</v>
      </c>
      <c r="N1156" s="301">
        <f>VLOOKUP(5491,季財報!A:N,8,0)</f>
        <v>2</v>
      </c>
    </row>
    <row r="1157" spans="1:14">
      <c r="A1157" s="187">
        <v>5498</v>
      </c>
      <c r="C1157">
        <v>4</v>
      </c>
      <c r="D1157">
        <v>687</v>
      </c>
      <c r="E1157">
        <v>1092</v>
      </c>
      <c r="F1157">
        <v>1855</v>
      </c>
      <c r="G1157">
        <v>467</v>
      </c>
      <c r="H1157" s="200">
        <v>0</v>
      </c>
      <c r="I1157">
        <f t="shared" si="125"/>
        <v>979</v>
      </c>
      <c r="J1157" s="193">
        <v>0</v>
      </c>
      <c r="K1157">
        <f t="shared" si="127"/>
        <v>945</v>
      </c>
      <c r="L1157" s="62">
        <f t="shared" si="126"/>
        <v>983</v>
      </c>
      <c r="M1157" s="304">
        <v>0.79</v>
      </c>
      <c r="N1157" s="301">
        <f>VLOOKUP(5498,季財報!A:N,8,0)</f>
        <v>1</v>
      </c>
    </row>
    <row r="1158" spans="1:14">
      <c r="A1158" s="187">
        <v>5506</v>
      </c>
      <c r="C1158">
        <v>-30</v>
      </c>
      <c r="H1158" s="200">
        <v>0</v>
      </c>
      <c r="I1158">
        <f t="shared" si="125"/>
        <v>979</v>
      </c>
      <c r="J1158" s="193">
        <v>0</v>
      </c>
      <c r="K1158">
        <f t="shared" si="127"/>
        <v>945</v>
      </c>
      <c r="L1158" s="62">
        <f t="shared" si="126"/>
        <v>983</v>
      </c>
      <c r="M1158" s="304">
        <v>0.79</v>
      </c>
      <c r="N1158" s="301">
        <f>VLOOKUP(5506,季財報!A:N,8,0)</f>
        <v>0</v>
      </c>
    </row>
    <row r="1159" spans="1:14">
      <c r="A1159" s="187">
        <v>5514</v>
      </c>
      <c r="C1159">
        <v>-9</v>
      </c>
      <c r="H1159" s="200">
        <v>0</v>
      </c>
      <c r="I1159">
        <f t="shared" si="125"/>
        <v>979</v>
      </c>
      <c r="J1159" s="193">
        <v>0</v>
      </c>
      <c r="K1159">
        <f t="shared" si="127"/>
        <v>945</v>
      </c>
      <c r="L1159" s="62">
        <f t="shared" si="126"/>
        <v>983</v>
      </c>
      <c r="M1159" s="304">
        <v>0.79</v>
      </c>
      <c r="N1159" s="301">
        <f>VLOOKUP(5514,季財報!A:N,8,0)</f>
        <v>1</v>
      </c>
    </row>
    <row r="1160" spans="1:14">
      <c r="A1160" s="187">
        <v>5515</v>
      </c>
      <c r="C1160">
        <v>3</v>
      </c>
      <c r="D1160">
        <v>6023</v>
      </c>
      <c r="E1160">
        <v>358</v>
      </c>
      <c r="F1160">
        <v>5625</v>
      </c>
      <c r="G1160">
        <v>220</v>
      </c>
      <c r="H1160" s="200">
        <v>0</v>
      </c>
      <c r="I1160">
        <f t="shared" si="125"/>
        <v>979</v>
      </c>
      <c r="J1160" s="193">
        <v>0</v>
      </c>
      <c r="K1160">
        <f t="shared" si="127"/>
        <v>945</v>
      </c>
      <c r="L1160" s="62">
        <f t="shared" si="126"/>
        <v>983</v>
      </c>
      <c r="M1160" s="304">
        <v>0.79</v>
      </c>
      <c r="N1160" s="301">
        <f>VLOOKUP(5515,季財報!A:N,8,0)</f>
        <v>1</v>
      </c>
    </row>
    <row r="1161" spans="1:14">
      <c r="A1161" s="187">
        <v>5516</v>
      </c>
      <c r="C1161">
        <v>-1</v>
      </c>
      <c r="H1161" s="200">
        <v>0</v>
      </c>
      <c r="I1161">
        <f t="shared" si="125"/>
        <v>979</v>
      </c>
      <c r="J1161" s="193">
        <v>0</v>
      </c>
      <c r="K1161">
        <f t="shared" si="127"/>
        <v>945</v>
      </c>
      <c r="L1161" s="62">
        <f t="shared" si="126"/>
        <v>983</v>
      </c>
      <c r="M1161" s="304">
        <v>2.09</v>
      </c>
      <c r="N1161" s="301">
        <f>VLOOKUP(5516,季財報!A:N,8,0)</f>
        <v>1</v>
      </c>
    </row>
    <row r="1162" spans="1:14">
      <c r="A1162" s="187">
        <v>5521</v>
      </c>
      <c r="C1162">
        <v>-15</v>
      </c>
      <c r="H1162" s="200">
        <v>0</v>
      </c>
      <c r="I1162">
        <f t="shared" si="125"/>
        <v>979</v>
      </c>
      <c r="J1162" s="193">
        <v>0</v>
      </c>
      <c r="K1162">
        <f t="shared" si="127"/>
        <v>945</v>
      </c>
      <c r="L1162" s="62">
        <f t="shared" si="126"/>
        <v>983</v>
      </c>
      <c r="M1162" s="304">
        <v>1.9</v>
      </c>
      <c r="N1162" s="301">
        <f>VLOOKUP(5521,季財報!A:N,8,0)</f>
        <v>0</v>
      </c>
    </row>
    <row r="1163" spans="1:14">
      <c r="A1163" s="187">
        <v>5701</v>
      </c>
      <c r="C1163">
        <v>-85</v>
      </c>
      <c r="H1163" s="200">
        <v>0</v>
      </c>
      <c r="I1163">
        <f t="shared" si="125"/>
        <v>979</v>
      </c>
      <c r="J1163" s="193">
        <v>0</v>
      </c>
      <c r="K1163">
        <f t="shared" si="127"/>
        <v>945</v>
      </c>
      <c r="L1163" s="62">
        <f t="shared" si="126"/>
        <v>983</v>
      </c>
      <c r="M1163" s="304">
        <v>1.01</v>
      </c>
      <c r="N1163" s="301">
        <f>VLOOKUP(5701,季財報!A:N,8,0)</f>
        <v>2</v>
      </c>
    </row>
    <row r="1164" spans="1:14">
      <c r="A1164" s="187">
        <v>5703</v>
      </c>
      <c r="C1164">
        <v>-3</v>
      </c>
      <c r="H1164" s="200">
        <v>0</v>
      </c>
      <c r="I1164">
        <f t="shared" si="125"/>
        <v>979</v>
      </c>
      <c r="J1164" s="193">
        <v>0</v>
      </c>
      <c r="K1164">
        <f t="shared" si="127"/>
        <v>945</v>
      </c>
      <c r="L1164" s="62">
        <f t="shared" si="126"/>
        <v>983</v>
      </c>
      <c r="M1164" s="304">
        <v>0.79</v>
      </c>
      <c r="N1164" s="301">
        <f>VLOOKUP(5703,季財報!A:N,8,0)</f>
        <v>1</v>
      </c>
    </row>
    <row r="1165" spans="1:14">
      <c r="A1165" s="187">
        <v>6160</v>
      </c>
      <c r="C1165">
        <v>-12</v>
      </c>
      <c r="H1165" s="200">
        <v>0</v>
      </c>
      <c r="I1165">
        <f t="shared" si="125"/>
        <v>979</v>
      </c>
      <c r="J1165" s="193">
        <v>0</v>
      </c>
      <c r="K1165">
        <f t="shared" si="127"/>
        <v>945</v>
      </c>
      <c r="L1165" s="62">
        <f t="shared" si="126"/>
        <v>983</v>
      </c>
      <c r="M1165" s="304">
        <v>0.79</v>
      </c>
      <c r="N1165" s="301">
        <f>VLOOKUP(6160,季財報!A:N,8,0)</f>
        <v>3</v>
      </c>
    </row>
    <row r="1166" spans="1:14">
      <c r="A1166" s="187">
        <v>6163</v>
      </c>
      <c r="C1166">
        <v>-96</v>
      </c>
      <c r="H1166" s="200">
        <v>0</v>
      </c>
      <c r="I1166">
        <f t="shared" si="125"/>
        <v>979</v>
      </c>
      <c r="J1166" s="193">
        <v>0</v>
      </c>
      <c r="K1166">
        <f t="shared" si="127"/>
        <v>945</v>
      </c>
      <c r="L1166" s="62">
        <f t="shared" si="126"/>
        <v>983</v>
      </c>
      <c r="M1166" s="304">
        <v>0.79</v>
      </c>
      <c r="N1166" s="301">
        <f>VLOOKUP(6163,季財報!A:N,8,0)</f>
        <v>1</v>
      </c>
    </row>
    <row r="1167" spans="1:14">
      <c r="A1167" s="187">
        <v>6164</v>
      </c>
      <c r="C1167">
        <v>8</v>
      </c>
      <c r="D1167">
        <v>1067</v>
      </c>
      <c r="E1167">
        <v>679</v>
      </c>
      <c r="F1167">
        <v>1639</v>
      </c>
      <c r="G1167">
        <v>355</v>
      </c>
      <c r="H1167" s="200">
        <v>0</v>
      </c>
      <c r="I1167">
        <f t="shared" si="125"/>
        <v>979</v>
      </c>
      <c r="J1167" s="193">
        <v>0</v>
      </c>
      <c r="K1167">
        <f t="shared" si="127"/>
        <v>945</v>
      </c>
      <c r="L1167" s="62">
        <f t="shared" si="126"/>
        <v>983</v>
      </c>
      <c r="M1167" s="304">
        <v>0.79</v>
      </c>
      <c r="N1167" s="301">
        <f>VLOOKUP(6164,季財報!A:N,8,0)</f>
        <v>2</v>
      </c>
    </row>
    <row r="1168" spans="1:14">
      <c r="A1168" s="187">
        <v>6165</v>
      </c>
      <c r="C1168">
        <v>-13</v>
      </c>
      <c r="H1168" s="200">
        <v>0</v>
      </c>
      <c r="I1168">
        <f t="shared" si="125"/>
        <v>979</v>
      </c>
      <c r="J1168" s="193">
        <v>0</v>
      </c>
      <c r="K1168">
        <f t="shared" si="127"/>
        <v>945</v>
      </c>
      <c r="L1168" s="62">
        <f t="shared" si="126"/>
        <v>983</v>
      </c>
      <c r="M1168" s="304">
        <v>2.09</v>
      </c>
      <c r="N1168" s="301">
        <f>VLOOKUP(6165,季財報!A:N,8,0)</f>
        <v>2</v>
      </c>
    </row>
    <row r="1169" spans="1:14">
      <c r="A1169" s="187">
        <v>6219</v>
      </c>
      <c r="C1169">
        <v>0</v>
      </c>
      <c r="H1169" s="200">
        <v>0</v>
      </c>
      <c r="I1169">
        <f t="shared" si="125"/>
        <v>979</v>
      </c>
      <c r="J1169" s="193">
        <v>0</v>
      </c>
      <c r="K1169">
        <f t="shared" si="127"/>
        <v>945</v>
      </c>
      <c r="L1169" s="62">
        <f t="shared" si="126"/>
        <v>983</v>
      </c>
      <c r="M1169" s="304">
        <v>1.1399999999999999</v>
      </c>
      <c r="N1169" s="301">
        <f>VLOOKUP(6219,季財報!A:N,8,0)</f>
        <v>3</v>
      </c>
    </row>
    <row r="1170" spans="1:14">
      <c r="A1170" s="187">
        <v>4128</v>
      </c>
      <c r="C1170">
        <v>-95</v>
      </c>
      <c r="H1170" s="200">
        <v>0</v>
      </c>
      <c r="I1170">
        <f t="shared" si="125"/>
        <v>979</v>
      </c>
      <c r="J1170" s="193">
        <v>0</v>
      </c>
      <c r="K1170">
        <f t="shared" si="127"/>
        <v>945</v>
      </c>
      <c r="L1170" s="62">
        <f t="shared" si="126"/>
        <v>983</v>
      </c>
      <c r="M1170" s="304">
        <v>0.79</v>
      </c>
      <c r="N1170" s="301">
        <f>VLOOKUP(4128,季財報!A:N,8,0)</f>
        <v>2</v>
      </c>
    </row>
    <row r="1171" spans="1:14">
      <c r="A1171" s="187">
        <v>4133</v>
      </c>
      <c r="C1171">
        <v>2</v>
      </c>
      <c r="D1171">
        <v>879</v>
      </c>
      <c r="E1171">
        <v>174</v>
      </c>
      <c r="F1171">
        <v>1157</v>
      </c>
      <c r="G1171">
        <v>0</v>
      </c>
      <c r="H1171" s="200">
        <v>0</v>
      </c>
      <c r="I1171">
        <f t="shared" si="125"/>
        <v>979</v>
      </c>
      <c r="J1171" s="193">
        <v>0</v>
      </c>
      <c r="K1171">
        <f t="shared" si="127"/>
        <v>945</v>
      </c>
      <c r="L1171" s="62">
        <f t="shared" si="126"/>
        <v>983</v>
      </c>
      <c r="M1171" s="304">
        <v>1.01</v>
      </c>
      <c r="N1171" s="301">
        <f>VLOOKUP(4133,季財報!A:N,8,0)</f>
        <v>2</v>
      </c>
    </row>
    <row r="1172" spans="1:14">
      <c r="A1172" s="187">
        <v>4139</v>
      </c>
      <c r="C1172">
        <v>-6</v>
      </c>
      <c r="H1172" s="200">
        <v>0</v>
      </c>
      <c r="I1172">
        <f t="shared" si="125"/>
        <v>979</v>
      </c>
      <c r="J1172" s="193">
        <v>0</v>
      </c>
      <c r="K1172">
        <f t="shared" si="127"/>
        <v>945</v>
      </c>
      <c r="L1172" s="62">
        <f t="shared" si="126"/>
        <v>983</v>
      </c>
      <c r="M1172" s="304">
        <v>0.79</v>
      </c>
      <c r="N1172" s="301">
        <f>VLOOKUP(4139,季財報!A:N,8,0)</f>
        <v>2</v>
      </c>
    </row>
    <row r="1173" spans="1:14">
      <c r="A1173" s="187">
        <v>4142</v>
      </c>
      <c r="C1173">
        <v>-190</v>
      </c>
      <c r="H1173" s="200">
        <v>0</v>
      </c>
      <c r="I1173">
        <f t="shared" si="125"/>
        <v>979</v>
      </c>
      <c r="J1173" s="193">
        <v>0</v>
      </c>
      <c r="K1173">
        <f t="shared" si="127"/>
        <v>945</v>
      </c>
      <c r="L1173" s="62">
        <f t="shared" si="126"/>
        <v>983</v>
      </c>
      <c r="M1173" s="304">
        <v>6.36</v>
      </c>
      <c r="N1173" s="301">
        <f>VLOOKUP(4142,季財報!A:N,8,0)</f>
        <v>2</v>
      </c>
    </row>
    <row r="1174" spans="1:14">
      <c r="A1174" s="187">
        <v>4152</v>
      </c>
      <c r="C1174">
        <v>-195</v>
      </c>
      <c r="H1174" s="200">
        <v>0</v>
      </c>
      <c r="I1174">
        <f t="shared" si="125"/>
        <v>979</v>
      </c>
      <c r="J1174" s="193">
        <v>0</v>
      </c>
      <c r="K1174">
        <f t="shared" si="127"/>
        <v>945</v>
      </c>
      <c r="L1174" s="62">
        <f t="shared" si="126"/>
        <v>983</v>
      </c>
      <c r="M1174" s="304">
        <v>2.29</v>
      </c>
      <c r="N1174" s="301">
        <f>VLOOKUP(4152,季財報!A:N,8,0)</f>
        <v>1</v>
      </c>
    </row>
    <row r="1175" spans="1:14">
      <c r="A1175" s="187">
        <v>4154</v>
      </c>
      <c r="C1175">
        <v>0</v>
      </c>
      <c r="H1175" s="200">
        <v>0</v>
      </c>
      <c r="I1175">
        <f t="shared" si="125"/>
        <v>979</v>
      </c>
      <c r="J1175" s="193">
        <v>0</v>
      </c>
      <c r="K1175">
        <f t="shared" si="127"/>
        <v>945</v>
      </c>
      <c r="L1175" s="62">
        <f t="shared" si="126"/>
        <v>983</v>
      </c>
      <c r="M1175" s="304">
        <v>3.37</v>
      </c>
      <c r="N1175" s="301">
        <f>VLOOKUP(4154,季財報!A:N,8,0)</f>
        <v>2</v>
      </c>
    </row>
    <row r="1176" spans="1:14">
      <c r="A1176" s="187">
        <v>4157</v>
      </c>
      <c r="C1176">
        <v>-112</v>
      </c>
      <c r="H1176" s="200">
        <v>0</v>
      </c>
      <c r="I1176">
        <f t="shared" ref="I1176:I1239" si="128">RANK(0,H:H,0)</f>
        <v>979</v>
      </c>
      <c r="J1176" s="193">
        <v>0</v>
      </c>
      <c r="K1176">
        <f t="shared" si="127"/>
        <v>945</v>
      </c>
      <c r="L1176" s="62">
        <f t="shared" ref="L1176:L1239" si="129">RANK(0.79,M:M,0)</f>
        <v>983</v>
      </c>
      <c r="M1176" s="304">
        <v>1.01</v>
      </c>
      <c r="N1176" s="301">
        <f>VLOOKUP(4157,季財報!A:N,8,0)</f>
        <v>3</v>
      </c>
    </row>
    <row r="1177" spans="1:14">
      <c r="A1177" s="187">
        <v>4160</v>
      </c>
      <c r="C1177">
        <v>-6</v>
      </c>
      <c r="H1177" s="200">
        <v>0</v>
      </c>
      <c r="I1177">
        <f t="shared" si="128"/>
        <v>979</v>
      </c>
      <c r="J1177" s="193">
        <v>0</v>
      </c>
      <c r="K1177">
        <f t="shared" si="127"/>
        <v>945</v>
      </c>
      <c r="L1177" s="62">
        <f t="shared" si="129"/>
        <v>983</v>
      </c>
      <c r="M1177" s="304">
        <v>1.9</v>
      </c>
      <c r="N1177" s="301">
        <f>VLOOKUP(4160,季財報!A:N,8,0)</f>
        <v>1</v>
      </c>
    </row>
    <row r="1178" spans="1:14">
      <c r="A1178" s="187">
        <v>4162</v>
      </c>
      <c r="C1178">
        <v>-38</v>
      </c>
      <c r="H1178" s="200">
        <v>0</v>
      </c>
      <c r="I1178">
        <f t="shared" si="128"/>
        <v>979</v>
      </c>
      <c r="J1178" s="193">
        <v>0</v>
      </c>
      <c r="K1178">
        <f t="shared" si="127"/>
        <v>945</v>
      </c>
      <c r="L1178" s="62">
        <f t="shared" si="129"/>
        <v>983</v>
      </c>
      <c r="M1178" s="304">
        <v>1.01</v>
      </c>
      <c r="N1178" s="301">
        <f>VLOOKUP(4162,季財報!A:N,8,0)</f>
        <v>4</v>
      </c>
    </row>
    <row r="1179" spans="1:14">
      <c r="A1179" s="187">
        <v>4167</v>
      </c>
      <c r="C1179">
        <v>-100</v>
      </c>
      <c r="H1179" s="200">
        <v>0</v>
      </c>
      <c r="I1179">
        <f t="shared" si="128"/>
        <v>979</v>
      </c>
      <c r="J1179" s="193">
        <v>0</v>
      </c>
      <c r="K1179">
        <f t="shared" si="127"/>
        <v>945</v>
      </c>
      <c r="L1179" s="62">
        <f t="shared" si="129"/>
        <v>983</v>
      </c>
      <c r="M1179" s="304">
        <v>1.1399999999999999</v>
      </c>
      <c r="N1179" s="301">
        <f>VLOOKUP(4167,季財報!A:N,8,0)</f>
        <v>1</v>
      </c>
    </row>
    <row r="1180" spans="1:14">
      <c r="A1180" s="187">
        <v>4168</v>
      </c>
      <c r="C1180">
        <v>-25</v>
      </c>
      <c r="H1180" s="200">
        <v>0</v>
      </c>
      <c r="I1180">
        <f t="shared" si="128"/>
        <v>979</v>
      </c>
      <c r="J1180" s="193">
        <v>0</v>
      </c>
      <c r="K1180">
        <f t="shared" si="127"/>
        <v>945</v>
      </c>
      <c r="L1180" s="62">
        <f t="shared" si="129"/>
        <v>983</v>
      </c>
      <c r="M1180" s="304">
        <v>1.36</v>
      </c>
      <c r="N1180" s="301">
        <f>VLOOKUP(4168,季財報!A:N,8,0)</f>
        <v>1</v>
      </c>
    </row>
    <row r="1181" spans="1:14">
      <c r="A1181" s="187">
        <v>4171</v>
      </c>
      <c r="C1181">
        <v>-3</v>
      </c>
      <c r="H1181" s="200">
        <v>0</v>
      </c>
      <c r="I1181">
        <f t="shared" si="128"/>
        <v>979</v>
      </c>
      <c r="J1181" s="193">
        <v>0</v>
      </c>
      <c r="K1181">
        <f t="shared" si="127"/>
        <v>945</v>
      </c>
      <c r="L1181" s="62">
        <f t="shared" si="129"/>
        <v>983</v>
      </c>
      <c r="M1181" s="304">
        <v>0.79</v>
      </c>
      <c r="N1181" s="301">
        <f>VLOOKUP(4171,季財報!A:N,8,0)</f>
        <v>2</v>
      </c>
    </row>
    <row r="1182" spans="1:14">
      <c r="A1182" s="187">
        <v>4174</v>
      </c>
      <c r="C1182">
        <v>-230</v>
      </c>
      <c r="H1182" s="200">
        <v>0</v>
      </c>
      <c r="I1182">
        <f t="shared" si="128"/>
        <v>979</v>
      </c>
      <c r="J1182" s="193">
        <v>0</v>
      </c>
      <c r="K1182">
        <f t="shared" si="127"/>
        <v>945</v>
      </c>
      <c r="L1182" s="62">
        <f t="shared" si="129"/>
        <v>983</v>
      </c>
      <c r="M1182" s="304">
        <v>0.79</v>
      </c>
      <c r="N1182" s="301">
        <f>VLOOKUP(4174,季財報!A:N,8,0)</f>
        <v>1</v>
      </c>
    </row>
    <row r="1183" spans="1:14">
      <c r="A1183" s="187">
        <v>4180</v>
      </c>
      <c r="C1183">
        <v>-167</v>
      </c>
      <c r="H1183" s="200">
        <v>0</v>
      </c>
      <c r="I1183">
        <f t="shared" si="128"/>
        <v>979</v>
      </c>
      <c r="J1183" s="193">
        <v>0</v>
      </c>
      <c r="K1183">
        <f t="shared" si="127"/>
        <v>945</v>
      </c>
      <c r="L1183" s="62">
        <f t="shared" si="129"/>
        <v>983</v>
      </c>
      <c r="M1183" s="304">
        <v>0.79</v>
      </c>
      <c r="N1183" s="301">
        <f>VLOOKUP(4180,季財報!A:N,8,0)</f>
        <v>2</v>
      </c>
    </row>
    <row r="1184" spans="1:14">
      <c r="A1184" s="187">
        <v>4188</v>
      </c>
      <c r="C1184">
        <v>-15</v>
      </c>
      <c r="H1184" s="200">
        <v>0</v>
      </c>
      <c r="I1184">
        <f t="shared" si="128"/>
        <v>979</v>
      </c>
      <c r="J1184" s="193">
        <v>0</v>
      </c>
      <c r="K1184">
        <f t="shared" si="127"/>
        <v>945</v>
      </c>
      <c r="L1184" s="62">
        <f t="shared" si="129"/>
        <v>983</v>
      </c>
      <c r="M1184" s="304">
        <v>0.79</v>
      </c>
      <c r="N1184" s="301">
        <f>VLOOKUP(4188,季財報!A:N,8,0)</f>
        <v>2</v>
      </c>
    </row>
    <row r="1185" spans="1:14">
      <c r="A1185" s="187">
        <v>4192</v>
      </c>
      <c r="C1185">
        <v>-73</v>
      </c>
      <c r="H1185" s="200">
        <v>0</v>
      </c>
      <c r="I1185">
        <f t="shared" si="128"/>
        <v>979</v>
      </c>
      <c r="J1185" s="193">
        <v>0</v>
      </c>
      <c r="K1185">
        <f t="shared" si="127"/>
        <v>945</v>
      </c>
      <c r="L1185" s="62">
        <f t="shared" si="129"/>
        <v>983</v>
      </c>
      <c r="M1185" s="304">
        <v>1.59</v>
      </c>
      <c r="N1185" s="301">
        <f>VLOOKUP(4192,季財報!A:N,8,0)</f>
        <v>2</v>
      </c>
    </row>
    <row r="1186" spans="1:14">
      <c r="A1186" s="187">
        <v>4198</v>
      </c>
      <c r="C1186">
        <v>-137</v>
      </c>
      <c r="H1186" s="200">
        <v>0</v>
      </c>
      <c r="I1186">
        <f t="shared" si="128"/>
        <v>979</v>
      </c>
      <c r="J1186" s="193">
        <v>0</v>
      </c>
      <c r="K1186">
        <f t="shared" si="127"/>
        <v>945</v>
      </c>
      <c r="L1186" s="62">
        <f t="shared" si="129"/>
        <v>983</v>
      </c>
      <c r="M1186" s="304">
        <v>0.79</v>
      </c>
      <c r="N1186" s="301">
        <f>VLOOKUP(4198,季財報!A:N,8,0)</f>
        <v>4</v>
      </c>
    </row>
    <row r="1187" spans="1:14">
      <c r="A1187" s="187">
        <v>4304</v>
      </c>
      <c r="C1187">
        <v>-21</v>
      </c>
      <c r="H1187" s="200">
        <v>0</v>
      </c>
      <c r="I1187">
        <f t="shared" si="128"/>
        <v>979</v>
      </c>
      <c r="J1187" s="193">
        <v>0</v>
      </c>
      <c r="K1187">
        <f t="shared" si="127"/>
        <v>945</v>
      </c>
      <c r="L1187" s="62">
        <f t="shared" si="129"/>
        <v>983</v>
      </c>
      <c r="M1187" s="304">
        <v>0.79</v>
      </c>
      <c r="N1187" s="301">
        <f>VLOOKUP(4304,季財報!A:N,8,0)</f>
        <v>0</v>
      </c>
    </row>
    <row r="1188" spans="1:14">
      <c r="A1188" s="187">
        <v>4402</v>
      </c>
      <c r="C1188">
        <v>-26</v>
      </c>
      <c r="H1188" s="200">
        <v>0</v>
      </c>
      <c r="I1188">
        <f t="shared" si="128"/>
        <v>979</v>
      </c>
      <c r="J1188" s="193">
        <v>0</v>
      </c>
      <c r="K1188">
        <f t="shared" si="127"/>
        <v>945</v>
      </c>
      <c r="L1188" s="62">
        <f t="shared" si="129"/>
        <v>983</v>
      </c>
      <c r="M1188" s="304">
        <v>0.79</v>
      </c>
      <c r="N1188" s="301">
        <f>VLOOKUP(4402,季財報!A:N,8,0)</f>
        <v>2</v>
      </c>
    </row>
    <row r="1189" spans="1:14">
      <c r="A1189" s="187">
        <v>4406</v>
      </c>
      <c r="C1189">
        <v>-4</v>
      </c>
      <c r="H1189" s="200">
        <v>0</v>
      </c>
      <c r="I1189">
        <f t="shared" si="128"/>
        <v>979</v>
      </c>
      <c r="J1189" s="193">
        <v>0</v>
      </c>
      <c r="K1189">
        <f t="shared" si="127"/>
        <v>945</v>
      </c>
      <c r="L1189" s="62">
        <f t="shared" si="129"/>
        <v>983</v>
      </c>
      <c r="M1189" s="304">
        <v>0.79</v>
      </c>
      <c r="N1189" s="301">
        <f>VLOOKUP(4406,季財報!A:N,8,0)</f>
        <v>1</v>
      </c>
    </row>
    <row r="1190" spans="1:14">
      <c r="A1190" s="187">
        <v>4414</v>
      </c>
      <c r="C1190">
        <v>-41</v>
      </c>
      <c r="H1190" s="200">
        <v>0</v>
      </c>
      <c r="I1190">
        <f t="shared" si="128"/>
        <v>979</v>
      </c>
      <c r="J1190" s="193">
        <v>0</v>
      </c>
      <c r="K1190">
        <f t="shared" si="127"/>
        <v>945</v>
      </c>
      <c r="L1190" s="62">
        <f t="shared" si="129"/>
        <v>983</v>
      </c>
      <c r="M1190" s="304">
        <v>0.79</v>
      </c>
      <c r="N1190" s="301">
        <f>VLOOKUP(4414,季財報!A:N,8,0)</f>
        <v>1</v>
      </c>
    </row>
    <row r="1191" spans="1:14">
      <c r="A1191" s="187">
        <v>4415</v>
      </c>
      <c r="C1191">
        <v>0</v>
      </c>
      <c r="H1191" s="200">
        <v>0</v>
      </c>
      <c r="I1191">
        <f t="shared" si="128"/>
        <v>979</v>
      </c>
      <c r="J1191" s="193">
        <v>0</v>
      </c>
      <c r="K1191">
        <f t="shared" si="127"/>
        <v>945</v>
      </c>
      <c r="L1191" s="62">
        <f t="shared" si="129"/>
        <v>983</v>
      </c>
      <c r="M1191" s="304">
        <v>0.79</v>
      </c>
      <c r="N1191" s="301" t="e">
        <f>VLOOKUP(4415,季財報!A:N,8,0)</f>
        <v>#N/A</v>
      </c>
    </row>
    <row r="1192" spans="1:14">
      <c r="A1192" s="187">
        <v>4416</v>
      </c>
      <c r="C1192">
        <v>10</v>
      </c>
      <c r="D1192">
        <v>2293</v>
      </c>
      <c r="E1192">
        <v>4</v>
      </c>
      <c r="F1192">
        <v>4106</v>
      </c>
      <c r="G1192">
        <v>1458</v>
      </c>
      <c r="H1192" s="200">
        <v>0</v>
      </c>
      <c r="I1192">
        <f t="shared" si="128"/>
        <v>979</v>
      </c>
      <c r="J1192" s="193">
        <v>0</v>
      </c>
      <c r="K1192">
        <f t="shared" si="127"/>
        <v>945</v>
      </c>
      <c r="L1192" s="62">
        <f t="shared" si="129"/>
        <v>983</v>
      </c>
      <c r="M1192" s="304">
        <v>0.79</v>
      </c>
      <c r="N1192" s="301">
        <f>VLOOKUP(4416,季財報!A:N,8,0)</f>
        <v>0</v>
      </c>
    </row>
    <row r="1193" spans="1:14">
      <c r="A1193" s="187">
        <v>4419</v>
      </c>
      <c r="C1193">
        <v>-3</v>
      </c>
      <c r="H1193" s="200">
        <v>0</v>
      </c>
      <c r="I1193">
        <f t="shared" si="128"/>
        <v>979</v>
      </c>
      <c r="J1193" s="193">
        <v>0</v>
      </c>
      <c r="K1193">
        <f t="shared" si="127"/>
        <v>945</v>
      </c>
      <c r="L1193" s="62">
        <f t="shared" si="129"/>
        <v>983</v>
      </c>
      <c r="M1193" s="304">
        <v>1.18</v>
      </c>
      <c r="N1193" s="301">
        <f>VLOOKUP(4419,季財報!A:N,8,0)</f>
        <v>1</v>
      </c>
    </row>
    <row r="1194" spans="1:14">
      <c r="A1194" s="187">
        <v>4433</v>
      </c>
      <c r="C1194">
        <v>-5</v>
      </c>
      <c r="H1194" s="200">
        <v>0</v>
      </c>
      <c r="I1194">
        <f t="shared" si="128"/>
        <v>979</v>
      </c>
      <c r="J1194" s="193">
        <v>0</v>
      </c>
      <c r="K1194">
        <f t="shared" si="127"/>
        <v>945</v>
      </c>
      <c r="L1194" s="62">
        <f t="shared" si="129"/>
        <v>983</v>
      </c>
      <c r="M1194" s="304">
        <v>0.79</v>
      </c>
      <c r="N1194" s="301">
        <f>VLOOKUP(4433,季財報!A:N,8,0)</f>
        <v>2</v>
      </c>
    </row>
    <row r="1195" spans="1:14">
      <c r="A1195" s="187">
        <v>4502</v>
      </c>
      <c r="C1195">
        <v>1</v>
      </c>
      <c r="D1195">
        <v>0</v>
      </c>
      <c r="E1195">
        <v>1352</v>
      </c>
      <c r="F1195">
        <v>244</v>
      </c>
      <c r="G1195">
        <v>1415</v>
      </c>
      <c r="H1195" s="200">
        <v>0</v>
      </c>
      <c r="I1195">
        <f t="shared" si="128"/>
        <v>979</v>
      </c>
      <c r="J1195" s="193">
        <v>0</v>
      </c>
      <c r="K1195">
        <f t="shared" si="127"/>
        <v>945</v>
      </c>
      <c r="L1195" s="62">
        <f t="shared" si="129"/>
        <v>983</v>
      </c>
      <c r="M1195" s="304">
        <v>0.79</v>
      </c>
      <c r="N1195" s="301">
        <f>VLOOKUP(4502,季財報!A:N,8,0)</f>
        <v>3</v>
      </c>
    </row>
    <row r="1196" spans="1:14">
      <c r="A1196" s="187">
        <v>4503</v>
      </c>
      <c r="C1196">
        <v>1</v>
      </c>
      <c r="D1196">
        <v>50</v>
      </c>
      <c r="E1196">
        <v>198</v>
      </c>
      <c r="F1196">
        <v>239</v>
      </c>
      <c r="G1196">
        <v>29</v>
      </c>
      <c r="H1196" s="200">
        <v>0</v>
      </c>
      <c r="I1196">
        <f t="shared" si="128"/>
        <v>979</v>
      </c>
      <c r="J1196" s="193">
        <v>0</v>
      </c>
      <c r="K1196">
        <f t="shared" si="127"/>
        <v>945</v>
      </c>
      <c r="L1196" s="62">
        <f t="shared" si="129"/>
        <v>983</v>
      </c>
      <c r="M1196" s="304">
        <v>1.01</v>
      </c>
      <c r="N1196" s="301">
        <f>VLOOKUP(4503,季財報!A:N,8,0)</f>
        <v>3</v>
      </c>
    </row>
    <row r="1197" spans="1:14">
      <c r="A1197" s="187">
        <v>4523</v>
      </c>
      <c r="C1197">
        <v>-13</v>
      </c>
      <c r="H1197" s="200">
        <v>0</v>
      </c>
      <c r="I1197">
        <f t="shared" si="128"/>
        <v>979</v>
      </c>
      <c r="J1197" s="193">
        <v>0</v>
      </c>
      <c r="K1197">
        <f t="shared" si="127"/>
        <v>945</v>
      </c>
      <c r="L1197" s="62">
        <f t="shared" si="129"/>
        <v>983</v>
      </c>
      <c r="M1197" s="304">
        <v>1.01</v>
      </c>
      <c r="N1197" s="301">
        <f>VLOOKUP(4523,季財報!A:N,8,0)</f>
        <v>2</v>
      </c>
    </row>
    <row r="1198" spans="1:14">
      <c r="A1198" s="187">
        <v>4529</v>
      </c>
      <c r="C1198">
        <v>-32</v>
      </c>
      <c r="H1198" s="200">
        <v>0</v>
      </c>
      <c r="I1198">
        <f t="shared" si="128"/>
        <v>979</v>
      </c>
      <c r="J1198" s="193">
        <v>0</v>
      </c>
      <c r="K1198">
        <f t="shared" si="127"/>
        <v>945</v>
      </c>
      <c r="L1198" s="62">
        <f t="shared" si="129"/>
        <v>983</v>
      </c>
      <c r="M1198" s="304">
        <v>1.01</v>
      </c>
      <c r="N1198" s="301">
        <f>VLOOKUP(4529,季財報!A:N,8,0)</f>
        <v>4</v>
      </c>
    </row>
    <row r="1199" spans="1:14">
      <c r="A1199" s="187">
        <v>4530</v>
      </c>
      <c r="C1199">
        <v>-15</v>
      </c>
      <c r="H1199" s="200">
        <v>0</v>
      </c>
      <c r="I1199">
        <f t="shared" si="128"/>
        <v>979</v>
      </c>
      <c r="J1199" s="193">
        <v>0</v>
      </c>
      <c r="K1199">
        <f t="shared" si="127"/>
        <v>945</v>
      </c>
      <c r="L1199" s="62">
        <f t="shared" si="129"/>
        <v>983</v>
      </c>
      <c r="M1199" s="304">
        <v>1.9</v>
      </c>
      <c r="N1199" s="301">
        <f>VLOOKUP(4530,季財報!A:N,8,0)</f>
        <v>3</v>
      </c>
    </row>
    <row r="1200" spans="1:14">
      <c r="A1200" s="187">
        <v>4542</v>
      </c>
      <c r="C1200">
        <v>-11</v>
      </c>
      <c r="H1200" s="200">
        <v>0</v>
      </c>
      <c r="I1200">
        <f t="shared" si="128"/>
        <v>979</v>
      </c>
      <c r="J1200" s="193">
        <v>0</v>
      </c>
      <c r="K1200">
        <f t="shared" si="127"/>
        <v>945</v>
      </c>
      <c r="L1200" s="62">
        <f t="shared" si="129"/>
        <v>983</v>
      </c>
      <c r="M1200" s="304">
        <v>0.79</v>
      </c>
      <c r="N1200" s="301">
        <f>VLOOKUP(4542,季財報!A:N,8,0)</f>
        <v>4</v>
      </c>
    </row>
    <row r="1201" spans="1:14">
      <c r="A1201" s="187">
        <v>4702</v>
      </c>
      <c r="C1201">
        <v>-1</v>
      </c>
      <c r="H1201" s="200">
        <v>0</v>
      </c>
      <c r="I1201">
        <f t="shared" si="128"/>
        <v>979</v>
      </c>
      <c r="J1201" s="193">
        <v>0</v>
      </c>
      <c r="K1201">
        <f t="shared" si="127"/>
        <v>945</v>
      </c>
      <c r="L1201" s="62">
        <f t="shared" si="129"/>
        <v>983</v>
      </c>
      <c r="M1201" s="304">
        <v>0.79</v>
      </c>
      <c r="N1201" s="301">
        <f>VLOOKUP(4702,季財報!A:N,8,0)</f>
        <v>1</v>
      </c>
    </row>
    <row r="1202" spans="1:14">
      <c r="A1202" s="187">
        <v>4712</v>
      </c>
      <c r="C1202">
        <v>-11</v>
      </c>
      <c r="H1202" s="200">
        <v>0</v>
      </c>
      <c r="I1202">
        <f t="shared" si="128"/>
        <v>979</v>
      </c>
      <c r="J1202" s="193">
        <v>0</v>
      </c>
      <c r="K1202">
        <f t="shared" si="127"/>
        <v>945</v>
      </c>
      <c r="L1202" s="62">
        <f t="shared" si="129"/>
        <v>983</v>
      </c>
      <c r="M1202" s="304">
        <v>0.79</v>
      </c>
      <c r="N1202" s="301">
        <f>VLOOKUP(4712,季財報!A:N,8,0)</f>
        <v>2</v>
      </c>
    </row>
    <row r="1203" spans="1:14">
      <c r="A1203" s="187">
        <v>4716</v>
      </c>
      <c r="C1203">
        <v>4</v>
      </c>
      <c r="D1203">
        <v>559</v>
      </c>
      <c r="E1203">
        <v>365</v>
      </c>
      <c r="F1203">
        <v>879</v>
      </c>
      <c r="G1203">
        <v>8</v>
      </c>
      <c r="H1203" s="200">
        <v>0</v>
      </c>
      <c r="I1203">
        <f t="shared" si="128"/>
        <v>979</v>
      </c>
      <c r="J1203" s="193">
        <v>0</v>
      </c>
      <c r="K1203">
        <f t="shared" si="127"/>
        <v>945</v>
      </c>
      <c r="L1203" s="62">
        <f t="shared" si="129"/>
        <v>983</v>
      </c>
      <c r="M1203" s="304">
        <v>0.79</v>
      </c>
      <c r="N1203" s="301">
        <f>VLOOKUP(4716,季財報!A:N,8,0)</f>
        <v>2</v>
      </c>
    </row>
    <row r="1204" spans="1:14">
      <c r="A1204" s="187">
        <v>4725</v>
      </c>
      <c r="C1204">
        <v>-305</v>
      </c>
      <c r="H1204" s="200">
        <v>0</v>
      </c>
      <c r="I1204">
        <f t="shared" si="128"/>
        <v>979</v>
      </c>
      <c r="J1204" s="193">
        <v>0</v>
      </c>
      <c r="K1204">
        <f t="shared" si="127"/>
        <v>945</v>
      </c>
      <c r="L1204" s="62">
        <f t="shared" si="129"/>
        <v>983</v>
      </c>
      <c r="M1204" s="304">
        <v>0.79</v>
      </c>
      <c r="N1204" s="301">
        <f>VLOOKUP(4725,季財報!A:N,8,0)</f>
        <v>0</v>
      </c>
    </row>
    <row r="1205" spans="1:14">
      <c r="A1205" s="187">
        <v>4726</v>
      </c>
      <c r="C1205">
        <v>-14</v>
      </c>
      <c r="H1205" s="200">
        <v>0</v>
      </c>
      <c r="I1205">
        <f t="shared" si="128"/>
        <v>979</v>
      </c>
      <c r="J1205" s="193">
        <v>0</v>
      </c>
      <c r="K1205">
        <f t="shared" si="127"/>
        <v>945</v>
      </c>
      <c r="L1205" s="62">
        <f t="shared" si="129"/>
        <v>983</v>
      </c>
      <c r="M1205" s="304">
        <v>1.01</v>
      </c>
      <c r="N1205" s="301">
        <f>VLOOKUP(4726,季財報!A:N,8,0)</f>
        <v>3</v>
      </c>
    </row>
    <row r="1206" spans="1:14">
      <c r="A1206" s="187">
        <v>4728</v>
      </c>
      <c r="C1206">
        <v>-13</v>
      </c>
      <c r="H1206" s="200">
        <v>0</v>
      </c>
      <c r="I1206">
        <f t="shared" si="128"/>
        <v>979</v>
      </c>
      <c r="J1206" s="193">
        <v>0</v>
      </c>
      <c r="K1206">
        <f t="shared" si="127"/>
        <v>945</v>
      </c>
      <c r="L1206" s="62">
        <f t="shared" si="129"/>
        <v>983</v>
      </c>
      <c r="M1206" s="304">
        <v>0.79</v>
      </c>
      <c r="N1206" s="301">
        <f>VLOOKUP(4728,季財報!A:N,8,0)</f>
        <v>4</v>
      </c>
    </row>
    <row r="1207" spans="1:14">
      <c r="A1207" s="187">
        <v>4743</v>
      </c>
      <c r="C1207">
        <v>-21</v>
      </c>
      <c r="H1207" s="200">
        <v>0</v>
      </c>
      <c r="I1207">
        <f t="shared" si="128"/>
        <v>979</v>
      </c>
      <c r="J1207" s="193">
        <v>0</v>
      </c>
      <c r="K1207">
        <f t="shared" si="127"/>
        <v>945</v>
      </c>
      <c r="L1207" s="62">
        <f t="shared" si="129"/>
        <v>983</v>
      </c>
      <c r="M1207" s="304">
        <v>0.79</v>
      </c>
      <c r="N1207" s="301">
        <f>VLOOKUP(4743,季財報!A:N,8,0)</f>
        <v>1</v>
      </c>
    </row>
    <row r="1208" spans="1:14">
      <c r="A1208" s="187">
        <v>4905</v>
      </c>
      <c r="C1208">
        <v>-2</v>
      </c>
      <c r="H1208" s="200">
        <v>0</v>
      </c>
      <c r="I1208">
        <f t="shared" si="128"/>
        <v>979</v>
      </c>
      <c r="J1208" s="193">
        <v>0</v>
      </c>
      <c r="K1208">
        <f t="shared" ref="K1208:K1271" si="130">RANK(0,J:J,0)</f>
        <v>945</v>
      </c>
      <c r="L1208" s="62">
        <f t="shared" si="129"/>
        <v>983</v>
      </c>
      <c r="M1208" s="304">
        <v>0.79</v>
      </c>
      <c r="N1208" s="301">
        <f>VLOOKUP(4905,季財報!A:N,8,0)</f>
        <v>4</v>
      </c>
    </row>
    <row r="1209" spans="1:14">
      <c r="A1209" s="187">
        <v>4906</v>
      </c>
      <c r="C1209">
        <v>16</v>
      </c>
      <c r="D1209">
        <v>2329</v>
      </c>
      <c r="E1209">
        <v>3675</v>
      </c>
      <c r="F1209">
        <v>8555</v>
      </c>
      <c r="G1209">
        <v>3474</v>
      </c>
      <c r="H1209" s="200">
        <v>0</v>
      </c>
      <c r="I1209">
        <f t="shared" si="128"/>
        <v>979</v>
      </c>
      <c r="J1209" s="193">
        <v>0</v>
      </c>
      <c r="K1209">
        <f t="shared" si="130"/>
        <v>945</v>
      </c>
      <c r="L1209" s="62">
        <f t="shared" si="129"/>
        <v>983</v>
      </c>
      <c r="M1209" s="304">
        <v>0.79</v>
      </c>
      <c r="N1209" s="301">
        <f>VLOOKUP(4906,季財報!A:N,8,0)</f>
        <v>4</v>
      </c>
    </row>
    <row r="1210" spans="1:14">
      <c r="A1210" s="187">
        <v>4907</v>
      </c>
      <c r="C1210">
        <v>40</v>
      </c>
      <c r="D1210">
        <v>605</v>
      </c>
      <c r="E1210">
        <v>0</v>
      </c>
      <c r="F1210">
        <v>755</v>
      </c>
      <c r="G1210">
        <v>2298</v>
      </c>
      <c r="H1210" s="200">
        <v>0</v>
      </c>
      <c r="I1210">
        <f t="shared" si="128"/>
        <v>979</v>
      </c>
      <c r="J1210" s="193">
        <v>0</v>
      </c>
      <c r="K1210">
        <f t="shared" si="130"/>
        <v>945</v>
      </c>
      <c r="L1210" s="62">
        <f t="shared" si="129"/>
        <v>983</v>
      </c>
      <c r="M1210" s="304">
        <v>0.79</v>
      </c>
      <c r="N1210" s="301" t="e">
        <f>VLOOKUP(4907,季財報!A:N,8,0)</f>
        <v>#N/A</v>
      </c>
    </row>
    <row r="1211" spans="1:14">
      <c r="A1211" s="187">
        <v>4911</v>
      </c>
      <c r="C1211">
        <v>-9</v>
      </c>
      <c r="H1211" s="200">
        <v>0</v>
      </c>
      <c r="I1211">
        <f t="shared" si="128"/>
        <v>979</v>
      </c>
      <c r="J1211" s="193">
        <v>0</v>
      </c>
      <c r="K1211">
        <f t="shared" si="130"/>
        <v>945</v>
      </c>
      <c r="L1211" s="62">
        <f t="shared" si="129"/>
        <v>983</v>
      </c>
      <c r="M1211" s="304">
        <v>1.36</v>
      </c>
      <c r="N1211" s="301">
        <f>VLOOKUP(4911,季財報!A:N,8,0)</f>
        <v>1</v>
      </c>
    </row>
    <row r="1212" spans="1:14">
      <c r="A1212" s="187">
        <v>4924</v>
      </c>
      <c r="C1212">
        <v>-12</v>
      </c>
      <c r="H1212" s="200">
        <v>0</v>
      </c>
      <c r="I1212">
        <f t="shared" si="128"/>
        <v>979</v>
      </c>
      <c r="J1212" s="193">
        <v>0</v>
      </c>
      <c r="K1212">
        <f t="shared" si="130"/>
        <v>945</v>
      </c>
      <c r="L1212" s="62">
        <f t="shared" si="129"/>
        <v>983</v>
      </c>
      <c r="M1212" s="304">
        <v>0.79</v>
      </c>
      <c r="N1212" s="301">
        <f>VLOOKUP(4924,季財報!A:N,8,0)</f>
        <v>0</v>
      </c>
    </row>
    <row r="1213" spans="1:14">
      <c r="A1213" s="187">
        <v>4939</v>
      </c>
      <c r="C1213">
        <v>-18</v>
      </c>
      <c r="H1213" s="200">
        <v>0</v>
      </c>
      <c r="I1213">
        <f t="shared" si="128"/>
        <v>979</v>
      </c>
      <c r="J1213" s="193">
        <v>0</v>
      </c>
      <c r="K1213">
        <f t="shared" si="130"/>
        <v>945</v>
      </c>
      <c r="L1213" s="62">
        <f t="shared" si="129"/>
        <v>983</v>
      </c>
      <c r="M1213" s="304">
        <v>0.79</v>
      </c>
      <c r="N1213" s="301">
        <f>VLOOKUP(4939,季財報!A:N,8,0)</f>
        <v>2</v>
      </c>
    </row>
    <row r="1214" spans="1:14">
      <c r="A1214" s="187">
        <v>4942</v>
      </c>
      <c r="C1214">
        <v>-103</v>
      </c>
      <c r="H1214" s="200">
        <v>0</v>
      </c>
      <c r="I1214">
        <f t="shared" si="128"/>
        <v>979</v>
      </c>
      <c r="J1214" s="193">
        <v>0</v>
      </c>
      <c r="K1214">
        <f t="shared" si="130"/>
        <v>945</v>
      </c>
      <c r="L1214" s="62">
        <f t="shared" si="129"/>
        <v>983</v>
      </c>
      <c r="M1214" s="304">
        <v>0.79</v>
      </c>
      <c r="N1214" s="301">
        <f>VLOOKUP(4942,季財報!A:N,8,0)</f>
        <v>1</v>
      </c>
    </row>
    <row r="1215" spans="1:14">
      <c r="A1215" s="187">
        <v>4944</v>
      </c>
      <c r="C1215">
        <v>-189</v>
      </c>
      <c r="H1215" s="200">
        <v>0</v>
      </c>
      <c r="I1215">
        <f t="shared" si="128"/>
        <v>979</v>
      </c>
      <c r="J1215" s="193">
        <v>0</v>
      </c>
      <c r="K1215">
        <f t="shared" si="130"/>
        <v>945</v>
      </c>
      <c r="L1215" s="62">
        <f t="shared" si="129"/>
        <v>983</v>
      </c>
      <c r="M1215" s="304">
        <v>0.79</v>
      </c>
      <c r="N1215" s="301">
        <f>VLOOKUP(4944,季財報!A:N,8,0)</f>
        <v>2</v>
      </c>
    </row>
    <row r="1216" spans="1:14">
      <c r="A1216" s="187">
        <v>4946</v>
      </c>
      <c r="C1216">
        <v>-28</v>
      </c>
      <c r="H1216" s="200">
        <v>0</v>
      </c>
      <c r="I1216">
        <f t="shared" si="128"/>
        <v>979</v>
      </c>
      <c r="J1216" s="193">
        <v>0</v>
      </c>
      <c r="K1216">
        <f t="shared" si="130"/>
        <v>945</v>
      </c>
      <c r="L1216" s="62">
        <f t="shared" si="129"/>
        <v>983</v>
      </c>
      <c r="M1216" s="304">
        <v>0.79</v>
      </c>
      <c r="N1216" s="301">
        <f>VLOOKUP(4946,季財報!A:N,8,0)</f>
        <v>2</v>
      </c>
    </row>
    <row r="1217" spans="1:14">
      <c r="A1217" s="187">
        <v>4950</v>
      </c>
      <c r="C1217">
        <v>-1</v>
      </c>
      <c r="H1217" s="200">
        <v>0</v>
      </c>
      <c r="I1217">
        <f t="shared" si="128"/>
        <v>979</v>
      </c>
      <c r="J1217" s="193">
        <v>0</v>
      </c>
      <c r="K1217">
        <f t="shared" si="130"/>
        <v>945</v>
      </c>
      <c r="L1217" s="62">
        <f t="shared" si="129"/>
        <v>983</v>
      </c>
      <c r="M1217" s="304">
        <v>0.79</v>
      </c>
      <c r="N1217" s="301">
        <f>VLOOKUP(4950,季財報!A:N,8,0)</f>
        <v>5</v>
      </c>
    </row>
    <row r="1218" spans="1:14">
      <c r="A1218" s="187">
        <v>4953</v>
      </c>
      <c r="C1218">
        <v>-2</v>
      </c>
      <c r="H1218" s="200">
        <v>0</v>
      </c>
      <c r="I1218">
        <f t="shared" si="128"/>
        <v>979</v>
      </c>
      <c r="J1218" s="193">
        <v>0</v>
      </c>
      <c r="K1218">
        <f t="shared" si="130"/>
        <v>945</v>
      </c>
      <c r="L1218" s="62">
        <f t="shared" si="129"/>
        <v>983</v>
      </c>
      <c r="M1218" s="304">
        <v>0.79</v>
      </c>
      <c r="N1218" s="301">
        <f>VLOOKUP(4953,季財報!A:N,8,0)</f>
        <v>1</v>
      </c>
    </row>
    <row r="1219" spans="1:14">
      <c r="A1219" s="187">
        <v>4956</v>
      </c>
      <c r="C1219">
        <v>3</v>
      </c>
      <c r="D1219">
        <v>919</v>
      </c>
      <c r="E1219">
        <v>1091</v>
      </c>
      <c r="F1219">
        <v>2058</v>
      </c>
      <c r="G1219">
        <v>562</v>
      </c>
      <c r="H1219" s="200">
        <v>0</v>
      </c>
      <c r="I1219">
        <f t="shared" si="128"/>
        <v>979</v>
      </c>
      <c r="J1219" s="193">
        <v>0</v>
      </c>
      <c r="K1219">
        <f t="shared" si="130"/>
        <v>945</v>
      </c>
      <c r="L1219" s="62">
        <f t="shared" si="129"/>
        <v>983</v>
      </c>
      <c r="M1219" s="304">
        <v>1.9</v>
      </c>
      <c r="N1219" s="301">
        <f>VLOOKUP(4956,季財報!A:N,8,0)</f>
        <v>2</v>
      </c>
    </row>
    <row r="1220" spans="1:14">
      <c r="A1220" s="187">
        <v>4973</v>
      </c>
      <c r="C1220">
        <v>-17</v>
      </c>
      <c r="H1220" s="200">
        <v>0</v>
      </c>
      <c r="I1220">
        <f t="shared" si="128"/>
        <v>979</v>
      </c>
      <c r="J1220" s="193">
        <v>0</v>
      </c>
      <c r="K1220">
        <f t="shared" si="130"/>
        <v>945</v>
      </c>
      <c r="L1220" s="62">
        <f t="shared" si="129"/>
        <v>983</v>
      </c>
      <c r="M1220" s="304">
        <v>1.01</v>
      </c>
      <c r="N1220" s="301">
        <f>VLOOKUP(4973,季財報!A:N,8,0)</f>
        <v>4</v>
      </c>
    </row>
    <row r="1221" spans="1:14">
      <c r="A1221" s="187">
        <v>4976</v>
      </c>
      <c r="C1221">
        <v>-12</v>
      </c>
      <c r="H1221" s="200">
        <v>0</v>
      </c>
      <c r="I1221">
        <f t="shared" si="128"/>
        <v>979</v>
      </c>
      <c r="J1221" s="193">
        <v>0</v>
      </c>
      <c r="K1221">
        <f t="shared" si="130"/>
        <v>945</v>
      </c>
      <c r="L1221" s="62">
        <f t="shared" si="129"/>
        <v>983</v>
      </c>
      <c r="M1221" s="304">
        <v>0.79</v>
      </c>
      <c r="N1221" s="301">
        <f>VLOOKUP(4976,季財報!A:N,8,0)</f>
        <v>2</v>
      </c>
    </row>
    <row r="1222" spans="1:14">
      <c r="A1222" s="187">
        <v>6177</v>
      </c>
      <c r="C1222">
        <v>6</v>
      </c>
      <c r="D1222">
        <v>3923</v>
      </c>
      <c r="E1222">
        <v>141</v>
      </c>
      <c r="F1222">
        <v>3276</v>
      </c>
      <c r="G1222">
        <v>3547</v>
      </c>
      <c r="H1222" s="200">
        <v>0</v>
      </c>
      <c r="I1222">
        <f t="shared" si="128"/>
        <v>979</v>
      </c>
      <c r="J1222" s="193">
        <v>0</v>
      </c>
      <c r="K1222">
        <f t="shared" si="130"/>
        <v>945</v>
      </c>
      <c r="L1222" s="62">
        <f t="shared" si="129"/>
        <v>983</v>
      </c>
      <c r="M1222" s="304">
        <v>0.87</v>
      </c>
      <c r="N1222" s="301">
        <f>VLOOKUP(6177,季財報!A:N,8,0)</f>
        <v>0</v>
      </c>
    </row>
    <row r="1223" spans="1:14">
      <c r="A1223" s="187">
        <v>1103</v>
      </c>
      <c r="C1223">
        <v>-84</v>
      </c>
      <c r="H1223" s="200">
        <v>0</v>
      </c>
      <c r="I1223">
        <f t="shared" si="128"/>
        <v>979</v>
      </c>
      <c r="J1223" s="193">
        <v>0</v>
      </c>
      <c r="K1223">
        <f t="shared" si="130"/>
        <v>945</v>
      </c>
      <c r="L1223" s="62">
        <f t="shared" si="129"/>
        <v>983</v>
      </c>
      <c r="M1223" s="304">
        <v>0.79</v>
      </c>
      <c r="N1223" s="301">
        <f>VLOOKUP(1103,季財報!A:N,8,0)</f>
        <v>1</v>
      </c>
    </row>
    <row r="1224" spans="1:14">
      <c r="A1224" s="187">
        <v>1109</v>
      </c>
      <c r="C1224">
        <v>-15</v>
      </c>
      <c r="H1224" s="200">
        <v>0</v>
      </c>
      <c r="I1224">
        <f t="shared" si="128"/>
        <v>979</v>
      </c>
      <c r="J1224" s="193">
        <v>0</v>
      </c>
      <c r="K1224">
        <f t="shared" si="130"/>
        <v>945</v>
      </c>
      <c r="L1224" s="62">
        <f t="shared" si="129"/>
        <v>983</v>
      </c>
      <c r="M1224" s="304">
        <v>0.79</v>
      </c>
      <c r="N1224" s="301">
        <f>VLOOKUP(1109,季財報!A:N,8,0)</f>
        <v>2</v>
      </c>
    </row>
    <row r="1225" spans="1:14">
      <c r="A1225" s="187">
        <v>1201</v>
      </c>
      <c r="C1225">
        <v>-43</v>
      </c>
      <c r="H1225" s="200">
        <v>0</v>
      </c>
      <c r="I1225">
        <f t="shared" si="128"/>
        <v>979</v>
      </c>
      <c r="J1225" s="193">
        <v>0</v>
      </c>
      <c r="K1225">
        <f t="shared" si="130"/>
        <v>945</v>
      </c>
      <c r="L1225" s="62">
        <f t="shared" si="129"/>
        <v>983</v>
      </c>
      <c r="M1225" s="304">
        <v>1.9</v>
      </c>
      <c r="N1225" s="301">
        <f>VLOOKUP(1201,季財報!A:N,8,0)</f>
        <v>0</v>
      </c>
    </row>
    <row r="1226" spans="1:14">
      <c r="A1226" s="187">
        <v>1304</v>
      </c>
      <c r="C1226">
        <v>60</v>
      </c>
      <c r="D1226">
        <v>15037</v>
      </c>
      <c r="E1226">
        <v>22091</v>
      </c>
      <c r="F1226">
        <v>30825</v>
      </c>
      <c r="G1226">
        <v>9707</v>
      </c>
      <c r="H1226" s="200">
        <v>0</v>
      </c>
      <c r="I1226">
        <f t="shared" si="128"/>
        <v>979</v>
      </c>
      <c r="J1226" s="193">
        <v>0</v>
      </c>
      <c r="K1226">
        <f t="shared" si="130"/>
        <v>945</v>
      </c>
      <c r="L1226" s="62">
        <f t="shared" si="129"/>
        <v>983</v>
      </c>
      <c r="M1226" s="304">
        <v>0.79</v>
      </c>
      <c r="N1226" s="301">
        <f>VLOOKUP(1304,季財報!A:N,8,0)</f>
        <v>1</v>
      </c>
    </row>
    <row r="1227" spans="1:14">
      <c r="A1227" s="187">
        <v>1309</v>
      </c>
      <c r="C1227">
        <v>-153</v>
      </c>
      <c r="H1227" s="200">
        <v>0</v>
      </c>
      <c r="I1227">
        <f t="shared" si="128"/>
        <v>979</v>
      </c>
      <c r="J1227" s="193">
        <v>0</v>
      </c>
      <c r="K1227">
        <f t="shared" si="130"/>
        <v>945</v>
      </c>
      <c r="L1227" s="62">
        <f t="shared" si="129"/>
        <v>983</v>
      </c>
      <c r="M1227" s="304">
        <v>1.58</v>
      </c>
      <c r="N1227" s="301">
        <f>VLOOKUP(1309,季財報!A:N,8,0)</f>
        <v>0</v>
      </c>
    </row>
    <row r="1228" spans="1:14">
      <c r="A1228" s="187">
        <v>1313</v>
      </c>
      <c r="C1228">
        <v>-126</v>
      </c>
      <c r="H1228" s="200">
        <v>0</v>
      </c>
      <c r="I1228">
        <f t="shared" si="128"/>
        <v>979</v>
      </c>
      <c r="J1228" s="193">
        <v>0</v>
      </c>
      <c r="K1228">
        <f t="shared" si="130"/>
        <v>945</v>
      </c>
      <c r="L1228" s="62">
        <f t="shared" si="129"/>
        <v>983</v>
      </c>
      <c r="M1228" s="304">
        <v>7.67</v>
      </c>
      <c r="N1228" s="301">
        <f>VLOOKUP(1313,季財報!A:N,8,0)</f>
        <v>0</v>
      </c>
    </row>
    <row r="1229" spans="1:14">
      <c r="A1229" s="187">
        <v>1314</v>
      </c>
      <c r="C1229">
        <v>-561</v>
      </c>
      <c r="H1229" s="200">
        <v>0</v>
      </c>
      <c r="I1229">
        <f t="shared" si="128"/>
        <v>979</v>
      </c>
      <c r="J1229" s="193">
        <v>0</v>
      </c>
      <c r="K1229">
        <f t="shared" si="130"/>
        <v>945</v>
      </c>
      <c r="L1229" s="62">
        <f t="shared" si="129"/>
        <v>983</v>
      </c>
      <c r="M1229" s="304">
        <v>0.79</v>
      </c>
      <c r="N1229" s="301">
        <f>VLOOKUP(1314,季財報!A:N,8,0)</f>
        <v>2</v>
      </c>
    </row>
    <row r="1230" spans="1:14">
      <c r="A1230" s="187">
        <v>1316</v>
      </c>
      <c r="C1230">
        <v>-19</v>
      </c>
      <c r="H1230" s="200">
        <v>0</v>
      </c>
      <c r="I1230">
        <f t="shared" si="128"/>
        <v>979</v>
      </c>
      <c r="J1230" s="193">
        <v>0</v>
      </c>
      <c r="K1230">
        <f t="shared" si="130"/>
        <v>945</v>
      </c>
      <c r="L1230" s="62">
        <f t="shared" si="129"/>
        <v>983</v>
      </c>
      <c r="M1230" s="304">
        <v>0.79</v>
      </c>
      <c r="N1230" s="301">
        <f>VLOOKUP(1316,季財報!A:N,8,0)</f>
        <v>1</v>
      </c>
    </row>
    <row r="1231" spans="1:14">
      <c r="A1231" s="187">
        <v>1321</v>
      </c>
      <c r="C1231">
        <v>3</v>
      </c>
      <c r="D1231">
        <v>297</v>
      </c>
      <c r="E1231">
        <v>7854</v>
      </c>
      <c r="F1231">
        <v>5028</v>
      </c>
      <c r="G1231">
        <v>448</v>
      </c>
      <c r="H1231" s="200">
        <v>0</v>
      </c>
      <c r="I1231">
        <f t="shared" si="128"/>
        <v>979</v>
      </c>
      <c r="J1231" s="193">
        <v>0</v>
      </c>
      <c r="K1231">
        <f t="shared" si="130"/>
        <v>945</v>
      </c>
      <c r="L1231" s="62">
        <f t="shared" si="129"/>
        <v>983</v>
      </c>
      <c r="M1231" s="304">
        <v>0.97</v>
      </c>
      <c r="N1231" s="301">
        <f>VLOOKUP(1321,季財報!A:N,8,0)</f>
        <v>4</v>
      </c>
    </row>
    <row r="1232" spans="1:14">
      <c r="A1232" s="187">
        <v>1336</v>
      </c>
      <c r="C1232">
        <v>-49</v>
      </c>
      <c r="H1232" s="200">
        <v>0</v>
      </c>
      <c r="I1232">
        <f t="shared" si="128"/>
        <v>979</v>
      </c>
      <c r="J1232" s="193">
        <v>0</v>
      </c>
      <c r="K1232">
        <f t="shared" si="130"/>
        <v>945</v>
      </c>
      <c r="L1232" s="62">
        <f t="shared" si="129"/>
        <v>983</v>
      </c>
      <c r="M1232" s="304">
        <v>0.79</v>
      </c>
      <c r="N1232" s="301">
        <f>VLOOKUP(1336,季財報!A:N,8,0)</f>
        <v>2</v>
      </c>
    </row>
    <row r="1233" spans="1:14">
      <c r="A1233" s="187">
        <v>1413</v>
      </c>
      <c r="C1233">
        <v>-46</v>
      </c>
      <c r="H1233" s="200">
        <v>0</v>
      </c>
      <c r="I1233">
        <f t="shared" si="128"/>
        <v>979</v>
      </c>
      <c r="J1233" s="193">
        <v>0</v>
      </c>
      <c r="K1233">
        <f t="shared" si="130"/>
        <v>945</v>
      </c>
      <c r="L1233" s="62">
        <f t="shared" si="129"/>
        <v>983</v>
      </c>
      <c r="M1233" s="304">
        <v>0.79</v>
      </c>
      <c r="N1233" s="301">
        <f>VLOOKUP(1413,季財報!A:N,8,0)</f>
        <v>2</v>
      </c>
    </row>
    <row r="1234" spans="1:14">
      <c r="A1234" s="187">
        <v>1414</v>
      </c>
      <c r="C1234">
        <v>-2</v>
      </c>
      <c r="H1234" s="200">
        <v>0</v>
      </c>
      <c r="I1234">
        <f t="shared" si="128"/>
        <v>979</v>
      </c>
      <c r="J1234" s="193">
        <v>0</v>
      </c>
      <c r="K1234">
        <f t="shared" si="130"/>
        <v>945</v>
      </c>
      <c r="L1234" s="62">
        <f t="shared" si="129"/>
        <v>983</v>
      </c>
      <c r="M1234" s="304">
        <v>2.76</v>
      </c>
      <c r="N1234" s="301">
        <f>VLOOKUP(1414,季財報!A:N,8,0)</f>
        <v>2</v>
      </c>
    </row>
    <row r="1235" spans="1:14">
      <c r="A1235" s="187">
        <v>1416</v>
      </c>
      <c r="C1235">
        <v>-54</v>
      </c>
      <c r="H1235" s="200">
        <v>0</v>
      </c>
      <c r="I1235">
        <f t="shared" si="128"/>
        <v>979</v>
      </c>
      <c r="J1235" s="193">
        <v>0</v>
      </c>
      <c r="K1235">
        <f t="shared" si="130"/>
        <v>945</v>
      </c>
      <c r="L1235" s="62">
        <f t="shared" si="129"/>
        <v>983</v>
      </c>
      <c r="M1235" s="304">
        <v>0.79</v>
      </c>
      <c r="N1235" s="301">
        <f>VLOOKUP(1416,季財報!A:N,8,0)</f>
        <v>0</v>
      </c>
    </row>
    <row r="1236" spans="1:14">
      <c r="A1236" s="187">
        <v>1417</v>
      </c>
      <c r="C1236">
        <v>-158</v>
      </c>
      <c r="H1236" s="200">
        <v>0</v>
      </c>
      <c r="I1236">
        <f t="shared" si="128"/>
        <v>979</v>
      </c>
      <c r="J1236" s="193">
        <v>0</v>
      </c>
      <c r="K1236">
        <f t="shared" si="130"/>
        <v>945</v>
      </c>
      <c r="L1236" s="62">
        <f t="shared" si="129"/>
        <v>983</v>
      </c>
      <c r="M1236" s="304">
        <v>0.79</v>
      </c>
      <c r="N1236" s="301">
        <f>VLOOKUP(1417,季財報!A:N,8,0)</f>
        <v>1</v>
      </c>
    </row>
    <row r="1237" spans="1:14">
      <c r="A1237" s="187">
        <v>1418</v>
      </c>
      <c r="C1237">
        <v>-28</v>
      </c>
      <c r="H1237" s="200">
        <v>0</v>
      </c>
      <c r="I1237">
        <f t="shared" si="128"/>
        <v>979</v>
      </c>
      <c r="J1237" s="193">
        <v>0</v>
      </c>
      <c r="K1237">
        <f t="shared" si="130"/>
        <v>945</v>
      </c>
      <c r="L1237" s="62">
        <f t="shared" si="129"/>
        <v>983</v>
      </c>
      <c r="M1237" s="304">
        <v>0.79</v>
      </c>
      <c r="N1237" s="301">
        <f>VLOOKUP(1418,季財報!A:N,8,0)</f>
        <v>1</v>
      </c>
    </row>
    <row r="1238" spans="1:14">
      <c r="A1238" s="187">
        <v>1419</v>
      </c>
      <c r="C1238">
        <v>-18</v>
      </c>
      <c r="H1238" s="200">
        <v>0</v>
      </c>
      <c r="I1238">
        <f t="shared" si="128"/>
        <v>979</v>
      </c>
      <c r="J1238" s="193">
        <v>0</v>
      </c>
      <c r="K1238">
        <f t="shared" si="130"/>
        <v>945</v>
      </c>
      <c r="L1238" s="62">
        <f t="shared" si="129"/>
        <v>983</v>
      </c>
      <c r="M1238" s="304">
        <v>0.79</v>
      </c>
      <c r="N1238" s="301">
        <f>VLOOKUP(1419,季財報!A:N,8,0)</f>
        <v>2</v>
      </c>
    </row>
    <row r="1239" spans="1:14">
      <c r="A1239" s="187">
        <v>1423</v>
      </c>
      <c r="C1239">
        <v>-16</v>
      </c>
      <c r="H1239" s="200">
        <v>0</v>
      </c>
      <c r="I1239">
        <f t="shared" si="128"/>
        <v>979</v>
      </c>
      <c r="J1239" s="193">
        <v>0</v>
      </c>
      <c r="K1239">
        <f t="shared" si="130"/>
        <v>945</v>
      </c>
      <c r="L1239" s="62">
        <f t="shared" si="129"/>
        <v>983</v>
      </c>
      <c r="M1239" s="304">
        <v>0.79</v>
      </c>
      <c r="N1239" s="301">
        <f>VLOOKUP(1423,季財報!A:N,8,0)</f>
        <v>1</v>
      </c>
    </row>
    <row r="1240" spans="1:14">
      <c r="A1240" s="187">
        <v>1432</v>
      </c>
      <c r="C1240">
        <v>-63</v>
      </c>
      <c r="H1240" s="200">
        <v>0</v>
      </c>
      <c r="I1240">
        <f t="shared" ref="I1240:I1303" si="131">RANK(0,H:H,0)</f>
        <v>979</v>
      </c>
      <c r="J1240" s="193">
        <v>0</v>
      </c>
      <c r="K1240">
        <f t="shared" si="130"/>
        <v>945</v>
      </c>
      <c r="L1240" s="62">
        <f t="shared" ref="L1240:L1303" si="132">RANK(0.79,M:M,0)</f>
        <v>983</v>
      </c>
      <c r="M1240" s="304">
        <v>0.79</v>
      </c>
      <c r="N1240" s="301">
        <f>VLOOKUP(1432,季財報!A:N,8,0)</f>
        <v>2</v>
      </c>
    </row>
    <row r="1241" spans="1:14">
      <c r="A1241" s="187">
        <v>1435</v>
      </c>
      <c r="C1241">
        <v>-1</v>
      </c>
      <c r="H1241" s="200">
        <v>0</v>
      </c>
      <c r="I1241">
        <f t="shared" si="131"/>
        <v>979</v>
      </c>
      <c r="J1241" s="193">
        <v>0</v>
      </c>
      <c r="K1241">
        <f t="shared" si="130"/>
        <v>945</v>
      </c>
      <c r="L1241" s="62">
        <f t="shared" si="132"/>
        <v>983</v>
      </c>
      <c r="M1241" s="304">
        <v>2.76</v>
      </c>
      <c r="N1241" s="301">
        <f>VLOOKUP(1435,季財報!A:N,8,0)</f>
        <v>5</v>
      </c>
    </row>
    <row r="1242" spans="1:14">
      <c r="A1242" s="187">
        <v>1436</v>
      </c>
      <c r="C1242">
        <v>8</v>
      </c>
      <c r="D1242">
        <v>2214</v>
      </c>
      <c r="E1242">
        <v>26</v>
      </c>
      <c r="F1242">
        <v>2234</v>
      </c>
      <c r="G1242">
        <v>3601</v>
      </c>
      <c r="H1242" s="200">
        <v>0</v>
      </c>
      <c r="I1242">
        <f t="shared" si="131"/>
        <v>979</v>
      </c>
      <c r="J1242" s="193">
        <v>0</v>
      </c>
      <c r="K1242">
        <f t="shared" si="130"/>
        <v>945</v>
      </c>
      <c r="L1242" s="62">
        <f t="shared" si="132"/>
        <v>983</v>
      </c>
      <c r="M1242" s="304">
        <v>0.79</v>
      </c>
      <c r="N1242" s="301">
        <f>VLOOKUP(1436,季財報!A:N,8,0)</f>
        <v>2</v>
      </c>
    </row>
    <row r="1243" spans="1:14">
      <c r="A1243" s="187">
        <v>1438</v>
      </c>
      <c r="H1243" s="200">
        <v>0</v>
      </c>
      <c r="I1243">
        <f t="shared" si="131"/>
        <v>979</v>
      </c>
      <c r="J1243" s="193">
        <v>0</v>
      </c>
      <c r="K1243">
        <f t="shared" si="130"/>
        <v>945</v>
      </c>
      <c r="L1243" s="62">
        <f t="shared" si="132"/>
        <v>983</v>
      </c>
      <c r="M1243" s="304">
        <v>1.46</v>
      </c>
      <c r="N1243" s="301">
        <f>VLOOKUP(1438,季財報!A:N,8,0)</f>
        <v>4</v>
      </c>
    </row>
    <row r="1244" spans="1:14">
      <c r="A1244" s="187">
        <v>1439</v>
      </c>
      <c r="C1244">
        <v>-4</v>
      </c>
      <c r="H1244" s="200">
        <v>0</v>
      </c>
      <c r="I1244">
        <f t="shared" si="131"/>
        <v>979</v>
      </c>
      <c r="J1244" s="193">
        <v>0</v>
      </c>
      <c r="K1244">
        <f t="shared" si="130"/>
        <v>945</v>
      </c>
      <c r="L1244" s="62">
        <f t="shared" si="132"/>
        <v>983</v>
      </c>
      <c r="M1244" s="304">
        <v>0.79</v>
      </c>
      <c r="N1244" s="301">
        <f>VLOOKUP(1439,季財報!A:N,8,0)</f>
        <v>0</v>
      </c>
    </row>
    <row r="1245" spans="1:14">
      <c r="A1245" s="187">
        <v>1441</v>
      </c>
      <c r="C1245">
        <v>-6</v>
      </c>
      <c r="H1245" s="200">
        <v>0</v>
      </c>
      <c r="I1245">
        <f t="shared" si="131"/>
        <v>979</v>
      </c>
      <c r="J1245" s="193">
        <v>0</v>
      </c>
      <c r="K1245">
        <f t="shared" si="130"/>
        <v>945</v>
      </c>
      <c r="L1245" s="62">
        <f t="shared" si="132"/>
        <v>983</v>
      </c>
      <c r="M1245" s="304">
        <v>0.79</v>
      </c>
      <c r="N1245" s="301">
        <f>VLOOKUP(1441,季財報!A:N,8,0)</f>
        <v>2</v>
      </c>
    </row>
    <row r="1246" spans="1:14">
      <c r="A1246" s="187">
        <v>1443</v>
      </c>
      <c r="C1246">
        <v>-16</v>
      </c>
      <c r="H1246" s="200">
        <v>0</v>
      </c>
      <c r="I1246">
        <f t="shared" si="131"/>
        <v>979</v>
      </c>
      <c r="J1246" s="193">
        <v>0</v>
      </c>
      <c r="K1246">
        <f t="shared" si="130"/>
        <v>945</v>
      </c>
      <c r="L1246" s="62">
        <f t="shared" si="132"/>
        <v>983</v>
      </c>
      <c r="M1246" s="304">
        <v>2.76</v>
      </c>
      <c r="N1246" s="301">
        <f>VLOOKUP(1443,季財報!A:N,8,0)</f>
        <v>1</v>
      </c>
    </row>
    <row r="1247" spans="1:14">
      <c r="A1247" s="187">
        <v>1444</v>
      </c>
      <c r="C1247">
        <v>-9</v>
      </c>
      <c r="H1247" s="200">
        <v>0</v>
      </c>
      <c r="I1247">
        <f t="shared" si="131"/>
        <v>979</v>
      </c>
      <c r="J1247" s="193">
        <v>0</v>
      </c>
      <c r="K1247">
        <f t="shared" si="130"/>
        <v>945</v>
      </c>
      <c r="L1247" s="62">
        <f t="shared" si="132"/>
        <v>983</v>
      </c>
      <c r="M1247" s="304">
        <v>0.79</v>
      </c>
      <c r="N1247" s="301">
        <f>VLOOKUP(1444,季財報!A:N,8,0)</f>
        <v>2</v>
      </c>
    </row>
    <row r="1248" spans="1:14">
      <c r="A1248" s="187">
        <v>1446</v>
      </c>
      <c r="C1248">
        <v>-16</v>
      </c>
      <c r="H1248" s="200">
        <v>0</v>
      </c>
      <c r="I1248">
        <f t="shared" si="131"/>
        <v>979</v>
      </c>
      <c r="J1248" s="193">
        <v>0</v>
      </c>
      <c r="K1248">
        <f t="shared" si="130"/>
        <v>945</v>
      </c>
      <c r="L1248" s="62">
        <f t="shared" si="132"/>
        <v>983</v>
      </c>
      <c r="M1248" s="304">
        <v>0.79</v>
      </c>
      <c r="N1248" s="301">
        <f>VLOOKUP(1446,季財報!A:N,8,0)</f>
        <v>4</v>
      </c>
    </row>
    <row r="1249" spans="1:14">
      <c r="A1249" s="187">
        <v>1447</v>
      </c>
      <c r="C1249">
        <v>-300</v>
      </c>
      <c r="H1249" s="200">
        <v>0</v>
      </c>
      <c r="I1249">
        <f t="shared" si="131"/>
        <v>979</v>
      </c>
      <c r="J1249" s="193">
        <v>0</v>
      </c>
      <c r="K1249">
        <f t="shared" si="130"/>
        <v>945</v>
      </c>
      <c r="L1249" s="62">
        <f t="shared" si="132"/>
        <v>983</v>
      </c>
      <c r="M1249" s="304">
        <v>0.79</v>
      </c>
      <c r="N1249" s="301">
        <f>VLOOKUP(1447,季財報!A:N,8,0)</f>
        <v>1</v>
      </c>
    </row>
    <row r="1250" spans="1:14">
      <c r="A1250" s="187">
        <v>1449</v>
      </c>
      <c r="C1250">
        <v>-32</v>
      </c>
      <c r="H1250" s="200">
        <v>0</v>
      </c>
      <c r="I1250">
        <f t="shared" si="131"/>
        <v>979</v>
      </c>
      <c r="J1250" s="193">
        <v>0</v>
      </c>
      <c r="K1250">
        <f t="shared" si="130"/>
        <v>945</v>
      </c>
      <c r="L1250" s="62">
        <f t="shared" si="132"/>
        <v>983</v>
      </c>
      <c r="M1250" s="304">
        <v>0.79</v>
      </c>
      <c r="N1250" s="301">
        <f>VLOOKUP(1449,季財報!A:N,8,0)</f>
        <v>1</v>
      </c>
    </row>
    <row r="1251" spans="1:14">
      <c r="A1251" s="187">
        <v>1453</v>
      </c>
      <c r="C1251">
        <v>-14</v>
      </c>
      <c r="H1251" s="200">
        <v>0</v>
      </c>
      <c r="I1251">
        <f t="shared" si="131"/>
        <v>979</v>
      </c>
      <c r="J1251" s="193">
        <v>0</v>
      </c>
      <c r="K1251">
        <f t="shared" si="130"/>
        <v>945</v>
      </c>
      <c r="L1251" s="62">
        <f t="shared" si="132"/>
        <v>983</v>
      </c>
      <c r="M1251" s="304">
        <v>0.79</v>
      </c>
      <c r="N1251" s="301">
        <f>VLOOKUP(1453,季財報!A:N,8,0)</f>
        <v>0</v>
      </c>
    </row>
    <row r="1252" spans="1:14">
      <c r="A1252" s="187">
        <v>1455</v>
      </c>
      <c r="C1252">
        <v>-172</v>
      </c>
      <c r="H1252" s="200">
        <v>0</v>
      </c>
      <c r="I1252">
        <f t="shared" si="131"/>
        <v>979</v>
      </c>
      <c r="J1252" s="193">
        <v>0</v>
      </c>
      <c r="K1252">
        <f t="shared" si="130"/>
        <v>945</v>
      </c>
      <c r="L1252" s="62">
        <f t="shared" si="132"/>
        <v>983</v>
      </c>
      <c r="M1252" s="304">
        <v>0.79</v>
      </c>
      <c r="N1252" s="301">
        <f>VLOOKUP(1455,季財報!A:N,8,0)</f>
        <v>0</v>
      </c>
    </row>
    <row r="1253" spans="1:14">
      <c r="A1253" s="187">
        <v>1457</v>
      </c>
      <c r="C1253">
        <v>8</v>
      </c>
      <c r="D1253">
        <v>0</v>
      </c>
      <c r="E1253">
        <v>6249</v>
      </c>
      <c r="F1253">
        <v>6393</v>
      </c>
      <c r="G1253">
        <v>2190</v>
      </c>
      <c r="H1253" s="200">
        <v>0</v>
      </c>
      <c r="I1253">
        <f t="shared" si="131"/>
        <v>979</v>
      </c>
      <c r="J1253" s="193">
        <v>0</v>
      </c>
      <c r="K1253">
        <f t="shared" si="130"/>
        <v>945</v>
      </c>
      <c r="L1253" s="62">
        <f t="shared" si="132"/>
        <v>983</v>
      </c>
      <c r="M1253" s="304">
        <v>0.79</v>
      </c>
      <c r="N1253" s="301">
        <f>VLOOKUP(1457,季財報!A:N,8,0)</f>
        <v>2</v>
      </c>
    </row>
    <row r="1254" spans="1:14">
      <c r="A1254" s="187">
        <v>1463</v>
      </c>
      <c r="C1254">
        <v>3</v>
      </c>
      <c r="D1254">
        <v>880</v>
      </c>
      <c r="E1254">
        <v>399</v>
      </c>
      <c r="F1254">
        <v>2027</v>
      </c>
      <c r="G1254">
        <v>210</v>
      </c>
      <c r="H1254" s="200">
        <v>0</v>
      </c>
      <c r="I1254">
        <f t="shared" si="131"/>
        <v>979</v>
      </c>
      <c r="J1254" s="193">
        <v>0</v>
      </c>
      <c r="K1254">
        <f t="shared" si="130"/>
        <v>945</v>
      </c>
      <c r="L1254" s="62">
        <f t="shared" si="132"/>
        <v>983</v>
      </c>
      <c r="M1254" s="304">
        <v>0.79</v>
      </c>
      <c r="N1254" s="301">
        <f>VLOOKUP(1463,季財報!A:N,8,0)</f>
        <v>2</v>
      </c>
    </row>
    <row r="1255" spans="1:14">
      <c r="A1255" s="187">
        <v>1466</v>
      </c>
      <c r="C1255">
        <v>-2</v>
      </c>
      <c r="H1255" s="200">
        <v>0</v>
      </c>
      <c r="I1255">
        <f t="shared" si="131"/>
        <v>979</v>
      </c>
      <c r="J1255" s="193">
        <v>0</v>
      </c>
      <c r="K1255">
        <f t="shared" si="130"/>
        <v>945</v>
      </c>
      <c r="L1255" s="62">
        <f t="shared" si="132"/>
        <v>983</v>
      </c>
      <c r="M1255" s="304">
        <v>0.79</v>
      </c>
      <c r="N1255" s="301">
        <f>VLOOKUP(1466,季財報!A:N,8,0)</f>
        <v>1</v>
      </c>
    </row>
    <row r="1256" spans="1:14">
      <c r="A1256" s="187">
        <v>1468</v>
      </c>
      <c r="C1256">
        <v>-26</v>
      </c>
      <c r="H1256" s="200">
        <v>0</v>
      </c>
      <c r="I1256">
        <f t="shared" si="131"/>
        <v>979</v>
      </c>
      <c r="J1256" s="193">
        <v>0</v>
      </c>
      <c r="K1256">
        <f t="shared" si="130"/>
        <v>945</v>
      </c>
      <c r="L1256" s="62">
        <f t="shared" si="132"/>
        <v>983</v>
      </c>
      <c r="M1256" s="304">
        <v>1.84</v>
      </c>
      <c r="N1256" s="301">
        <f>VLOOKUP(1468,季財報!A:N,8,0)</f>
        <v>1</v>
      </c>
    </row>
    <row r="1257" spans="1:14">
      <c r="A1257" s="187">
        <v>1469</v>
      </c>
      <c r="C1257">
        <v>-5</v>
      </c>
      <c r="H1257" s="200">
        <v>0</v>
      </c>
      <c r="I1257">
        <f t="shared" si="131"/>
        <v>979</v>
      </c>
      <c r="J1257" s="193">
        <v>0</v>
      </c>
      <c r="K1257">
        <f t="shared" si="130"/>
        <v>945</v>
      </c>
      <c r="L1257" s="62">
        <f t="shared" si="132"/>
        <v>983</v>
      </c>
      <c r="M1257" s="304">
        <v>0.79</v>
      </c>
      <c r="N1257" s="301">
        <f>VLOOKUP(1469,季財報!A:N,8,0)</f>
        <v>1</v>
      </c>
    </row>
    <row r="1258" spans="1:14">
      <c r="A1258" s="187">
        <v>1471</v>
      </c>
      <c r="C1258">
        <v>-88</v>
      </c>
      <c r="H1258" s="200">
        <v>0</v>
      </c>
      <c r="I1258">
        <f t="shared" si="131"/>
        <v>979</v>
      </c>
      <c r="J1258" s="193">
        <v>0</v>
      </c>
      <c r="K1258">
        <f t="shared" si="130"/>
        <v>945</v>
      </c>
      <c r="L1258" s="62">
        <f t="shared" si="132"/>
        <v>983</v>
      </c>
      <c r="M1258" s="304">
        <v>0.79</v>
      </c>
      <c r="N1258" s="301">
        <f>VLOOKUP(1471,季財報!A:N,8,0)</f>
        <v>1</v>
      </c>
    </row>
    <row r="1259" spans="1:14">
      <c r="A1259" s="187">
        <v>1472</v>
      </c>
      <c r="C1259">
        <v>-7</v>
      </c>
      <c r="H1259" s="200">
        <v>0</v>
      </c>
      <c r="I1259">
        <f t="shared" si="131"/>
        <v>979</v>
      </c>
      <c r="J1259" s="193">
        <v>0</v>
      </c>
      <c r="K1259">
        <f t="shared" si="130"/>
        <v>945</v>
      </c>
      <c r="L1259" s="62">
        <f t="shared" si="132"/>
        <v>983</v>
      </c>
      <c r="M1259" s="304">
        <v>10.33</v>
      </c>
      <c r="N1259" s="301">
        <f>VLOOKUP(1472,季財報!A:N,8,0)</f>
        <v>0</v>
      </c>
    </row>
    <row r="1260" spans="1:14">
      <c r="A1260" s="187">
        <v>1473</v>
      </c>
      <c r="C1260">
        <v>-71</v>
      </c>
      <c r="H1260" s="200">
        <v>0</v>
      </c>
      <c r="I1260">
        <f t="shared" si="131"/>
        <v>979</v>
      </c>
      <c r="J1260" s="193">
        <v>0</v>
      </c>
      <c r="K1260">
        <f t="shared" si="130"/>
        <v>945</v>
      </c>
      <c r="L1260" s="62">
        <f t="shared" si="132"/>
        <v>983</v>
      </c>
      <c r="M1260" s="304">
        <v>0.79</v>
      </c>
      <c r="N1260" s="301">
        <f>VLOOKUP(1473,季財報!A:N,8,0)</f>
        <v>4</v>
      </c>
    </row>
    <row r="1261" spans="1:14">
      <c r="A1261" s="187">
        <v>1475</v>
      </c>
      <c r="C1261">
        <v>-13</v>
      </c>
      <c r="H1261" s="200">
        <v>0</v>
      </c>
      <c r="I1261">
        <f t="shared" si="131"/>
        <v>979</v>
      </c>
      <c r="J1261" s="193">
        <v>0</v>
      </c>
      <c r="K1261">
        <f t="shared" si="130"/>
        <v>945</v>
      </c>
      <c r="L1261" s="62">
        <f t="shared" si="132"/>
        <v>983</v>
      </c>
      <c r="M1261" s="304">
        <v>4.1500000000000004</v>
      </c>
      <c r="N1261" s="301">
        <f>VLOOKUP(1475,季財報!A:N,8,0)</f>
        <v>1</v>
      </c>
    </row>
    <row r="1262" spans="1:14">
      <c r="A1262" s="187">
        <v>1512</v>
      </c>
      <c r="C1262">
        <v>-32</v>
      </c>
      <c r="H1262" s="200">
        <v>0</v>
      </c>
      <c r="I1262">
        <f t="shared" si="131"/>
        <v>979</v>
      </c>
      <c r="J1262" s="193">
        <v>0</v>
      </c>
      <c r="K1262">
        <f t="shared" si="130"/>
        <v>945</v>
      </c>
      <c r="L1262" s="62">
        <f t="shared" si="132"/>
        <v>983</v>
      </c>
      <c r="M1262" s="304">
        <v>0.79</v>
      </c>
      <c r="N1262" s="301">
        <f>VLOOKUP(1512,季財報!A:N,8,0)</f>
        <v>5</v>
      </c>
    </row>
    <row r="1263" spans="1:14">
      <c r="A1263" s="187">
        <v>1516</v>
      </c>
      <c r="C1263">
        <v>-2</v>
      </c>
      <c r="H1263" s="200">
        <v>0</v>
      </c>
      <c r="I1263">
        <f t="shared" si="131"/>
        <v>979</v>
      </c>
      <c r="J1263" s="193">
        <v>0</v>
      </c>
      <c r="K1263">
        <f t="shared" si="130"/>
        <v>945</v>
      </c>
      <c r="L1263" s="62">
        <f t="shared" si="132"/>
        <v>983</v>
      </c>
      <c r="M1263" s="304">
        <v>1.1399999999999999</v>
      </c>
      <c r="N1263" s="301">
        <f>VLOOKUP(1516,季財報!A:N,8,0)</f>
        <v>2</v>
      </c>
    </row>
    <row r="1264" spans="1:14">
      <c r="A1264" s="187">
        <v>1517</v>
      </c>
      <c r="C1264">
        <v>17</v>
      </c>
      <c r="D1264">
        <v>2526</v>
      </c>
      <c r="E1264">
        <v>1547</v>
      </c>
      <c r="F1264">
        <v>3711</v>
      </c>
      <c r="G1264">
        <v>0</v>
      </c>
      <c r="H1264" s="200">
        <v>0</v>
      </c>
      <c r="I1264">
        <f t="shared" si="131"/>
        <v>979</v>
      </c>
      <c r="J1264" s="193">
        <v>0</v>
      </c>
      <c r="K1264">
        <f t="shared" si="130"/>
        <v>945</v>
      </c>
      <c r="L1264" s="62">
        <f t="shared" si="132"/>
        <v>983</v>
      </c>
      <c r="M1264" s="304">
        <v>0.79</v>
      </c>
      <c r="N1264" s="301">
        <f>VLOOKUP(1517,季財報!A:N,8,0)</f>
        <v>2</v>
      </c>
    </row>
    <row r="1265" spans="1:14">
      <c r="A1265" s="187">
        <v>1528</v>
      </c>
      <c r="C1265">
        <v>-21</v>
      </c>
      <c r="H1265" s="200">
        <v>0</v>
      </c>
      <c r="I1265">
        <f t="shared" si="131"/>
        <v>979</v>
      </c>
      <c r="J1265" s="193">
        <v>0</v>
      </c>
      <c r="K1265">
        <f t="shared" si="130"/>
        <v>945</v>
      </c>
      <c r="L1265" s="62">
        <f t="shared" si="132"/>
        <v>983</v>
      </c>
      <c r="M1265" s="304">
        <v>0.87</v>
      </c>
      <c r="N1265" s="301">
        <f>VLOOKUP(1528,季財報!A:N,8,0)</f>
        <v>1</v>
      </c>
    </row>
    <row r="1266" spans="1:14">
      <c r="A1266" s="187">
        <v>1529</v>
      </c>
      <c r="C1266">
        <v>-5</v>
      </c>
      <c r="H1266" s="200">
        <v>0</v>
      </c>
      <c r="I1266">
        <f t="shared" si="131"/>
        <v>979</v>
      </c>
      <c r="J1266" s="193">
        <v>0</v>
      </c>
      <c r="K1266">
        <f t="shared" si="130"/>
        <v>945</v>
      </c>
      <c r="L1266" s="62">
        <f t="shared" si="132"/>
        <v>983</v>
      </c>
      <c r="M1266" s="304">
        <v>0.79</v>
      </c>
      <c r="N1266" s="301">
        <f>VLOOKUP(1529,季財報!A:N,8,0)</f>
        <v>0</v>
      </c>
    </row>
    <row r="1267" spans="1:14">
      <c r="A1267" s="187">
        <v>1531</v>
      </c>
      <c r="C1267">
        <v>-6</v>
      </c>
      <c r="H1267" s="200">
        <v>0</v>
      </c>
      <c r="I1267">
        <f t="shared" si="131"/>
        <v>979</v>
      </c>
      <c r="J1267" s="193">
        <v>0</v>
      </c>
      <c r="K1267">
        <f t="shared" si="130"/>
        <v>945</v>
      </c>
      <c r="L1267" s="62">
        <f t="shared" si="132"/>
        <v>983</v>
      </c>
      <c r="M1267" s="304">
        <v>1.58</v>
      </c>
      <c r="N1267" s="301">
        <f>VLOOKUP(1531,季財報!A:N,8,0)</f>
        <v>3</v>
      </c>
    </row>
    <row r="1268" spans="1:14">
      <c r="A1268" s="187">
        <v>1538</v>
      </c>
      <c r="C1268">
        <v>-12</v>
      </c>
      <c r="H1268" s="200">
        <v>0</v>
      </c>
      <c r="I1268">
        <f t="shared" si="131"/>
        <v>979</v>
      </c>
      <c r="J1268" s="193">
        <v>0</v>
      </c>
      <c r="K1268">
        <f t="shared" si="130"/>
        <v>945</v>
      </c>
      <c r="L1268" s="62">
        <f t="shared" si="132"/>
        <v>983</v>
      </c>
      <c r="M1268" s="304">
        <v>0.79</v>
      </c>
      <c r="N1268" s="301">
        <f>VLOOKUP(1538,季財報!A:N,8,0)</f>
        <v>2</v>
      </c>
    </row>
    <row r="1269" spans="1:14">
      <c r="A1269" s="187">
        <v>1540</v>
      </c>
      <c r="C1269">
        <v>1</v>
      </c>
      <c r="D1269">
        <v>1009</v>
      </c>
      <c r="E1269">
        <v>369</v>
      </c>
      <c r="F1269">
        <v>1393</v>
      </c>
      <c r="G1269">
        <v>0</v>
      </c>
      <c r="H1269" s="200">
        <v>0</v>
      </c>
      <c r="I1269">
        <f t="shared" si="131"/>
        <v>979</v>
      </c>
      <c r="J1269" s="193">
        <v>0</v>
      </c>
      <c r="K1269">
        <f t="shared" si="130"/>
        <v>945</v>
      </c>
      <c r="L1269" s="62">
        <f t="shared" si="132"/>
        <v>983</v>
      </c>
      <c r="M1269" s="304">
        <v>0.79</v>
      </c>
      <c r="N1269" s="301">
        <f>VLOOKUP(1540,季財報!A:N,8,0)</f>
        <v>1</v>
      </c>
    </row>
    <row r="1270" spans="1:14">
      <c r="A1270" s="187">
        <v>1569</v>
      </c>
      <c r="C1270">
        <v>-52</v>
      </c>
      <c r="H1270" s="200">
        <v>0</v>
      </c>
      <c r="I1270">
        <f t="shared" si="131"/>
        <v>979</v>
      </c>
      <c r="J1270" s="193">
        <v>0</v>
      </c>
      <c r="K1270">
        <f t="shared" si="130"/>
        <v>945</v>
      </c>
      <c r="L1270" s="62">
        <f t="shared" si="132"/>
        <v>983</v>
      </c>
      <c r="M1270" s="304">
        <v>0.79</v>
      </c>
      <c r="N1270" s="301">
        <f>VLOOKUP(1569,季財報!A:N,8,0)</f>
        <v>1</v>
      </c>
    </row>
    <row r="1271" spans="1:14">
      <c r="A1271" s="187">
        <v>1584</v>
      </c>
      <c r="C1271">
        <v>-13</v>
      </c>
      <c r="H1271" s="200">
        <v>0</v>
      </c>
      <c r="I1271">
        <f t="shared" si="131"/>
        <v>979</v>
      </c>
      <c r="J1271" s="193">
        <v>0</v>
      </c>
      <c r="K1271">
        <f t="shared" si="130"/>
        <v>945</v>
      </c>
      <c r="L1271" s="62">
        <f t="shared" si="132"/>
        <v>983</v>
      </c>
      <c r="M1271" s="304">
        <v>6.28</v>
      </c>
      <c r="N1271" s="301">
        <f>VLOOKUP(1584,季財報!A:N,8,0)</f>
        <v>1</v>
      </c>
    </row>
    <row r="1272" spans="1:14">
      <c r="A1272" s="187">
        <v>1586</v>
      </c>
      <c r="C1272">
        <v>-12</v>
      </c>
      <c r="H1272" s="200">
        <v>0</v>
      </c>
      <c r="I1272">
        <f t="shared" si="131"/>
        <v>979</v>
      </c>
      <c r="J1272" s="193">
        <v>0</v>
      </c>
      <c r="K1272">
        <f t="shared" ref="K1272:K1335" si="133">RANK(0,J:J,0)</f>
        <v>945</v>
      </c>
      <c r="L1272" s="62">
        <f t="shared" si="132"/>
        <v>983</v>
      </c>
      <c r="M1272" s="304">
        <v>0.79</v>
      </c>
      <c r="N1272" s="301">
        <f>VLOOKUP(1586,季財報!A:N,8,0)</f>
        <v>0</v>
      </c>
    </row>
    <row r="1273" spans="1:14">
      <c r="A1273" s="187">
        <v>1608</v>
      </c>
      <c r="C1273">
        <v>-135</v>
      </c>
      <c r="H1273" s="200">
        <v>0</v>
      </c>
      <c r="I1273">
        <f t="shared" si="131"/>
        <v>979</v>
      </c>
      <c r="J1273" s="193">
        <v>0</v>
      </c>
      <c r="K1273">
        <f t="shared" si="133"/>
        <v>945</v>
      </c>
      <c r="L1273" s="62">
        <f t="shared" si="132"/>
        <v>983</v>
      </c>
      <c r="M1273" s="304">
        <v>0.79</v>
      </c>
      <c r="N1273" s="301">
        <f>VLOOKUP(1608,季財報!A:N,8,0)</f>
        <v>1</v>
      </c>
    </row>
    <row r="1274" spans="1:14">
      <c r="A1274" s="187">
        <v>1609</v>
      </c>
      <c r="C1274">
        <v>-23</v>
      </c>
      <c r="H1274" s="200">
        <v>0</v>
      </c>
      <c r="I1274">
        <f t="shared" si="131"/>
        <v>979</v>
      </c>
      <c r="J1274" s="193">
        <v>0</v>
      </c>
      <c r="K1274">
        <f t="shared" si="133"/>
        <v>945</v>
      </c>
      <c r="L1274" s="62">
        <f t="shared" si="132"/>
        <v>983</v>
      </c>
      <c r="M1274" s="304">
        <v>0.79</v>
      </c>
      <c r="N1274" s="301">
        <f>VLOOKUP(1609,季財報!A:N,8,0)</f>
        <v>0</v>
      </c>
    </row>
    <row r="1275" spans="1:14">
      <c r="A1275" s="187">
        <v>1611</v>
      </c>
      <c r="C1275">
        <v>-23</v>
      </c>
      <c r="H1275" s="200">
        <v>0</v>
      </c>
      <c r="I1275">
        <f t="shared" si="131"/>
        <v>979</v>
      </c>
      <c r="J1275" s="193">
        <v>0</v>
      </c>
      <c r="K1275">
        <f t="shared" si="133"/>
        <v>945</v>
      </c>
      <c r="L1275" s="62">
        <f t="shared" si="132"/>
        <v>983</v>
      </c>
      <c r="M1275" s="304">
        <v>0.79</v>
      </c>
      <c r="N1275" s="301">
        <f>VLOOKUP(1611,季財報!A:N,8,0)</f>
        <v>5</v>
      </c>
    </row>
    <row r="1276" spans="1:14">
      <c r="A1276" s="187">
        <v>1612</v>
      </c>
      <c r="C1276">
        <v>-30</v>
      </c>
      <c r="H1276" s="200">
        <v>0</v>
      </c>
      <c r="I1276">
        <f t="shared" si="131"/>
        <v>979</v>
      </c>
      <c r="J1276" s="193">
        <v>0</v>
      </c>
      <c r="K1276">
        <f t="shared" si="133"/>
        <v>945</v>
      </c>
      <c r="L1276" s="62">
        <f t="shared" si="132"/>
        <v>983</v>
      </c>
      <c r="M1276" s="304">
        <v>0.79</v>
      </c>
      <c r="N1276" s="301">
        <f>VLOOKUP(1612,季財報!A:N,8,0)</f>
        <v>1</v>
      </c>
    </row>
    <row r="1277" spans="1:14">
      <c r="A1277" s="187">
        <v>1616</v>
      </c>
      <c r="C1277">
        <v>3</v>
      </c>
      <c r="D1277">
        <v>990</v>
      </c>
      <c r="E1277">
        <v>836</v>
      </c>
      <c r="F1277">
        <v>1806</v>
      </c>
      <c r="G1277">
        <v>1550</v>
      </c>
      <c r="H1277" s="200">
        <v>0</v>
      </c>
      <c r="I1277">
        <f t="shared" si="131"/>
        <v>979</v>
      </c>
      <c r="J1277" s="193">
        <v>0</v>
      </c>
      <c r="K1277">
        <f t="shared" si="133"/>
        <v>945</v>
      </c>
      <c r="L1277" s="62">
        <f t="shared" si="132"/>
        <v>983</v>
      </c>
      <c r="M1277" s="304">
        <v>0.79</v>
      </c>
      <c r="N1277" s="301">
        <f>VLOOKUP(1616,季財報!A:N,8,0)</f>
        <v>1</v>
      </c>
    </row>
    <row r="1278" spans="1:14">
      <c r="A1278" s="187">
        <v>1626</v>
      </c>
      <c r="C1278">
        <v>-177</v>
      </c>
      <c r="H1278" s="200">
        <v>0</v>
      </c>
      <c r="I1278">
        <f t="shared" si="131"/>
        <v>979</v>
      </c>
      <c r="J1278" s="193">
        <v>0</v>
      </c>
      <c r="K1278">
        <f t="shared" si="133"/>
        <v>945</v>
      </c>
      <c r="L1278" s="62">
        <f t="shared" si="132"/>
        <v>983</v>
      </c>
      <c r="M1278" s="304">
        <v>1.36</v>
      </c>
      <c r="N1278" s="301">
        <f>VLOOKUP(1626,季財報!A:N,8,0)</f>
        <v>0</v>
      </c>
    </row>
    <row r="1279" spans="1:14">
      <c r="A1279" s="187">
        <v>1729</v>
      </c>
      <c r="C1279">
        <v>-15</v>
      </c>
      <c r="H1279" s="200">
        <v>0</v>
      </c>
      <c r="I1279">
        <f t="shared" si="131"/>
        <v>979</v>
      </c>
      <c r="J1279" s="193">
        <v>0</v>
      </c>
      <c r="K1279">
        <f t="shared" si="133"/>
        <v>945</v>
      </c>
      <c r="L1279" s="62">
        <f t="shared" si="132"/>
        <v>983</v>
      </c>
      <c r="M1279" s="304">
        <v>0.79</v>
      </c>
      <c r="N1279" s="301">
        <f>VLOOKUP(1729,季財報!A:N,8,0)</f>
        <v>4</v>
      </c>
    </row>
    <row r="1280" spans="1:14">
      <c r="A1280" s="187">
        <v>1732</v>
      </c>
      <c r="C1280">
        <v>0</v>
      </c>
      <c r="H1280" s="200">
        <v>0</v>
      </c>
      <c r="I1280">
        <f t="shared" si="131"/>
        <v>979</v>
      </c>
      <c r="J1280" s="193">
        <v>0</v>
      </c>
      <c r="K1280">
        <f t="shared" si="133"/>
        <v>945</v>
      </c>
      <c r="L1280" s="62">
        <f t="shared" si="132"/>
        <v>983</v>
      </c>
      <c r="M1280" s="304">
        <v>1.1399999999999999</v>
      </c>
      <c r="N1280" s="301">
        <f>VLOOKUP(1732,季財報!A:N,8,0)</f>
        <v>3</v>
      </c>
    </row>
    <row r="1281" spans="1:14">
      <c r="A1281" s="187">
        <v>1734</v>
      </c>
      <c r="C1281">
        <v>-65</v>
      </c>
      <c r="H1281" s="200">
        <v>0</v>
      </c>
      <c r="I1281">
        <f t="shared" si="131"/>
        <v>979</v>
      </c>
      <c r="J1281" s="193">
        <v>0</v>
      </c>
      <c r="K1281">
        <f t="shared" si="133"/>
        <v>945</v>
      </c>
      <c r="L1281" s="62">
        <f t="shared" si="132"/>
        <v>983</v>
      </c>
      <c r="M1281" s="304">
        <v>0.79</v>
      </c>
      <c r="N1281" s="301">
        <f>VLOOKUP(1734,季財報!A:N,8,0)</f>
        <v>2</v>
      </c>
    </row>
    <row r="1282" spans="1:14">
      <c r="A1282" s="187">
        <v>1742</v>
      </c>
      <c r="C1282">
        <v>-28</v>
      </c>
      <c r="H1282" s="200">
        <v>0</v>
      </c>
      <c r="I1282">
        <f t="shared" si="131"/>
        <v>979</v>
      </c>
      <c r="J1282" s="193">
        <v>0</v>
      </c>
      <c r="K1282">
        <f t="shared" si="133"/>
        <v>945</v>
      </c>
      <c r="L1282" s="62">
        <f t="shared" si="132"/>
        <v>983</v>
      </c>
      <c r="M1282" s="304">
        <v>0.79</v>
      </c>
      <c r="N1282" s="301">
        <f>VLOOKUP(1742,季財報!A:N,8,0)</f>
        <v>0</v>
      </c>
    </row>
    <row r="1283" spans="1:14">
      <c r="A1283" s="187">
        <v>1781</v>
      </c>
      <c r="C1283">
        <v>-16</v>
      </c>
      <c r="H1283" s="200">
        <v>0</v>
      </c>
      <c r="I1283">
        <f t="shared" si="131"/>
        <v>979</v>
      </c>
      <c r="J1283" s="193">
        <v>0</v>
      </c>
      <c r="K1283">
        <f t="shared" si="133"/>
        <v>945</v>
      </c>
      <c r="L1283" s="62">
        <f t="shared" si="132"/>
        <v>983</v>
      </c>
      <c r="M1283" s="304">
        <v>0.79</v>
      </c>
      <c r="N1283" s="301">
        <f>VLOOKUP(1781,季財報!A:N,8,0)</f>
        <v>4</v>
      </c>
    </row>
    <row r="1284" spans="1:14">
      <c r="A1284" s="187">
        <v>1783</v>
      </c>
      <c r="C1284">
        <v>-6</v>
      </c>
      <c r="H1284" s="200">
        <v>0</v>
      </c>
      <c r="I1284">
        <f t="shared" si="131"/>
        <v>979</v>
      </c>
      <c r="J1284" s="193">
        <v>0</v>
      </c>
      <c r="K1284">
        <f t="shared" si="133"/>
        <v>945</v>
      </c>
      <c r="L1284" s="62">
        <f t="shared" si="132"/>
        <v>983</v>
      </c>
      <c r="M1284" s="304">
        <v>1.1399999999999999</v>
      </c>
      <c r="N1284" s="301">
        <f>VLOOKUP(1783,季財報!A:N,8,0)</f>
        <v>2</v>
      </c>
    </row>
    <row r="1285" spans="1:14">
      <c r="A1285" s="187">
        <v>1784</v>
      </c>
      <c r="C1285">
        <v>-11</v>
      </c>
      <c r="H1285" s="200">
        <v>0</v>
      </c>
      <c r="I1285">
        <f t="shared" si="131"/>
        <v>979</v>
      </c>
      <c r="J1285" s="193">
        <v>0</v>
      </c>
      <c r="K1285">
        <f t="shared" si="133"/>
        <v>945</v>
      </c>
      <c r="L1285" s="62">
        <f t="shared" si="132"/>
        <v>983</v>
      </c>
      <c r="M1285" s="304">
        <v>1.36</v>
      </c>
      <c r="N1285" s="301">
        <f>VLOOKUP(1784,季財報!A:N,8,0)</f>
        <v>0</v>
      </c>
    </row>
    <row r="1286" spans="1:14">
      <c r="A1286" s="187">
        <v>1799</v>
      </c>
      <c r="C1286">
        <v>-31</v>
      </c>
      <c r="H1286" s="200">
        <v>0</v>
      </c>
      <c r="I1286">
        <f t="shared" si="131"/>
        <v>979</v>
      </c>
      <c r="J1286" s="193">
        <v>0</v>
      </c>
      <c r="K1286">
        <f t="shared" si="133"/>
        <v>945</v>
      </c>
      <c r="L1286" s="62">
        <f t="shared" si="132"/>
        <v>983</v>
      </c>
      <c r="M1286" s="304">
        <v>0.79</v>
      </c>
      <c r="N1286" s="301">
        <f>VLOOKUP(1799,季財報!A:N,8,0)</f>
        <v>3</v>
      </c>
    </row>
    <row r="1287" spans="1:14">
      <c r="A1287" s="187">
        <v>1802</v>
      </c>
      <c r="C1287">
        <v>-403</v>
      </c>
      <c r="H1287" s="200">
        <v>0</v>
      </c>
      <c r="I1287">
        <f t="shared" si="131"/>
        <v>979</v>
      </c>
      <c r="J1287" s="193">
        <v>0</v>
      </c>
      <c r="K1287">
        <f t="shared" si="133"/>
        <v>945</v>
      </c>
      <c r="L1287" s="62">
        <f t="shared" si="132"/>
        <v>983</v>
      </c>
      <c r="M1287" s="304">
        <v>0.79</v>
      </c>
      <c r="N1287" s="301">
        <f>VLOOKUP(1802,季財報!A:N,8,0)</f>
        <v>3</v>
      </c>
    </row>
    <row r="1288" spans="1:14">
      <c r="A1288" s="187">
        <v>1805</v>
      </c>
      <c r="C1288">
        <v>-24</v>
      </c>
      <c r="H1288" s="200">
        <v>0</v>
      </c>
      <c r="I1288">
        <f t="shared" si="131"/>
        <v>979</v>
      </c>
      <c r="J1288" s="193">
        <v>0</v>
      </c>
      <c r="K1288">
        <f t="shared" si="133"/>
        <v>945</v>
      </c>
      <c r="L1288" s="62">
        <f t="shared" si="132"/>
        <v>983</v>
      </c>
      <c r="M1288" s="304">
        <v>0.79</v>
      </c>
      <c r="N1288" s="301">
        <f>VLOOKUP(1805,季財報!A:N,8,0)</f>
        <v>1</v>
      </c>
    </row>
    <row r="1289" spans="1:14">
      <c r="A1289" s="187">
        <v>1809</v>
      </c>
      <c r="C1289">
        <v>6</v>
      </c>
      <c r="D1289">
        <v>2852</v>
      </c>
      <c r="E1289">
        <v>1746</v>
      </c>
      <c r="F1289">
        <v>4533</v>
      </c>
      <c r="G1289">
        <v>462</v>
      </c>
      <c r="H1289" s="200">
        <v>0</v>
      </c>
      <c r="I1289">
        <f t="shared" si="131"/>
        <v>979</v>
      </c>
      <c r="J1289" s="193">
        <v>0</v>
      </c>
      <c r="K1289">
        <f t="shared" si="133"/>
        <v>945</v>
      </c>
      <c r="L1289" s="62">
        <f t="shared" si="132"/>
        <v>983</v>
      </c>
      <c r="M1289" s="304">
        <v>0.79</v>
      </c>
      <c r="N1289" s="301">
        <f>VLOOKUP(1809,季財報!A:N,8,0)</f>
        <v>1</v>
      </c>
    </row>
    <row r="1290" spans="1:14">
      <c r="A1290" s="187">
        <v>1902</v>
      </c>
      <c r="C1290">
        <v>32</v>
      </c>
      <c r="D1290">
        <v>3050</v>
      </c>
      <c r="E1290">
        <v>4318</v>
      </c>
      <c r="F1290">
        <v>6431</v>
      </c>
      <c r="G1290">
        <v>764</v>
      </c>
      <c r="H1290" s="200">
        <v>0</v>
      </c>
      <c r="I1290">
        <f t="shared" si="131"/>
        <v>979</v>
      </c>
      <c r="J1290" s="193">
        <v>0</v>
      </c>
      <c r="K1290">
        <f t="shared" si="133"/>
        <v>945</v>
      </c>
      <c r="L1290" s="62">
        <f t="shared" si="132"/>
        <v>983</v>
      </c>
      <c r="M1290" s="304">
        <v>0.79</v>
      </c>
      <c r="N1290" s="301">
        <f>VLOOKUP(1902,季財報!A:N,8,0)</f>
        <v>3</v>
      </c>
    </row>
    <row r="1291" spans="1:14">
      <c r="A1291" s="187">
        <v>1903</v>
      </c>
      <c r="C1291">
        <v>-61</v>
      </c>
      <c r="H1291" s="200">
        <v>0</v>
      </c>
      <c r="I1291">
        <f t="shared" si="131"/>
        <v>979</v>
      </c>
      <c r="J1291" s="193">
        <v>0</v>
      </c>
      <c r="K1291">
        <f t="shared" si="133"/>
        <v>945</v>
      </c>
      <c r="L1291" s="62">
        <f t="shared" si="132"/>
        <v>983</v>
      </c>
      <c r="M1291" s="304">
        <v>0.79</v>
      </c>
      <c r="N1291" s="301">
        <f>VLOOKUP(1903,季財報!A:N,8,0)</f>
        <v>2</v>
      </c>
    </row>
    <row r="1292" spans="1:14">
      <c r="A1292" s="187">
        <v>2002</v>
      </c>
      <c r="C1292">
        <v>1785</v>
      </c>
      <c r="D1292">
        <v>0</v>
      </c>
      <c r="E1292">
        <v>451880</v>
      </c>
      <c r="F1292">
        <v>321673</v>
      </c>
      <c r="G1292">
        <v>110473</v>
      </c>
      <c r="H1292" s="200">
        <v>0</v>
      </c>
      <c r="I1292">
        <f t="shared" si="131"/>
        <v>979</v>
      </c>
      <c r="J1292" s="193">
        <v>0</v>
      </c>
      <c r="K1292">
        <f t="shared" si="133"/>
        <v>945</v>
      </c>
      <c r="L1292" s="62">
        <f t="shared" si="132"/>
        <v>983</v>
      </c>
      <c r="M1292" s="304">
        <v>0.79</v>
      </c>
      <c r="N1292" s="301">
        <f>VLOOKUP(2002,季財報!A:N,8,0)</f>
        <v>1</v>
      </c>
    </row>
    <row r="1293" spans="1:14">
      <c r="A1293" s="187">
        <v>2007</v>
      </c>
      <c r="C1293">
        <v>-36</v>
      </c>
      <c r="H1293" s="200">
        <v>0</v>
      </c>
      <c r="I1293">
        <f t="shared" si="131"/>
        <v>979</v>
      </c>
      <c r="J1293" s="193">
        <v>0</v>
      </c>
      <c r="K1293">
        <f t="shared" si="133"/>
        <v>945</v>
      </c>
      <c r="L1293" s="62">
        <f t="shared" si="132"/>
        <v>983</v>
      </c>
      <c r="M1293" s="304">
        <v>0.79</v>
      </c>
      <c r="N1293" s="301">
        <f>VLOOKUP(2007,季財報!A:N,8,0)</f>
        <v>1</v>
      </c>
    </row>
    <row r="1294" spans="1:14">
      <c r="A1294" s="187">
        <v>2008</v>
      </c>
      <c r="C1294">
        <v>-37</v>
      </c>
      <c r="H1294" s="200">
        <v>0</v>
      </c>
      <c r="I1294">
        <f t="shared" si="131"/>
        <v>979</v>
      </c>
      <c r="J1294" s="193">
        <v>0</v>
      </c>
      <c r="K1294">
        <f t="shared" si="133"/>
        <v>945</v>
      </c>
      <c r="L1294" s="62">
        <f t="shared" si="132"/>
        <v>983</v>
      </c>
      <c r="M1294" s="304">
        <v>0.79</v>
      </c>
      <c r="N1294" s="301">
        <f>VLOOKUP(2008,季財報!A:N,8,0)</f>
        <v>1</v>
      </c>
    </row>
    <row r="1295" spans="1:14">
      <c r="A1295" s="187">
        <v>2009</v>
      </c>
      <c r="C1295">
        <v>-105</v>
      </c>
      <c r="H1295" s="200">
        <v>0</v>
      </c>
      <c r="I1295">
        <f t="shared" si="131"/>
        <v>979</v>
      </c>
      <c r="J1295" s="193">
        <v>0</v>
      </c>
      <c r="K1295">
        <f t="shared" si="133"/>
        <v>945</v>
      </c>
      <c r="L1295" s="62">
        <f t="shared" si="132"/>
        <v>983</v>
      </c>
      <c r="M1295" s="304">
        <v>0.87</v>
      </c>
      <c r="N1295" s="301">
        <f>VLOOKUP(2009,季財報!A:N,8,0)</f>
        <v>1</v>
      </c>
    </row>
    <row r="1296" spans="1:14">
      <c r="A1296" s="187">
        <v>2014</v>
      </c>
      <c r="C1296">
        <v>-1</v>
      </c>
      <c r="H1296" s="200">
        <v>0</v>
      </c>
      <c r="I1296">
        <f t="shared" si="131"/>
        <v>979</v>
      </c>
      <c r="J1296" s="193">
        <v>0</v>
      </c>
      <c r="K1296">
        <f t="shared" si="133"/>
        <v>945</v>
      </c>
      <c r="L1296" s="62">
        <f t="shared" si="132"/>
        <v>983</v>
      </c>
      <c r="M1296" s="304">
        <v>0.79</v>
      </c>
      <c r="N1296" s="301">
        <f>VLOOKUP(2014,季財報!A:N,8,0)</f>
        <v>4</v>
      </c>
    </row>
    <row r="1297" spans="1:14">
      <c r="A1297" s="187">
        <v>2020</v>
      </c>
      <c r="C1297">
        <v>-91</v>
      </c>
      <c r="H1297" s="200">
        <v>0</v>
      </c>
      <c r="I1297">
        <f t="shared" si="131"/>
        <v>979</v>
      </c>
      <c r="J1297" s="193">
        <v>0</v>
      </c>
      <c r="K1297">
        <f t="shared" si="133"/>
        <v>945</v>
      </c>
      <c r="L1297" s="62">
        <f t="shared" si="132"/>
        <v>983</v>
      </c>
      <c r="M1297" s="304">
        <v>0.79</v>
      </c>
      <c r="N1297" s="301">
        <f>VLOOKUP(2020,季財報!A:N,8,0)</f>
        <v>0</v>
      </c>
    </row>
    <row r="1298" spans="1:14">
      <c r="A1298" s="187">
        <v>2022</v>
      </c>
      <c r="C1298">
        <v>-82</v>
      </c>
      <c r="H1298" s="200">
        <v>0</v>
      </c>
      <c r="I1298">
        <f t="shared" si="131"/>
        <v>979</v>
      </c>
      <c r="J1298" s="193">
        <v>0</v>
      </c>
      <c r="K1298">
        <f t="shared" si="133"/>
        <v>945</v>
      </c>
      <c r="L1298" s="62">
        <f t="shared" si="132"/>
        <v>983</v>
      </c>
      <c r="M1298" s="304">
        <v>0.79</v>
      </c>
      <c r="N1298" s="301">
        <f>VLOOKUP(2022,季財報!A:N,8,0)</f>
        <v>1</v>
      </c>
    </row>
    <row r="1299" spans="1:14">
      <c r="A1299" s="187">
        <v>2025</v>
      </c>
      <c r="C1299">
        <v>-70</v>
      </c>
      <c r="H1299" s="200">
        <v>0</v>
      </c>
      <c r="I1299">
        <f t="shared" si="131"/>
        <v>979</v>
      </c>
      <c r="J1299" s="193">
        <v>0</v>
      </c>
      <c r="K1299">
        <f t="shared" si="133"/>
        <v>945</v>
      </c>
      <c r="L1299" s="62">
        <f t="shared" si="132"/>
        <v>983</v>
      </c>
      <c r="M1299" s="304">
        <v>0.79</v>
      </c>
      <c r="N1299" s="301">
        <f>VLOOKUP(2025,季財報!A:N,8,0)</f>
        <v>1</v>
      </c>
    </row>
    <row r="1300" spans="1:14">
      <c r="A1300" s="187">
        <v>2027</v>
      </c>
      <c r="C1300">
        <v>-233</v>
      </c>
      <c r="H1300" s="200">
        <v>0</v>
      </c>
      <c r="I1300">
        <f t="shared" si="131"/>
        <v>979</v>
      </c>
      <c r="J1300" s="193">
        <v>0</v>
      </c>
      <c r="K1300">
        <f t="shared" si="133"/>
        <v>945</v>
      </c>
      <c r="L1300" s="62">
        <f t="shared" si="132"/>
        <v>983</v>
      </c>
      <c r="M1300" s="304">
        <v>0.79</v>
      </c>
      <c r="N1300" s="301">
        <f>VLOOKUP(2027,季財報!A:N,8,0)</f>
        <v>1</v>
      </c>
    </row>
    <row r="1301" spans="1:14">
      <c r="A1301" s="187">
        <v>2028</v>
      </c>
      <c r="C1301">
        <v>-300</v>
      </c>
      <c r="H1301" s="200">
        <v>0</v>
      </c>
      <c r="I1301">
        <f t="shared" si="131"/>
        <v>979</v>
      </c>
      <c r="J1301" s="193">
        <v>0</v>
      </c>
      <c r="K1301">
        <f t="shared" si="133"/>
        <v>945</v>
      </c>
      <c r="L1301" s="62">
        <f t="shared" si="132"/>
        <v>983</v>
      </c>
      <c r="M1301" s="304">
        <v>0.79</v>
      </c>
      <c r="N1301" s="301">
        <f>VLOOKUP(2028,季財報!A:N,8,0)</f>
        <v>1</v>
      </c>
    </row>
    <row r="1302" spans="1:14">
      <c r="A1302" s="187">
        <v>2030</v>
      </c>
      <c r="C1302">
        <v>-38</v>
      </c>
      <c r="H1302" s="200">
        <v>0</v>
      </c>
      <c r="I1302">
        <f t="shared" si="131"/>
        <v>979</v>
      </c>
      <c r="J1302" s="193">
        <v>0</v>
      </c>
      <c r="K1302">
        <f t="shared" si="133"/>
        <v>945</v>
      </c>
      <c r="L1302" s="62">
        <f t="shared" si="132"/>
        <v>983</v>
      </c>
      <c r="M1302" s="304">
        <v>0.79</v>
      </c>
      <c r="N1302" s="301">
        <f>VLOOKUP(2030,季財報!A:N,8,0)</f>
        <v>2</v>
      </c>
    </row>
    <row r="1303" spans="1:14">
      <c r="A1303" s="187">
        <v>2031</v>
      </c>
      <c r="C1303">
        <v>-92</v>
      </c>
      <c r="H1303" s="200">
        <v>0</v>
      </c>
      <c r="I1303">
        <f t="shared" si="131"/>
        <v>979</v>
      </c>
      <c r="J1303" s="193">
        <v>0</v>
      </c>
      <c r="K1303">
        <f t="shared" si="133"/>
        <v>945</v>
      </c>
      <c r="L1303" s="62">
        <f t="shared" si="132"/>
        <v>983</v>
      </c>
      <c r="M1303" s="304">
        <v>0.79</v>
      </c>
      <c r="N1303" s="301">
        <f>VLOOKUP(2031,季財報!A:N,8,0)</f>
        <v>0</v>
      </c>
    </row>
    <row r="1304" spans="1:14">
      <c r="A1304" s="187">
        <v>2032</v>
      </c>
      <c r="C1304">
        <v>-11</v>
      </c>
      <c r="H1304" s="200">
        <v>0</v>
      </c>
      <c r="I1304">
        <f t="shared" ref="I1304:I1367" si="134">RANK(0,H:H,0)</f>
        <v>979</v>
      </c>
      <c r="J1304" s="193">
        <v>0</v>
      </c>
      <c r="K1304">
        <f t="shared" si="133"/>
        <v>945</v>
      </c>
      <c r="L1304" s="62">
        <f t="shared" ref="L1304:L1367" si="135">RANK(0.79,M:M,0)</f>
        <v>983</v>
      </c>
      <c r="M1304" s="304">
        <v>1.58</v>
      </c>
      <c r="N1304" s="301">
        <f>VLOOKUP(2032,季財報!A:N,8,0)</f>
        <v>3</v>
      </c>
    </row>
    <row r="1305" spans="1:14">
      <c r="A1305" s="187">
        <v>2033</v>
      </c>
      <c r="C1305">
        <v>-2</v>
      </c>
      <c r="H1305" s="200">
        <v>0</v>
      </c>
      <c r="I1305">
        <f t="shared" si="134"/>
        <v>979</v>
      </c>
      <c r="J1305" s="193">
        <v>0</v>
      </c>
      <c r="K1305">
        <f t="shared" si="133"/>
        <v>945</v>
      </c>
      <c r="L1305" s="62">
        <f t="shared" si="135"/>
        <v>983</v>
      </c>
      <c r="M1305" s="304">
        <v>0.79</v>
      </c>
      <c r="N1305" s="301">
        <f>VLOOKUP(2033,季財報!A:N,8,0)</f>
        <v>1</v>
      </c>
    </row>
    <row r="1306" spans="1:14">
      <c r="A1306" s="187">
        <v>2035</v>
      </c>
      <c r="C1306">
        <v>-404</v>
      </c>
      <c r="H1306" s="200">
        <v>0</v>
      </c>
      <c r="I1306">
        <f t="shared" si="134"/>
        <v>979</v>
      </c>
      <c r="J1306" s="193">
        <v>0</v>
      </c>
      <c r="K1306">
        <f t="shared" si="133"/>
        <v>945</v>
      </c>
      <c r="L1306" s="62">
        <f t="shared" si="135"/>
        <v>983</v>
      </c>
      <c r="M1306" s="304">
        <v>0.79</v>
      </c>
      <c r="N1306" s="301">
        <f>VLOOKUP(2035,季財報!A:N,8,0)</f>
        <v>2</v>
      </c>
    </row>
    <row r="1307" spans="1:14">
      <c r="A1307" s="187">
        <v>2038</v>
      </c>
      <c r="C1307">
        <v>-62</v>
      </c>
      <c r="H1307" s="200">
        <v>0</v>
      </c>
      <c r="I1307">
        <f t="shared" si="134"/>
        <v>979</v>
      </c>
      <c r="J1307" s="193">
        <v>0</v>
      </c>
      <c r="K1307">
        <f t="shared" si="133"/>
        <v>945</v>
      </c>
      <c r="L1307" s="62">
        <f t="shared" si="135"/>
        <v>983</v>
      </c>
      <c r="M1307" s="304">
        <v>1.01</v>
      </c>
      <c r="N1307" s="301">
        <f>VLOOKUP(2038,季財報!A:N,8,0)</f>
        <v>2</v>
      </c>
    </row>
    <row r="1308" spans="1:14">
      <c r="A1308" s="187">
        <v>2061</v>
      </c>
      <c r="C1308">
        <v>-19</v>
      </c>
      <c r="H1308" s="200">
        <v>0</v>
      </c>
      <c r="I1308">
        <f t="shared" si="134"/>
        <v>979</v>
      </c>
      <c r="J1308" s="193">
        <v>0</v>
      </c>
      <c r="K1308">
        <f t="shared" si="133"/>
        <v>945</v>
      </c>
      <c r="L1308" s="62">
        <f t="shared" si="135"/>
        <v>983</v>
      </c>
      <c r="M1308" s="304">
        <v>0.79</v>
      </c>
      <c r="N1308" s="301">
        <f>VLOOKUP(2061,季財報!A:N,8,0)</f>
        <v>0</v>
      </c>
    </row>
    <row r="1309" spans="1:14">
      <c r="A1309" s="187">
        <v>2067</v>
      </c>
      <c r="C1309">
        <v>-11</v>
      </c>
      <c r="H1309" s="200">
        <v>0</v>
      </c>
      <c r="I1309">
        <f t="shared" si="134"/>
        <v>979</v>
      </c>
      <c r="J1309" s="193">
        <v>0</v>
      </c>
      <c r="K1309">
        <f t="shared" si="133"/>
        <v>945</v>
      </c>
      <c r="L1309" s="62">
        <f t="shared" si="135"/>
        <v>983</v>
      </c>
      <c r="M1309" s="304">
        <v>0.79</v>
      </c>
      <c r="N1309" s="301">
        <f>VLOOKUP(2067,季財報!A:N,8,0)</f>
        <v>2</v>
      </c>
    </row>
    <row r="1310" spans="1:14">
      <c r="A1310" s="187">
        <v>2206</v>
      </c>
      <c r="C1310">
        <v>71</v>
      </c>
      <c r="D1310">
        <v>3342</v>
      </c>
      <c r="E1310">
        <v>11388</v>
      </c>
      <c r="F1310">
        <v>19472</v>
      </c>
      <c r="G1310">
        <v>15426</v>
      </c>
      <c r="H1310" s="200">
        <v>0</v>
      </c>
      <c r="I1310">
        <f t="shared" si="134"/>
        <v>979</v>
      </c>
      <c r="J1310" s="193">
        <v>0</v>
      </c>
      <c r="K1310">
        <f t="shared" si="133"/>
        <v>945</v>
      </c>
      <c r="L1310" s="62">
        <f t="shared" si="135"/>
        <v>983</v>
      </c>
      <c r="M1310" s="304">
        <v>0.79</v>
      </c>
      <c r="N1310" s="301">
        <f>VLOOKUP(2206,季財報!A:N,8,0)</f>
        <v>2</v>
      </c>
    </row>
    <row r="1311" spans="1:14">
      <c r="A1311" s="187">
        <v>2208</v>
      </c>
      <c r="C1311">
        <v>60</v>
      </c>
      <c r="D1311">
        <v>3421</v>
      </c>
      <c r="E1311">
        <v>10934</v>
      </c>
      <c r="F1311">
        <v>13663</v>
      </c>
      <c r="G1311">
        <v>79</v>
      </c>
      <c r="H1311" s="200">
        <v>0</v>
      </c>
      <c r="I1311">
        <f t="shared" si="134"/>
        <v>979</v>
      </c>
      <c r="J1311" s="193">
        <v>0</v>
      </c>
      <c r="K1311">
        <f t="shared" si="133"/>
        <v>945</v>
      </c>
      <c r="L1311" s="62">
        <f t="shared" si="135"/>
        <v>983</v>
      </c>
      <c r="M1311" s="304">
        <v>0.87</v>
      </c>
      <c r="N1311" s="301">
        <f>VLOOKUP(2208,季財報!A:N,8,0)</f>
        <v>4</v>
      </c>
    </row>
    <row r="1312" spans="1:14">
      <c r="A1312" s="187">
        <v>2230</v>
      </c>
      <c r="C1312">
        <v>2</v>
      </c>
      <c r="D1312">
        <v>280</v>
      </c>
      <c r="E1312">
        <v>270</v>
      </c>
      <c r="F1312">
        <v>539</v>
      </c>
      <c r="G1312">
        <v>132</v>
      </c>
      <c r="H1312" s="200">
        <v>0</v>
      </c>
      <c r="I1312">
        <f t="shared" si="134"/>
        <v>979</v>
      </c>
      <c r="J1312" s="193">
        <v>0</v>
      </c>
      <c r="K1312">
        <f t="shared" si="133"/>
        <v>945</v>
      </c>
      <c r="L1312" s="62">
        <f t="shared" si="135"/>
        <v>983</v>
      </c>
      <c r="M1312" s="304">
        <v>0.79</v>
      </c>
      <c r="N1312" s="301">
        <f>VLOOKUP(2230,季財報!A:N,8,0)</f>
        <v>1</v>
      </c>
    </row>
    <row r="1313" spans="1:14">
      <c r="A1313" s="187">
        <v>2303</v>
      </c>
      <c r="C1313">
        <v>1117</v>
      </c>
      <c r="D1313">
        <v>48373</v>
      </c>
      <c r="E1313">
        <v>183891</v>
      </c>
      <c r="F1313">
        <v>223998</v>
      </c>
      <c r="G1313">
        <v>8836</v>
      </c>
      <c r="H1313" s="200">
        <v>0</v>
      </c>
      <c r="I1313">
        <f t="shared" si="134"/>
        <v>979</v>
      </c>
      <c r="J1313" s="193">
        <v>0</v>
      </c>
      <c r="K1313">
        <f t="shared" si="133"/>
        <v>945</v>
      </c>
      <c r="L1313" s="62">
        <f t="shared" si="135"/>
        <v>983</v>
      </c>
      <c r="M1313" s="304">
        <v>0.79</v>
      </c>
      <c r="N1313" s="301">
        <f>VLOOKUP(2303,季財報!A:N,8,0)</f>
        <v>2</v>
      </c>
    </row>
    <row r="1314" spans="1:14">
      <c r="A1314" s="187">
        <v>2305</v>
      </c>
      <c r="C1314">
        <v>-25</v>
      </c>
      <c r="H1314" s="200">
        <v>0</v>
      </c>
      <c r="I1314">
        <f t="shared" si="134"/>
        <v>979</v>
      </c>
      <c r="J1314" s="193">
        <v>0</v>
      </c>
      <c r="K1314">
        <f t="shared" si="133"/>
        <v>945</v>
      </c>
      <c r="L1314" s="62">
        <f t="shared" si="135"/>
        <v>983</v>
      </c>
      <c r="M1314" s="304">
        <v>0.9</v>
      </c>
      <c r="N1314" s="301">
        <f>VLOOKUP(2305,季財報!A:N,8,0)</f>
        <v>1</v>
      </c>
    </row>
    <row r="1315" spans="1:14">
      <c r="A1315" s="187">
        <v>2314</v>
      </c>
      <c r="C1315">
        <v>-18</v>
      </c>
      <c r="H1315" s="200">
        <v>0</v>
      </c>
      <c r="I1315">
        <f t="shared" si="134"/>
        <v>979</v>
      </c>
      <c r="J1315" s="193">
        <v>0</v>
      </c>
      <c r="K1315">
        <f t="shared" si="133"/>
        <v>945</v>
      </c>
      <c r="L1315" s="62">
        <f t="shared" si="135"/>
        <v>983</v>
      </c>
      <c r="M1315" s="304">
        <v>0.79</v>
      </c>
      <c r="N1315" s="301">
        <f>VLOOKUP(2314,季財報!A:N,8,0)</f>
        <v>4</v>
      </c>
    </row>
    <row r="1316" spans="1:14">
      <c r="A1316" s="187">
        <v>2316</v>
      </c>
      <c r="C1316">
        <v>44</v>
      </c>
      <c r="D1316">
        <v>8617</v>
      </c>
      <c r="E1316">
        <v>1873</v>
      </c>
      <c r="F1316">
        <v>10833</v>
      </c>
      <c r="G1316">
        <v>1134</v>
      </c>
      <c r="H1316" s="200">
        <v>0</v>
      </c>
      <c r="I1316">
        <f t="shared" si="134"/>
        <v>979</v>
      </c>
      <c r="J1316" s="193">
        <v>0</v>
      </c>
      <c r="K1316">
        <f t="shared" si="133"/>
        <v>945</v>
      </c>
      <c r="L1316" s="62">
        <f t="shared" si="135"/>
        <v>983</v>
      </c>
      <c r="M1316" s="304">
        <v>2.09</v>
      </c>
      <c r="N1316" s="301">
        <f>VLOOKUP(2316,季財報!A:N,8,0)</f>
        <v>2</v>
      </c>
    </row>
    <row r="1317" spans="1:14">
      <c r="A1317" s="187">
        <v>2321</v>
      </c>
      <c r="C1317">
        <v>-4</v>
      </c>
      <c r="H1317" s="200">
        <v>0</v>
      </c>
      <c r="I1317">
        <f t="shared" si="134"/>
        <v>979</v>
      </c>
      <c r="J1317" s="193">
        <v>0</v>
      </c>
      <c r="K1317">
        <f t="shared" si="133"/>
        <v>945</v>
      </c>
      <c r="L1317" s="62">
        <f t="shared" si="135"/>
        <v>983</v>
      </c>
      <c r="M1317" s="304">
        <v>3.37</v>
      </c>
      <c r="N1317" s="301">
        <f>VLOOKUP(2321,季財報!A:N,8,0)</f>
        <v>2</v>
      </c>
    </row>
    <row r="1318" spans="1:14">
      <c r="A1318" s="187">
        <v>2323</v>
      </c>
      <c r="C1318">
        <v>-557</v>
      </c>
      <c r="H1318" s="200">
        <v>0</v>
      </c>
      <c r="I1318">
        <f t="shared" si="134"/>
        <v>979</v>
      </c>
      <c r="J1318" s="193">
        <v>0</v>
      </c>
      <c r="K1318">
        <f t="shared" si="133"/>
        <v>945</v>
      </c>
      <c r="L1318" s="62">
        <f t="shared" si="135"/>
        <v>983</v>
      </c>
      <c r="M1318" s="304">
        <v>3.83</v>
      </c>
      <c r="N1318" s="301">
        <f>VLOOKUP(2323,季財報!A:N,8,0)</f>
        <v>0</v>
      </c>
    </row>
    <row r="1319" spans="1:14">
      <c r="A1319" s="187">
        <v>2332</v>
      </c>
      <c r="C1319">
        <v>-250</v>
      </c>
      <c r="H1319" s="200">
        <v>0</v>
      </c>
      <c r="I1319">
        <f t="shared" si="134"/>
        <v>979</v>
      </c>
      <c r="J1319" s="193">
        <v>0</v>
      </c>
      <c r="K1319">
        <f t="shared" si="133"/>
        <v>945</v>
      </c>
      <c r="L1319" s="62">
        <f t="shared" si="135"/>
        <v>983</v>
      </c>
      <c r="M1319" s="304">
        <v>0.79</v>
      </c>
      <c r="N1319" s="301">
        <f>VLOOKUP(2332,季財報!A:N,8,0)</f>
        <v>2</v>
      </c>
    </row>
    <row r="1320" spans="1:14">
      <c r="A1320" s="187">
        <v>2337</v>
      </c>
      <c r="C1320">
        <v>-970</v>
      </c>
      <c r="H1320" s="200">
        <v>0</v>
      </c>
      <c r="I1320">
        <f t="shared" si="134"/>
        <v>979</v>
      </c>
      <c r="J1320" s="193">
        <v>0</v>
      </c>
      <c r="K1320">
        <f t="shared" si="133"/>
        <v>945</v>
      </c>
      <c r="L1320" s="62">
        <f t="shared" si="135"/>
        <v>983</v>
      </c>
      <c r="M1320" s="304">
        <v>1.01</v>
      </c>
      <c r="N1320" s="301">
        <f>VLOOKUP(2337,季財報!A:N,8,0)</f>
        <v>3</v>
      </c>
    </row>
    <row r="1321" spans="1:14">
      <c r="A1321" s="187">
        <v>2338</v>
      </c>
      <c r="C1321">
        <v>0</v>
      </c>
      <c r="H1321" s="200">
        <v>0</v>
      </c>
      <c r="I1321">
        <f t="shared" si="134"/>
        <v>979</v>
      </c>
      <c r="J1321" s="193">
        <v>0</v>
      </c>
      <c r="K1321">
        <f t="shared" si="133"/>
        <v>945</v>
      </c>
      <c r="L1321" s="62">
        <f t="shared" si="135"/>
        <v>983</v>
      </c>
      <c r="M1321" s="304">
        <v>1.1399999999999999</v>
      </c>
      <c r="N1321" s="301">
        <f>VLOOKUP(2338,季財報!A:N,8,0)</f>
        <v>3</v>
      </c>
    </row>
    <row r="1322" spans="1:14">
      <c r="A1322" s="187">
        <v>2342</v>
      </c>
      <c r="C1322">
        <v>-104</v>
      </c>
      <c r="H1322" s="200">
        <v>0</v>
      </c>
      <c r="I1322">
        <f t="shared" si="134"/>
        <v>979</v>
      </c>
      <c r="J1322" s="193">
        <v>0</v>
      </c>
      <c r="K1322">
        <f t="shared" si="133"/>
        <v>945</v>
      </c>
      <c r="L1322" s="62">
        <f t="shared" si="135"/>
        <v>983</v>
      </c>
      <c r="M1322" s="304">
        <v>0.79</v>
      </c>
      <c r="N1322" s="301">
        <f>VLOOKUP(2342,季財報!A:N,8,0)</f>
        <v>1</v>
      </c>
    </row>
    <row r="1323" spans="1:14">
      <c r="A1323" s="187">
        <v>2349</v>
      </c>
      <c r="C1323">
        <v>-476</v>
      </c>
      <c r="H1323" s="200">
        <v>0</v>
      </c>
      <c r="I1323">
        <f t="shared" si="134"/>
        <v>979</v>
      </c>
      <c r="J1323" s="193">
        <v>0</v>
      </c>
      <c r="K1323">
        <f t="shared" si="133"/>
        <v>945</v>
      </c>
      <c r="L1323" s="62">
        <f t="shared" si="135"/>
        <v>983</v>
      </c>
      <c r="M1323" s="304">
        <v>0.79</v>
      </c>
      <c r="N1323" s="301">
        <f>VLOOKUP(2349,季財報!A:N,8,0)</f>
        <v>0</v>
      </c>
    </row>
    <row r="1324" spans="1:14">
      <c r="A1324" s="187">
        <v>2353</v>
      </c>
      <c r="C1324">
        <v>-641</v>
      </c>
      <c r="H1324" s="200">
        <v>0</v>
      </c>
      <c r="I1324">
        <f t="shared" si="134"/>
        <v>979</v>
      </c>
      <c r="J1324" s="193">
        <v>0</v>
      </c>
      <c r="K1324">
        <f t="shared" si="133"/>
        <v>945</v>
      </c>
      <c r="L1324" s="62">
        <f t="shared" si="135"/>
        <v>983</v>
      </c>
      <c r="M1324" s="304">
        <v>0.79</v>
      </c>
      <c r="N1324" s="301">
        <f>VLOOKUP(2353,季財報!A:N,8,0)</f>
        <v>1</v>
      </c>
    </row>
    <row r="1325" spans="1:14">
      <c r="A1325" s="187">
        <v>2358</v>
      </c>
      <c r="C1325">
        <v>-62</v>
      </c>
      <c r="H1325" s="200">
        <v>0</v>
      </c>
      <c r="I1325">
        <f t="shared" si="134"/>
        <v>979</v>
      </c>
      <c r="J1325" s="193">
        <v>0</v>
      </c>
      <c r="K1325">
        <f t="shared" si="133"/>
        <v>945</v>
      </c>
      <c r="L1325" s="62">
        <f t="shared" si="135"/>
        <v>983</v>
      </c>
      <c r="M1325" s="304">
        <v>0.79</v>
      </c>
      <c r="N1325" s="301">
        <f>VLOOKUP(2358,季財報!A:N,8,0)</f>
        <v>2</v>
      </c>
    </row>
    <row r="1326" spans="1:14">
      <c r="A1326" s="187">
        <v>2361</v>
      </c>
      <c r="C1326">
        <v>-23</v>
      </c>
      <c r="H1326" s="200">
        <v>0</v>
      </c>
      <c r="I1326">
        <f t="shared" si="134"/>
        <v>979</v>
      </c>
      <c r="J1326" s="193">
        <v>0</v>
      </c>
      <c r="K1326">
        <f t="shared" si="133"/>
        <v>945</v>
      </c>
      <c r="L1326" s="62">
        <f t="shared" si="135"/>
        <v>983</v>
      </c>
      <c r="M1326" s="304">
        <v>1.01</v>
      </c>
      <c r="N1326" s="301">
        <f>VLOOKUP(2361,季財報!A:N,8,0)</f>
        <v>3</v>
      </c>
    </row>
    <row r="1327" spans="1:14">
      <c r="A1327" s="187">
        <v>2363</v>
      </c>
      <c r="C1327">
        <v>-86</v>
      </c>
      <c r="H1327" s="200">
        <v>0</v>
      </c>
      <c r="I1327">
        <f t="shared" si="134"/>
        <v>979</v>
      </c>
      <c r="J1327" s="193">
        <v>0</v>
      </c>
      <c r="K1327">
        <f t="shared" si="133"/>
        <v>945</v>
      </c>
      <c r="L1327" s="62">
        <f t="shared" si="135"/>
        <v>983</v>
      </c>
      <c r="M1327" s="304">
        <v>1.36</v>
      </c>
      <c r="N1327" s="301">
        <f>VLOOKUP(2363,季財報!A:N,8,0)</f>
        <v>2</v>
      </c>
    </row>
    <row r="1328" spans="1:14">
      <c r="A1328" s="187">
        <v>2364</v>
      </c>
      <c r="C1328">
        <v>-58</v>
      </c>
      <c r="H1328" s="200">
        <v>0</v>
      </c>
      <c r="I1328">
        <f t="shared" si="134"/>
        <v>979</v>
      </c>
      <c r="J1328" s="193">
        <v>0</v>
      </c>
      <c r="K1328">
        <f t="shared" si="133"/>
        <v>945</v>
      </c>
      <c r="L1328" s="62">
        <f t="shared" si="135"/>
        <v>983</v>
      </c>
      <c r="M1328" s="304">
        <v>1.58</v>
      </c>
      <c r="N1328" s="301">
        <f>VLOOKUP(2364,季財報!A:N,8,0)</f>
        <v>4</v>
      </c>
    </row>
    <row r="1329" spans="1:14">
      <c r="A1329" s="187">
        <v>2365</v>
      </c>
      <c r="C1329">
        <v>-6</v>
      </c>
      <c r="H1329" s="200">
        <v>0</v>
      </c>
      <c r="I1329">
        <f t="shared" si="134"/>
        <v>979</v>
      </c>
      <c r="J1329" s="193">
        <v>0</v>
      </c>
      <c r="K1329">
        <f t="shared" si="133"/>
        <v>945</v>
      </c>
      <c r="L1329" s="62">
        <f t="shared" si="135"/>
        <v>983</v>
      </c>
      <c r="M1329" s="304">
        <v>0.79</v>
      </c>
      <c r="N1329" s="301">
        <f>VLOOKUP(2365,季財報!A:N,8,0)</f>
        <v>2</v>
      </c>
    </row>
    <row r="1330" spans="1:14">
      <c r="A1330" s="187">
        <v>2369</v>
      </c>
      <c r="C1330">
        <v>-23</v>
      </c>
      <c r="H1330" s="200">
        <v>0</v>
      </c>
      <c r="I1330">
        <f t="shared" si="134"/>
        <v>979</v>
      </c>
      <c r="J1330" s="193">
        <v>0</v>
      </c>
      <c r="K1330">
        <f t="shared" si="133"/>
        <v>945</v>
      </c>
      <c r="L1330" s="62">
        <f t="shared" si="135"/>
        <v>983</v>
      </c>
      <c r="M1330" s="304">
        <v>0.79</v>
      </c>
      <c r="N1330" s="301">
        <f>VLOOKUP(2369,季財報!A:N,8,0)</f>
        <v>2</v>
      </c>
    </row>
    <row r="1331" spans="1:14">
      <c r="A1331" s="187">
        <v>2371</v>
      </c>
      <c r="C1331">
        <v>-1427</v>
      </c>
      <c r="H1331" s="200">
        <v>0</v>
      </c>
      <c r="I1331">
        <f t="shared" si="134"/>
        <v>979</v>
      </c>
      <c r="J1331" s="193">
        <v>0</v>
      </c>
      <c r="K1331">
        <f t="shared" si="133"/>
        <v>945</v>
      </c>
      <c r="L1331" s="62">
        <f t="shared" si="135"/>
        <v>983</v>
      </c>
      <c r="M1331" s="304">
        <v>0.79</v>
      </c>
      <c r="N1331" s="301">
        <f>VLOOKUP(2371,季財報!A:N,8,0)</f>
        <v>2</v>
      </c>
    </row>
    <row r="1332" spans="1:14">
      <c r="A1332" s="187">
        <v>2380</v>
      </c>
      <c r="C1332">
        <v>-48</v>
      </c>
      <c r="H1332" s="200">
        <v>0</v>
      </c>
      <c r="I1332">
        <f t="shared" si="134"/>
        <v>979</v>
      </c>
      <c r="J1332" s="193">
        <v>0</v>
      </c>
      <c r="K1332">
        <f t="shared" si="133"/>
        <v>945</v>
      </c>
      <c r="L1332" s="62">
        <f t="shared" si="135"/>
        <v>983</v>
      </c>
      <c r="M1332" s="304">
        <v>0.79</v>
      </c>
      <c r="N1332" s="301">
        <f>VLOOKUP(2380,季財報!A:N,8,0)</f>
        <v>2</v>
      </c>
    </row>
    <row r="1333" spans="1:14">
      <c r="A1333" s="187">
        <v>2388</v>
      </c>
      <c r="C1333">
        <v>-419</v>
      </c>
      <c r="H1333" s="200">
        <v>0</v>
      </c>
      <c r="I1333">
        <f t="shared" si="134"/>
        <v>979</v>
      </c>
      <c r="J1333" s="193">
        <v>0</v>
      </c>
      <c r="K1333">
        <f t="shared" si="133"/>
        <v>945</v>
      </c>
      <c r="L1333" s="62">
        <f t="shared" si="135"/>
        <v>983</v>
      </c>
      <c r="M1333" s="304">
        <v>1.84</v>
      </c>
      <c r="N1333" s="301">
        <f>VLOOKUP(2388,季財報!A:N,8,0)</f>
        <v>4</v>
      </c>
    </row>
    <row r="1334" spans="1:14">
      <c r="A1334" s="187">
        <v>2390</v>
      </c>
      <c r="C1334">
        <v>-59</v>
      </c>
      <c r="H1334" s="200">
        <v>0</v>
      </c>
      <c r="I1334">
        <f t="shared" si="134"/>
        <v>979</v>
      </c>
      <c r="J1334" s="193">
        <v>0</v>
      </c>
      <c r="K1334">
        <f t="shared" si="133"/>
        <v>945</v>
      </c>
      <c r="L1334" s="62">
        <f t="shared" si="135"/>
        <v>983</v>
      </c>
      <c r="M1334" s="304">
        <v>0.79</v>
      </c>
      <c r="N1334" s="301">
        <f>VLOOKUP(2390,季財報!A:N,8,0)</f>
        <v>3</v>
      </c>
    </row>
    <row r="1335" spans="1:14">
      <c r="A1335" s="187">
        <v>2399</v>
      </c>
      <c r="C1335">
        <v>-48</v>
      </c>
      <c r="H1335" s="200">
        <v>0</v>
      </c>
      <c r="I1335">
        <f t="shared" si="134"/>
        <v>979</v>
      </c>
      <c r="J1335" s="193">
        <v>0</v>
      </c>
      <c r="K1335">
        <f t="shared" si="133"/>
        <v>945</v>
      </c>
      <c r="L1335" s="62">
        <f t="shared" si="135"/>
        <v>983</v>
      </c>
      <c r="M1335" s="304">
        <v>0.79</v>
      </c>
      <c r="N1335" s="301">
        <f>VLOOKUP(2399,季財報!A:N,8,0)</f>
        <v>3</v>
      </c>
    </row>
    <row r="1336" spans="1:14">
      <c r="A1336" s="187">
        <v>2402</v>
      </c>
      <c r="C1336">
        <v>-37</v>
      </c>
      <c r="H1336" s="200">
        <v>0</v>
      </c>
      <c r="I1336">
        <f t="shared" si="134"/>
        <v>979</v>
      </c>
      <c r="J1336" s="193">
        <v>0</v>
      </c>
      <c r="K1336">
        <f t="shared" ref="K1336:K1399" si="136">RANK(0,J:J,0)</f>
        <v>945</v>
      </c>
      <c r="L1336" s="62">
        <f t="shared" si="135"/>
        <v>983</v>
      </c>
      <c r="M1336" s="304">
        <v>0.79</v>
      </c>
      <c r="N1336" s="301">
        <f>VLOOKUP(2402,季財報!A:N,8,0)</f>
        <v>2</v>
      </c>
    </row>
    <row r="1337" spans="1:14">
      <c r="A1337" s="187">
        <v>2405</v>
      </c>
      <c r="C1337">
        <v>-42</v>
      </c>
      <c r="H1337" s="200">
        <v>0</v>
      </c>
      <c r="I1337">
        <f t="shared" si="134"/>
        <v>979</v>
      </c>
      <c r="J1337" s="193">
        <v>0</v>
      </c>
      <c r="K1337">
        <f t="shared" si="136"/>
        <v>945</v>
      </c>
      <c r="L1337" s="62">
        <f t="shared" si="135"/>
        <v>983</v>
      </c>
      <c r="M1337" s="304">
        <v>1.36</v>
      </c>
      <c r="N1337" s="301">
        <f>VLOOKUP(2405,季財報!A:N,8,0)</f>
        <v>4</v>
      </c>
    </row>
    <row r="1338" spans="1:14">
      <c r="A1338" s="187">
        <v>2417</v>
      </c>
      <c r="C1338">
        <v>-67</v>
      </c>
      <c r="H1338" s="200">
        <v>0</v>
      </c>
      <c r="I1338">
        <f t="shared" si="134"/>
        <v>979</v>
      </c>
      <c r="J1338" s="193">
        <v>0</v>
      </c>
      <c r="K1338">
        <f t="shared" si="136"/>
        <v>945</v>
      </c>
      <c r="L1338" s="62">
        <f t="shared" si="135"/>
        <v>983</v>
      </c>
      <c r="M1338" s="304">
        <v>0.79</v>
      </c>
      <c r="N1338" s="301">
        <f>VLOOKUP(2417,季財報!A:N,8,0)</f>
        <v>1</v>
      </c>
    </row>
    <row r="1339" spans="1:14">
      <c r="A1339" s="187">
        <v>2424</v>
      </c>
      <c r="C1339">
        <v>-6</v>
      </c>
      <c r="H1339" s="200">
        <v>0</v>
      </c>
      <c r="I1339">
        <f t="shared" si="134"/>
        <v>979</v>
      </c>
      <c r="J1339" s="193">
        <v>0</v>
      </c>
      <c r="K1339">
        <f t="shared" si="136"/>
        <v>945</v>
      </c>
      <c r="L1339" s="62">
        <f t="shared" si="135"/>
        <v>983</v>
      </c>
      <c r="M1339" s="304">
        <v>0.79</v>
      </c>
      <c r="N1339" s="301">
        <f>VLOOKUP(2424,季財報!A:N,8,0)</f>
        <v>0</v>
      </c>
    </row>
    <row r="1340" spans="1:14">
      <c r="A1340" s="187">
        <v>2429</v>
      </c>
      <c r="C1340">
        <v>-16</v>
      </c>
      <c r="H1340" s="200">
        <v>0</v>
      </c>
      <c r="I1340">
        <f t="shared" si="134"/>
        <v>979</v>
      </c>
      <c r="J1340" s="193">
        <v>0</v>
      </c>
      <c r="K1340">
        <f t="shared" si="136"/>
        <v>945</v>
      </c>
      <c r="L1340" s="62">
        <f t="shared" si="135"/>
        <v>983</v>
      </c>
      <c r="M1340" s="304">
        <v>0.79</v>
      </c>
      <c r="N1340" s="301">
        <f>VLOOKUP(2429,季財報!A:N,8,0)</f>
        <v>3</v>
      </c>
    </row>
    <row r="1341" spans="1:14">
      <c r="A1341" s="187">
        <v>2431</v>
      </c>
      <c r="C1341">
        <v>-35</v>
      </c>
      <c r="H1341" s="200">
        <v>0</v>
      </c>
      <c r="I1341">
        <f t="shared" si="134"/>
        <v>979</v>
      </c>
      <c r="J1341" s="193">
        <v>0</v>
      </c>
      <c r="K1341">
        <f t="shared" si="136"/>
        <v>945</v>
      </c>
      <c r="L1341" s="62">
        <f t="shared" si="135"/>
        <v>983</v>
      </c>
      <c r="M1341" s="304">
        <v>1.29</v>
      </c>
      <c r="N1341" s="301">
        <f>VLOOKUP(2431,季財報!A:N,8,0)</f>
        <v>3</v>
      </c>
    </row>
    <row r="1342" spans="1:14">
      <c r="A1342" s="187">
        <v>2434</v>
      </c>
      <c r="C1342">
        <v>-195</v>
      </c>
      <c r="H1342" s="200">
        <v>0</v>
      </c>
      <c r="I1342">
        <f t="shared" si="134"/>
        <v>979</v>
      </c>
      <c r="J1342" s="193">
        <v>0</v>
      </c>
      <c r="K1342">
        <f t="shared" si="136"/>
        <v>945</v>
      </c>
      <c r="L1342" s="62">
        <f t="shared" si="135"/>
        <v>983</v>
      </c>
      <c r="M1342" s="304">
        <v>0.79</v>
      </c>
      <c r="N1342" s="301">
        <f>VLOOKUP(2434,季財報!A:N,8,0)</f>
        <v>3</v>
      </c>
    </row>
    <row r="1343" spans="1:14">
      <c r="A1343" s="187">
        <v>2436</v>
      </c>
      <c r="C1343">
        <v>1</v>
      </c>
      <c r="D1343">
        <v>2336</v>
      </c>
      <c r="E1343">
        <v>228</v>
      </c>
      <c r="F1343">
        <v>2587</v>
      </c>
      <c r="G1343">
        <v>190</v>
      </c>
      <c r="H1343" s="200">
        <v>0</v>
      </c>
      <c r="I1343">
        <f t="shared" si="134"/>
        <v>979</v>
      </c>
      <c r="J1343" s="193">
        <v>0</v>
      </c>
      <c r="K1343">
        <f t="shared" si="136"/>
        <v>945</v>
      </c>
      <c r="L1343" s="62">
        <f t="shared" si="135"/>
        <v>983</v>
      </c>
      <c r="M1343" s="304">
        <v>2.29</v>
      </c>
      <c r="N1343" s="301">
        <f>VLOOKUP(2436,季財報!A:N,8,0)</f>
        <v>1</v>
      </c>
    </row>
    <row r="1344" spans="1:14">
      <c r="A1344" s="187">
        <v>2440</v>
      </c>
      <c r="C1344">
        <v>-5</v>
      </c>
      <c r="H1344" s="200">
        <v>0</v>
      </c>
      <c r="I1344">
        <f t="shared" si="134"/>
        <v>979</v>
      </c>
      <c r="J1344" s="193">
        <v>0</v>
      </c>
      <c r="K1344">
        <f t="shared" si="136"/>
        <v>945</v>
      </c>
      <c r="L1344" s="62">
        <f t="shared" si="135"/>
        <v>983</v>
      </c>
      <c r="M1344" s="304">
        <v>0.79</v>
      </c>
      <c r="N1344" s="301">
        <f>VLOOKUP(2440,季財報!A:N,8,0)</f>
        <v>0</v>
      </c>
    </row>
    <row r="1345" spans="1:14">
      <c r="A1345" s="187">
        <v>2443</v>
      </c>
      <c r="C1345">
        <v>-69</v>
      </c>
      <c r="H1345" s="200">
        <v>0</v>
      </c>
      <c r="I1345">
        <f t="shared" si="134"/>
        <v>979</v>
      </c>
      <c r="J1345" s="193">
        <v>0</v>
      </c>
      <c r="K1345">
        <f t="shared" si="136"/>
        <v>945</v>
      </c>
      <c r="L1345" s="62">
        <f t="shared" si="135"/>
        <v>983</v>
      </c>
      <c r="M1345" s="304">
        <v>0.79</v>
      </c>
      <c r="N1345" s="301">
        <f>VLOOKUP(2443,季財報!A:N,8,0)</f>
        <v>2</v>
      </c>
    </row>
    <row r="1346" spans="1:14">
      <c r="A1346" s="187">
        <v>2448</v>
      </c>
      <c r="C1346">
        <v>-351</v>
      </c>
      <c r="H1346" s="200">
        <v>0</v>
      </c>
      <c r="I1346">
        <f t="shared" si="134"/>
        <v>979</v>
      </c>
      <c r="J1346" s="193">
        <v>0</v>
      </c>
      <c r="K1346">
        <f t="shared" si="136"/>
        <v>945</v>
      </c>
      <c r="L1346" s="62">
        <f t="shared" si="135"/>
        <v>983</v>
      </c>
      <c r="M1346" s="304">
        <v>0.79</v>
      </c>
      <c r="N1346" s="301">
        <f>VLOOKUP(2448,季財報!A:N,8,0)</f>
        <v>1</v>
      </c>
    </row>
    <row r="1347" spans="1:14">
      <c r="A1347" s="187">
        <v>2450</v>
      </c>
      <c r="C1347">
        <v>8</v>
      </c>
      <c r="D1347">
        <v>2667</v>
      </c>
      <c r="E1347">
        <v>1093</v>
      </c>
      <c r="F1347">
        <v>5419</v>
      </c>
      <c r="G1347">
        <v>108</v>
      </c>
      <c r="H1347" s="200">
        <v>0</v>
      </c>
      <c r="I1347">
        <f t="shared" si="134"/>
        <v>979</v>
      </c>
      <c r="J1347" s="193">
        <v>0</v>
      </c>
      <c r="K1347">
        <f t="shared" si="136"/>
        <v>945</v>
      </c>
      <c r="L1347" s="62">
        <f t="shared" si="135"/>
        <v>983</v>
      </c>
      <c r="M1347" s="304">
        <v>0.79</v>
      </c>
      <c r="N1347" s="301">
        <f>VLOOKUP(2450,季財報!A:N,8,0)</f>
        <v>3</v>
      </c>
    </row>
    <row r="1348" spans="1:14">
      <c r="A1348" s="187">
        <v>2457</v>
      </c>
      <c r="C1348">
        <v>-141</v>
      </c>
      <c r="H1348" s="200">
        <v>0</v>
      </c>
      <c r="I1348">
        <f t="shared" si="134"/>
        <v>979</v>
      </c>
      <c r="J1348" s="193">
        <v>0</v>
      </c>
      <c r="K1348">
        <f t="shared" si="136"/>
        <v>945</v>
      </c>
      <c r="L1348" s="62">
        <f t="shared" si="135"/>
        <v>983</v>
      </c>
      <c r="M1348" s="304">
        <v>0.87</v>
      </c>
      <c r="N1348" s="301">
        <f>VLOOKUP(2457,季財報!A:N,8,0)</f>
        <v>2</v>
      </c>
    </row>
    <row r="1349" spans="1:14">
      <c r="A1349" s="187">
        <v>2460</v>
      </c>
      <c r="C1349">
        <v>-14</v>
      </c>
      <c r="H1349" s="200">
        <v>0</v>
      </c>
      <c r="I1349">
        <f t="shared" si="134"/>
        <v>979</v>
      </c>
      <c r="J1349" s="193">
        <v>0</v>
      </c>
      <c r="K1349">
        <f t="shared" si="136"/>
        <v>945</v>
      </c>
      <c r="L1349" s="62">
        <f t="shared" si="135"/>
        <v>983</v>
      </c>
      <c r="M1349" s="304">
        <v>1.9</v>
      </c>
      <c r="N1349" s="301">
        <f>VLOOKUP(2460,季財報!A:N,8,0)</f>
        <v>3</v>
      </c>
    </row>
    <row r="1350" spans="1:14">
      <c r="A1350" s="187">
        <v>2465</v>
      </c>
      <c r="C1350">
        <v>-38</v>
      </c>
      <c r="H1350" s="200">
        <v>0</v>
      </c>
      <c r="I1350">
        <f t="shared" si="134"/>
        <v>979</v>
      </c>
      <c r="J1350" s="193">
        <v>0</v>
      </c>
      <c r="K1350">
        <f t="shared" si="136"/>
        <v>945</v>
      </c>
      <c r="L1350" s="62">
        <f t="shared" si="135"/>
        <v>983</v>
      </c>
      <c r="M1350" s="304">
        <v>0.79</v>
      </c>
      <c r="N1350" s="301">
        <f>VLOOKUP(2465,季財報!A:N,8,0)</f>
        <v>2</v>
      </c>
    </row>
    <row r="1351" spans="1:14">
      <c r="A1351" s="187">
        <v>2467</v>
      </c>
      <c r="C1351">
        <v>-8</v>
      </c>
      <c r="H1351" s="200">
        <v>0</v>
      </c>
      <c r="I1351">
        <f t="shared" si="134"/>
        <v>979</v>
      </c>
      <c r="J1351" s="193">
        <v>0</v>
      </c>
      <c r="K1351">
        <f t="shared" si="136"/>
        <v>945</v>
      </c>
      <c r="L1351" s="62">
        <f t="shared" si="135"/>
        <v>983</v>
      </c>
      <c r="M1351" s="304">
        <v>0.79</v>
      </c>
      <c r="N1351" s="301">
        <f>VLOOKUP(2467,季財報!A:N,8,0)</f>
        <v>0</v>
      </c>
    </row>
    <row r="1352" spans="1:14">
      <c r="A1352" s="187">
        <v>2471</v>
      </c>
      <c r="C1352">
        <v>-2</v>
      </c>
      <c r="H1352" s="200">
        <v>0</v>
      </c>
      <c r="I1352">
        <f t="shared" si="134"/>
        <v>979</v>
      </c>
      <c r="J1352" s="193">
        <v>0</v>
      </c>
      <c r="K1352">
        <f t="shared" si="136"/>
        <v>945</v>
      </c>
      <c r="L1352" s="62">
        <f t="shared" si="135"/>
        <v>983</v>
      </c>
      <c r="M1352" s="304">
        <v>0.79</v>
      </c>
      <c r="N1352" s="301">
        <f>VLOOKUP(2471,季財報!A:N,8,0)</f>
        <v>3</v>
      </c>
    </row>
    <row r="1353" spans="1:14">
      <c r="A1353" s="187">
        <v>2475</v>
      </c>
      <c r="C1353">
        <v>-1595</v>
      </c>
      <c r="H1353" s="200">
        <v>0</v>
      </c>
      <c r="I1353">
        <f t="shared" si="134"/>
        <v>979</v>
      </c>
      <c r="J1353" s="193">
        <v>0</v>
      </c>
      <c r="K1353">
        <f t="shared" si="136"/>
        <v>945</v>
      </c>
      <c r="L1353" s="62">
        <f t="shared" si="135"/>
        <v>983</v>
      </c>
      <c r="M1353" s="304">
        <v>0.79</v>
      </c>
      <c r="N1353" s="301">
        <f>VLOOKUP(2475,季財報!A:N,8,0)</f>
        <v>2</v>
      </c>
    </row>
    <row r="1354" spans="1:14">
      <c r="A1354" s="187">
        <v>2486</v>
      </c>
      <c r="C1354">
        <v>-58</v>
      </c>
      <c r="H1354" s="200">
        <v>0</v>
      </c>
      <c r="I1354">
        <f t="shared" si="134"/>
        <v>979</v>
      </c>
      <c r="J1354" s="193">
        <v>0</v>
      </c>
      <c r="K1354">
        <f t="shared" si="136"/>
        <v>945</v>
      </c>
      <c r="L1354" s="62">
        <f t="shared" si="135"/>
        <v>983</v>
      </c>
      <c r="M1354" s="304">
        <v>0.79</v>
      </c>
      <c r="N1354" s="301">
        <f>VLOOKUP(2486,季財報!A:N,8,0)</f>
        <v>2</v>
      </c>
    </row>
    <row r="1355" spans="1:14">
      <c r="A1355" s="187">
        <v>2489</v>
      </c>
      <c r="C1355">
        <v>-98</v>
      </c>
      <c r="H1355" s="200">
        <v>0</v>
      </c>
      <c r="I1355">
        <f t="shared" si="134"/>
        <v>979</v>
      </c>
      <c r="J1355" s="193">
        <v>0</v>
      </c>
      <c r="K1355">
        <f t="shared" si="136"/>
        <v>945</v>
      </c>
      <c r="L1355" s="62">
        <f t="shared" si="135"/>
        <v>983</v>
      </c>
      <c r="M1355" s="304">
        <v>0.79</v>
      </c>
      <c r="N1355" s="301">
        <f>VLOOKUP(2489,季財報!A:N,8,0)</f>
        <v>2</v>
      </c>
    </row>
    <row r="1356" spans="1:14">
      <c r="A1356" s="187">
        <v>2491</v>
      </c>
      <c r="C1356">
        <v>-13</v>
      </c>
      <c r="H1356" s="200">
        <v>0</v>
      </c>
      <c r="I1356">
        <f t="shared" si="134"/>
        <v>979</v>
      </c>
      <c r="J1356" s="193">
        <v>0</v>
      </c>
      <c r="K1356">
        <f t="shared" si="136"/>
        <v>945</v>
      </c>
      <c r="L1356" s="62">
        <f t="shared" si="135"/>
        <v>983</v>
      </c>
      <c r="M1356" s="304">
        <v>0.79</v>
      </c>
      <c r="N1356" s="301">
        <f>VLOOKUP(2491,季財報!A:N,8,0)</f>
        <v>1</v>
      </c>
    </row>
    <row r="1357" spans="1:14">
      <c r="A1357" s="187">
        <v>2496</v>
      </c>
      <c r="C1357">
        <v>-3</v>
      </c>
      <c r="H1357" s="200">
        <v>0</v>
      </c>
      <c r="I1357">
        <f t="shared" si="134"/>
        <v>979</v>
      </c>
      <c r="J1357" s="193">
        <v>0</v>
      </c>
      <c r="K1357">
        <f t="shared" si="136"/>
        <v>945</v>
      </c>
      <c r="L1357" s="62">
        <f t="shared" si="135"/>
        <v>983</v>
      </c>
      <c r="M1357" s="304">
        <v>0.79</v>
      </c>
      <c r="N1357" s="301">
        <f>VLOOKUP(2496,季財報!A:N,8,0)</f>
        <v>2</v>
      </c>
    </row>
    <row r="1358" spans="1:14">
      <c r="A1358" s="187">
        <v>2498</v>
      </c>
      <c r="C1358">
        <v>-4943</v>
      </c>
      <c r="H1358" s="200">
        <v>0</v>
      </c>
      <c r="I1358">
        <f t="shared" si="134"/>
        <v>979</v>
      </c>
      <c r="J1358" s="193">
        <v>0</v>
      </c>
      <c r="K1358">
        <f t="shared" si="136"/>
        <v>945</v>
      </c>
      <c r="L1358" s="62">
        <f t="shared" si="135"/>
        <v>983</v>
      </c>
      <c r="M1358" s="304">
        <v>0.79</v>
      </c>
      <c r="N1358" s="301">
        <f>VLOOKUP(2498,季財報!A:N,8,0)</f>
        <v>1</v>
      </c>
    </row>
    <row r="1359" spans="1:14">
      <c r="A1359" s="187">
        <v>2499</v>
      </c>
      <c r="C1359">
        <v>15</v>
      </c>
      <c r="D1359">
        <v>1530</v>
      </c>
      <c r="E1359">
        <v>3367</v>
      </c>
      <c r="F1359">
        <v>6592</v>
      </c>
      <c r="G1359">
        <v>4921</v>
      </c>
      <c r="H1359" s="200">
        <v>0</v>
      </c>
      <c r="I1359">
        <f t="shared" si="134"/>
        <v>979</v>
      </c>
      <c r="J1359" s="193">
        <v>0</v>
      </c>
      <c r="K1359">
        <f t="shared" si="136"/>
        <v>945</v>
      </c>
      <c r="L1359" s="62">
        <f t="shared" si="135"/>
        <v>983</v>
      </c>
      <c r="M1359" s="304">
        <v>0.79</v>
      </c>
      <c r="N1359" s="301">
        <f>VLOOKUP(2499,季財報!A:N,8,0)</f>
        <v>1</v>
      </c>
    </row>
    <row r="1360" spans="1:14">
      <c r="A1360" s="187">
        <v>2501</v>
      </c>
      <c r="C1360">
        <v>-58</v>
      </c>
      <c r="H1360" s="200">
        <v>0</v>
      </c>
      <c r="I1360">
        <f t="shared" si="134"/>
        <v>979</v>
      </c>
      <c r="J1360" s="193">
        <v>0</v>
      </c>
      <c r="K1360">
        <f t="shared" si="136"/>
        <v>945</v>
      </c>
      <c r="L1360" s="62">
        <f t="shared" si="135"/>
        <v>983</v>
      </c>
      <c r="M1360" s="304">
        <v>0.79</v>
      </c>
      <c r="N1360" s="301">
        <f>VLOOKUP(2501,季財報!A:N,8,0)</f>
        <v>0</v>
      </c>
    </row>
    <row r="1361" spans="1:14">
      <c r="A1361" s="187">
        <v>2504</v>
      </c>
      <c r="C1361">
        <v>-584</v>
      </c>
      <c r="H1361" s="200">
        <v>0</v>
      </c>
      <c r="I1361">
        <f t="shared" si="134"/>
        <v>979</v>
      </c>
      <c r="J1361" s="193">
        <v>0</v>
      </c>
      <c r="K1361">
        <f t="shared" si="136"/>
        <v>945</v>
      </c>
      <c r="L1361" s="62">
        <f t="shared" si="135"/>
        <v>983</v>
      </c>
      <c r="M1361" s="304">
        <v>0.79</v>
      </c>
      <c r="N1361" s="301">
        <f>VLOOKUP(2504,季財報!A:N,8,0)</f>
        <v>0</v>
      </c>
    </row>
    <row r="1362" spans="1:14">
      <c r="A1362" s="187">
        <v>2505</v>
      </c>
      <c r="C1362">
        <v>-10</v>
      </c>
      <c r="H1362" s="200">
        <v>0</v>
      </c>
      <c r="I1362">
        <f t="shared" si="134"/>
        <v>979</v>
      </c>
      <c r="J1362" s="193">
        <v>0</v>
      </c>
      <c r="K1362">
        <f t="shared" si="136"/>
        <v>945</v>
      </c>
      <c r="L1362" s="62">
        <f t="shared" si="135"/>
        <v>983</v>
      </c>
      <c r="M1362" s="304">
        <v>0.79</v>
      </c>
      <c r="N1362" s="301">
        <f>VLOOKUP(2505,季財報!A:N,8,0)</f>
        <v>0</v>
      </c>
    </row>
    <row r="1363" spans="1:14">
      <c r="A1363" s="187">
        <v>2515</v>
      </c>
      <c r="C1363">
        <v>-632</v>
      </c>
      <c r="H1363" s="200">
        <v>0</v>
      </c>
      <c r="I1363">
        <f t="shared" si="134"/>
        <v>979</v>
      </c>
      <c r="J1363" s="193">
        <v>0</v>
      </c>
      <c r="K1363">
        <f t="shared" si="136"/>
        <v>945</v>
      </c>
      <c r="L1363" s="62">
        <f t="shared" si="135"/>
        <v>983</v>
      </c>
      <c r="M1363" s="304">
        <v>5.24</v>
      </c>
      <c r="N1363" s="301">
        <f>VLOOKUP(2515,季財報!A:N,8,0)</f>
        <v>0</v>
      </c>
    </row>
    <row r="1364" spans="1:14">
      <c r="A1364" s="187">
        <v>2524</v>
      </c>
      <c r="C1364">
        <v>173</v>
      </c>
      <c r="D1364">
        <v>11128</v>
      </c>
      <c r="E1364">
        <v>0</v>
      </c>
      <c r="F1364">
        <v>10617</v>
      </c>
      <c r="G1364">
        <v>15073</v>
      </c>
      <c r="H1364" s="200">
        <v>0</v>
      </c>
      <c r="I1364">
        <f t="shared" si="134"/>
        <v>979</v>
      </c>
      <c r="J1364" s="193">
        <v>0</v>
      </c>
      <c r="K1364">
        <f t="shared" si="136"/>
        <v>945</v>
      </c>
      <c r="L1364" s="62">
        <f t="shared" si="135"/>
        <v>983</v>
      </c>
      <c r="M1364" s="304">
        <v>1.58</v>
      </c>
      <c r="N1364" s="301">
        <f>VLOOKUP(2524,季財報!A:N,8,0)</f>
        <v>2</v>
      </c>
    </row>
    <row r="1365" spans="1:14">
      <c r="A1365" s="187">
        <v>2527</v>
      </c>
      <c r="C1365">
        <v>-23</v>
      </c>
      <c r="H1365" s="200">
        <v>0</v>
      </c>
      <c r="I1365">
        <f t="shared" si="134"/>
        <v>979</v>
      </c>
      <c r="J1365" s="193">
        <v>0</v>
      </c>
      <c r="K1365">
        <f t="shared" si="136"/>
        <v>945</v>
      </c>
      <c r="L1365" s="62">
        <f t="shared" si="135"/>
        <v>983</v>
      </c>
      <c r="M1365" s="304">
        <v>0.79</v>
      </c>
      <c r="N1365" s="301">
        <f>VLOOKUP(2527,季財報!A:N,8,0)</f>
        <v>1</v>
      </c>
    </row>
    <row r="1366" spans="1:14">
      <c r="A1366" s="187">
        <v>2528</v>
      </c>
      <c r="C1366">
        <v>-7</v>
      </c>
      <c r="H1366" s="200">
        <v>0</v>
      </c>
      <c r="I1366">
        <f t="shared" si="134"/>
        <v>979</v>
      </c>
      <c r="J1366" s="193">
        <v>0</v>
      </c>
      <c r="K1366">
        <f t="shared" si="136"/>
        <v>945</v>
      </c>
      <c r="L1366" s="62">
        <f t="shared" si="135"/>
        <v>983</v>
      </c>
      <c r="M1366" s="304">
        <v>0.79</v>
      </c>
      <c r="N1366" s="301">
        <f>VLOOKUP(2528,季財報!A:N,8,0)</f>
        <v>0</v>
      </c>
    </row>
    <row r="1367" spans="1:14">
      <c r="A1367" s="187">
        <v>2534</v>
      </c>
      <c r="C1367">
        <v>6</v>
      </c>
      <c r="D1367">
        <v>9167</v>
      </c>
      <c r="E1367">
        <v>5</v>
      </c>
      <c r="F1367">
        <v>8869</v>
      </c>
      <c r="G1367">
        <v>9163</v>
      </c>
      <c r="H1367" s="200">
        <v>0</v>
      </c>
      <c r="I1367">
        <f t="shared" si="134"/>
        <v>979</v>
      </c>
      <c r="J1367" s="193">
        <v>0</v>
      </c>
      <c r="K1367">
        <f t="shared" si="136"/>
        <v>945</v>
      </c>
      <c r="L1367" s="62">
        <f t="shared" si="135"/>
        <v>983</v>
      </c>
      <c r="M1367" s="304">
        <v>0.79</v>
      </c>
      <c r="N1367" s="301">
        <f>VLOOKUP(2534,季財報!A:N,8,0)</f>
        <v>1</v>
      </c>
    </row>
    <row r="1368" spans="1:14">
      <c r="A1368" s="187">
        <v>2537</v>
      </c>
      <c r="C1368">
        <v>-5</v>
      </c>
      <c r="H1368" s="200">
        <v>0</v>
      </c>
      <c r="I1368">
        <f t="shared" ref="I1368:I1431" si="137">RANK(0,H:H,0)</f>
        <v>979</v>
      </c>
      <c r="J1368" s="193">
        <v>0</v>
      </c>
      <c r="K1368">
        <f t="shared" si="136"/>
        <v>945</v>
      </c>
      <c r="L1368" s="62">
        <f t="shared" ref="L1368:L1431" si="138">RANK(0.79,M:M,0)</f>
        <v>983</v>
      </c>
      <c r="M1368" s="304">
        <v>0.79</v>
      </c>
      <c r="N1368" s="301">
        <f>VLOOKUP(2537,季財報!A:N,8,0)</f>
        <v>3</v>
      </c>
    </row>
    <row r="1369" spans="1:14">
      <c r="A1369" s="187">
        <v>2538</v>
      </c>
      <c r="C1369">
        <v>9</v>
      </c>
      <c r="D1369">
        <v>6556</v>
      </c>
      <c r="E1369">
        <v>1</v>
      </c>
      <c r="F1369">
        <v>9016</v>
      </c>
      <c r="G1369">
        <v>3315</v>
      </c>
      <c r="H1369" s="200">
        <v>0</v>
      </c>
      <c r="I1369">
        <f t="shared" si="137"/>
        <v>979</v>
      </c>
      <c r="J1369" s="193">
        <v>0</v>
      </c>
      <c r="K1369">
        <f t="shared" si="136"/>
        <v>945</v>
      </c>
      <c r="L1369" s="62">
        <f t="shared" si="138"/>
        <v>983</v>
      </c>
      <c r="M1369" s="304">
        <v>12.66</v>
      </c>
      <c r="N1369" s="301">
        <f>VLOOKUP(2538,季財報!A:N,8,0)</f>
        <v>2</v>
      </c>
    </row>
    <row r="1370" spans="1:14">
      <c r="A1370" s="187">
        <v>2539</v>
      </c>
      <c r="C1370">
        <v>-7</v>
      </c>
      <c r="H1370" s="200">
        <v>0</v>
      </c>
      <c r="I1370">
        <f t="shared" si="137"/>
        <v>979</v>
      </c>
      <c r="J1370" s="193">
        <v>0</v>
      </c>
      <c r="K1370">
        <f t="shared" si="136"/>
        <v>945</v>
      </c>
      <c r="L1370" s="62">
        <f t="shared" si="138"/>
        <v>983</v>
      </c>
      <c r="M1370" s="304">
        <v>0.79</v>
      </c>
      <c r="N1370" s="301">
        <f>VLOOKUP(2539,季財報!A:N,8,0)</f>
        <v>0</v>
      </c>
    </row>
    <row r="1371" spans="1:14">
      <c r="A1371" s="187">
        <v>2545</v>
      </c>
      <c r="C1371">
        <v>9</v>
      </c>
      <c r="D1371">
        <v>5394</v>
      </c>
      <c r="E1371">
        <v>158</v>
      </c>
      <c r="F1371">
        <v>9656</v>
      </c>
      <c r="G1371">
        <v>22365</v>
      </c>
      <c r="H1371" s="200">
        <v>0</v>
      </c>
      <c r="I1371">
        <f t="shared" si="137"/>
        <v>979</v>
      </c>
      <c r="J1371" s="193">
        <v>0</v>
      </c>
      <c r="K1371">
        <f t="shared" si="136"/>
        <v>945</v>
      </c>
      <c r="L1371" s="62">
        <f t="shared" si="138"/>
        <v>983</v>
      </c>
      <c r="M1371" s="304">
        <v>0.79</v>
      </c>
      <c r="N1371" s="301">
        <f>VLOOKUP(2545,季財報!A:N,8,0)</f>
        <v>0</v>
      </c>
    </row>
    <row r="1372" spans="1:14">
      <c r="A1372" s="187">
        <v>2547</v>
      </c>
      <c r="C1372">
        <v>-478</v>
      </c>
      <c r="H1372" s="200">
        <v>0</v>
      </c>
      <c r="I1372">
        <f t="shared" si="137"/>
        <v>979</v>
      </c>
      <c r="J1372" s="193">
        <v>0</v>
      </c>
      <c r="K1372">
        <f t="shared" si="136"/>
        <v>945</v>
      </c>
      <c r="L1372" s="62">
        <f t="shared" si="138"/>
        <v>983</v>
      </c>
      <c r="M1372" s="304">
        <v>1.01</v>
      </c>
      <c r="N1372" s="301">
        <f>VLOOKUP(2547,季財報!A:N,8,0)</f>
        <v>0</v>
      </c>
    </row>
    <row r="1373" spans="1:14">
      <c r="A1373" s="187">
        <v>2603</v>
      </c>
      <c r="C1373">
        <v>-2409</v>
      </c>
      <c r="H1373" s="200">
        <v>0</v>
      </c>
      <c r="I1373">
        <f t="shared" si="137"/>
        <v>979</v>
      </c>
      <c r="J1373" s="193">
        <v>0</v>
      </c>
      <c r="K1373">
        <f t="shared" si="136"/>
        <v>945</v>
      </c>
      <c r="L1373" s="62">
        <f t="shared" si="138"/>
        <v>983</v>
      </c>
      <c r="M1373" s="304">
        <v>1.9</v>
      </c>
      <c r="N1373" s="301">
        <f>VLOOKUP(2603,季財報!A:N,8,0)</f>
        <v>1</v>
      </c>
    </row>
    <row r="1374" spans="1:14">
      <c r="A1374" s="187">
        <v>2606</v>
      </c>
      <c r="C1374">
        <v>150</v>
      </c>
      <c r="D1374">
        <v>15126</v>
      </c>
      <c r="E1374">
        <v>29965</v>
      </c>
      <c r="F1374">
        <v>27897</v>
      </c>
      <c r="G1374">
        <v>11929</v>
      </c>
      <c r="H1374" s="200">
        <v>0</v>
      </c>
      <c r="I1374">
        <f t="shared" si="137"/>
        <v>979</v>
      </c>
      <c r="J1374" s="193">
        <v>0</v>
      </c>
      <c r="K1374">
        <f t="shared" si="136"/>
        <v>945</v>
      </c>
      <c r="L1374" s="62">
        <f t="shared" si="138"/>
        <v>983</v>
      </c>
      <c r="M1374" s="304">
        <v>2.29</v>
      </c>
      <c r="N1374" s="301">
        <f>VLOOKUP(2606,季財報!A:N,8,0)</f>
        <v>3</v>
      </c>
    </row>
    <row r="1375" spans="1:14">
      <c r="A1375" s="187">
        <v>2609</v>
      </c>
      <c r="C1375">
        <v>-3026</v>
      </c>
      <c r="H1375" s="200">
        <v>0</v>
      </c>
      <c r="I1375">
        <f t="shared" si="137"/>
        <v>979</v>
      </c>
      <c r="J1375" s="193">
        <v>0</v>
      </c>
      <c r="K1375">
        <f t="shared" si="136"/>
        <v>945</v>
      </c>
      <c r="L1375" s="62">
        <f t="shared" si="138"/>
        <v>983</v>
      </c>
      <c r="M1375" s="304">
        <v>0.79</v>
      </c>
      <c r="N1375" s="301">
        <f>VLOOKUP(2609,季財報!A:N,8,0)</f>
        <v>1</v>
      </c>
    </row>
    <row r="1376" spans="1:14">
      <c r="A1376" s="187">
        <v>2613</v>
      </c>
      <c r="C1376">
        <v>7</v>
      </c>
      <c r="D1376">
        <v>0</v>
      </c>
      <c r="E1376">
        <v>4002</v>
      </c>
      <c r="F1376">
        <v>2641</v>
      </c>
      <c r="G1376">
        <v>712</v>
      </c>
      <c r="H1376" s="200">
        <v>0</v>
      </c>
      <c r="I1376">
        <f t="shared" si="137"/>
        <v>979</v>
      </c>
      <c r="J1376" s="193">
        <v>0</v>
      </c>
      <c r="K1376">
        <f t="shared" si="136"/>
        <v>945</v>
      </c>
      <c r="L1376" s="62">
        <f t="shared" si="138"/>
        <v>983</v>
      </c>
      <c r="M1376" s="304">
        <v>0.79</v>
      </c>
      <c r="N1376" s="301">
        <f>VLOOKUP(2613,季財報!A:N,8,0)</f>
        <v>0</v>
      </c>
    </row>
    <row r="1377" spans="1:14">
      <c r="A1377" s="187">
        <v>2614</v>
      </c>
      <c r="C1377">
        <v>-275</v>
      </c>
      <c r="H1377" s="200">
        <v>0</v>
      </c>
      <c r="I1377">
        <f t="shared" si="137"/>
        <v>979</v>
      </c>
      <c r="J1377" s="193">
        <v>0</v>
      </c>
      <c r="K1377">
        <f t="shared" si="136"/>
        <v>945</v>
      </c>
      <c r="L1377" s="62">
        <f t="shared" si="138"/>
        <v>983</v>
      </c>
      <c r="M1377" s="304">
        <v>0.79</v>
      </c>
      <c r="N1377" s="301">
        <f>VLOOKUP(2614,季財報!A:N,8,0)</f>
        <v>3</v>
      </c>
    </row>
    <row r="1378" spans="1:14">
      <c r="A1378" s="187">
        <v>2617</v>
      </c>
      <c r="C1378">
        <v>38</v>
      </c>
      <c r="D1378">
        <v>648</v>
      </c>
      <c r="E1378">
        <v>8479</v>
      </c>
      <c r="F1378">
        <v>10067</v>
      </c>
      <c r="G1378">
        <v>255</v>
      </c>
      <c r="H1378" s="200">
        <v>0</v>
      </c>
      <c r="I1378">
        <f t="shared" si="137"/>
        <v>979</v>
      </c>
      <c r="J1378" s="193">
        <v>0</v>
      </c>
      <c r="K1378">
        <f t="shared" si="136"/>
        <v>945</v>
      </c>
      <c r="L1378" s="62">
        <f t="shared" si="138"/>
        <v>983</v>
      </c>
      <c r="M1378" s="304">
        <v>0.79</v>
      </c>
      <c r="N1378" s="301">
        <f>VLOOKUP(2617,季財報!A:N,8,0)</f>
        <v>3</v>
      </c>
    </row>
    <row r="1379" spans="1:14">
      <c r="A1379" s="187">
        <v>2642</v>
      </c>
      <c r="C1379">
        <v>5</v>
      </c>
      <c r="D1379">
        <v>925</v>
      </c>
      <c r="E1379">
        <v>368</v>
      </c>
      <c r="F1379">
        <v>1610</v>
      </c>
      <c r="G1379">
        <v>0</v>
      </c>
      <c r="H1379" s="200">
        <v>0</v>
      </c>
      <c r="I1379">
        <f t="shared" si="137"/>
        <v>979</v>
      </c>
      <c r="J1379" s="193">
        <v>0</v>
      </c>
      <c r="K1379">
        <f t="shared" si="136"/>
        <v>945</v>
      </c>
      <c r="L1379" s="62">
        <f t="shared" si="138"/>
        <v>983</v>
      </c>
      <c r="M1379" s="304">
        <v>108.5</v>
      </c>
      <c r="N1379" s="301">
        <f>VLOOKUP(2642,季財報!A:N,8,0)</f>
        <v>3</v>
      </c>
    </row>
    <row r="1380" spans="1:14">
      <c r="A1380" s="187">
        <v>2719</v>
      </c>
      <c r="C1380">
        <v>-12</v>
      </c>
      <c r="H1380" s="200">
        <v>0</v>
      </c>
      <c r="I1380">
        <f t="shared" si="137"/>
        <v>979</v>
      </c>
      <c r="J1380" s="193">
        <v>0</v>
      </c>
      <c r="K1380">
        <f t="shared" si="136"/>
        <v>945</v>
      </c>
      <c r="L1380" s="62">
        <f t="shared" si="138"/>
        <v>983</v>
      </c>
      <c r="M1380" s="304">
        <v>0.79</v>
      </c>
      <c r="N1380" s="301">
        <f>VLOOKUP(2719,季財報!A:N,8,0)</f>
        <v>0</v>
      </c>
    </row>
    <row r="1381" spans="1:14">
      <c r="A1381" s="187">
        <v>2724</v>
      </c>
      <c r="C1381">
        <v>-11</v>
      </c>
      <c r="H1381" s="200">
        <v>0</v>
      </c>
      <c r="I1381">
        <f t="shared" si="137"/>
        <v>979</v>
      </c>
      <c r="J1381" s="193">
        <v>0</v>
      </c>
      <c r="K1381">
        <f t="shared" si="136"/>
        <v>945</v>
      </c>
      <c r="L1381" s="62">
        <f t="shared" si="138"/>
        <v>983</v>
      </c>
      <c r="M1381" s="304">
        <v>1.58</v>
      </c>
      <c r="N1381" s="301">
        <f>VLOOKUP(2724,季財報!A:N,8,0)</f>
        <v>3</v>
      </c>
    </row>
    <row r="1382" spans="1:14">
      <c r="A1382" s="187">
        <v>2734</v>
      </c>
      <c r="C1382">
        <v>-5</v>
      </c>
      <c r="H1382" s="200">
        <v>0</v>
      </c>
      <c r="I1382">
        <f t="shared" si="137"/>
        <v>979</v>
      </c>
      <c r="J1382" s="193">
        <v>0</v>
      </c>
      <c r="K1382">
        <f t="shared" si="136"/>
        <v>945</v>
      </c>
      <c r="L1382" s="62">
        <f t="shared" si="138"/>
        <v>983</v>
      </c>
      <c r="M1382" s="304">
        <v>1.36</v>
      </c>
      <c r="N1382" s="301">
        <f>VLOOKUP(2734,季財報!A:N,8,0)</f>
        <v>3</v>
      </c>
    </row>
    <row r="1383" spans="1:14">
      <c r="A1383" s="187">
        <v>2841</v>
      </c>
      <c r="C1383">
        <v>-74</v>
      </c>
      <c r="H1383" s="200">
        <v>0</v>
      </c>
      <c r="I1383">
        <f t="shared" si="137"/>
        <v>979</v>
      </c>
      <c r="J1383" s="193">
        <v>0</v>
      </c>
      <c r="K1383">
        <f t="shared" si="136"/>
        <v>945</v>
      </c>
      <c r="L1383" s="62">
        <f t="shared" si="138"/>
        <v>983</v>
      </c>
      <c r="M1383" s="304">
        <v>1.01</v>
      </c>
      <c r="N1383" s="301">
        <f>VLOOKUP(2841,季財報!A:N,8,0)</f>
        <v>1</v>
      </c>
    </row>
    <row r="1384" spans="1:14">
      <c r="A1384" s="187">
        <v>2911</v>
      </c>
      <c r="C1384">
        <v>-30</v>
      </c>
      <c r="H1384" s="200">
        <v>0</v>
      </c>
      <c r="I1384">
        <f t="shared" si="137"/>
        <v>979</v>
      </c>
      <c r="J1384" s="193">
        <v>0</v>
      </c>
      <c r="K1384">
        <f t="shared" si="136"/>
        <v>945</v>
      </c>
      <c r="L1384" s="62">
        <f t="shared" si="138"/>
        <v>983</v>
      </c>
      <c r="M1384" s="304">
        <v>1.01</v>
      </c>
      <c r="N1384" s="301">
        <f>VLOOKUP(2911,季財報!A:N,8,0)</f>
        <v>1</v>
      </c>
    </row>
    <row r="1385" spans="1:14">
      <c r="A1385" s="187">
        <v>2915</v>
      </c>
      <c r="C1385">
        <v>-181</v>
      </c>
      <c r="H1385" s="200">
        <v>0</v>
      </c>
      <c r="I1385">
        <f t="shared" si="137"/>
        <v>979</v>
      </c>
      <c r="J1385" s="193">
        <v>0</v>
      </c>
      <c r="K1385">
        <f t="shared" si="136"/>
        <v>945</v>
      </c>
      <c r="L1385" s="62">
        <f t="shared" si="138"/>
        <v>983</v>
      </c>
      <c r="M1385" s="304">
        <v>0.79</v>
      </c>
      <c r="N1385" s="301">
        <f>VLOOKUP(2915,季財報!A:N,8,0)</f>
        <v>3</v>
      </c>
    </row>
    <row r="1386" spans="1:14">
      <c r="A1386" s="187">
        <v>2916</v>
      </c>
      <c r="C1386">
        <v>-10</v>
      </c>
      <c r="H1386" s="200">
        <v>0</v>
      </c>
      <c r="I1386">
        <f t="shared" si="137"/>
        <v>979</v>
      </c>
      <c r="J1386" s="193">
        <v>0</v>
      </c>
      <c r="K1386">
        <f t="shared" si="136"/>
        <v>945</v>
      </c>
      <c r="L1386" s="62">
        <f t="shared" si="138"/>
        <v>983</v>
      </c>
      <c r="M1386" s="304">
        <v>0.79</v>
      </c>
      <c r="N1386" s="301">
        <f>VLOOKUP(2916,季財報!A:N,8,0)</f>
        <v>1</v>
      </c>
    </row>
    <row r="1387" spans="1:14">
      <c r="A1387" s="187">
        <v>3006</v>
      </c>
      <c r="C1387">
        <v>0</v>
      </c>
      <c r="H1387" s="200">
        <v>0</v>
      </c>
      <c r="I1387">
        <f t="shared" si="137"/>
        <v>979</v>
      </c>
      <c r="J1387" s="193">
        <v>0</v>
      </c>
      <c r="K1387">
        <f t="shared" si="136"/>
        <v>945</v>
      </c>
      <c r="L1387" s="62">
        <f t="shared" si="138"/>
        <v>983</v>
      </c>
      <c r="M1387" s="304">
        <v>0.79</v>
      </c>
      <c r="N1387" s="301">
        <f>VLOOKUP(3006,季財報!A:N,8,0)</f>
        <v>2</v>
      </c>
    </row>
    <row r="1388" spans="1:14">
      <c r="A1388" s="187">
        <v>3011</v>
      </c>
      <c r="C1388">
        <v>-39</v>
      </c>
      <c r="H1388" s="200">
        <v>0</v>
      </c>
      <c r="I1388">
        <f t="shared" si="137"/>
        <v>979</v>
      </c>
      <c r="J1388" s="193">
        <v>0</v>
      </c>
      <c r="K1388">
        <f t="shared" si="136"/>
        <v>945</v>
      </c>
      <c r="L1388" s="62">
        <f t="shared" si="138"/>
        <v>983</v>
      </c>
      <c r="M1388" s="304">
        <v>0.79</v>
      </c>
      <c r="N1388" s="301">
        <f>VLOOKUP(3011,季財報!A:N,8,0)</f>
        <v>1</v>
      </c>
    </row>
    <row r="1389" spans="1:14">
      <c r="A1389" s="187">
        <v>3015</v>
      </c>
      <c r="C1389">
        <v>-16</v>
      </c>
      <c r="H1389" s="200">
        <v>0</v>
      </c>
      <c r="I1389">
        <f t="shared" si="137"/>
        <v>979</v>
      </c>
      <c r="J1389" s="193">
        <v>0</v>
      </c>
      <c r="K1389">
        <f t="shared" si="136"/>
        <v>945</v>
      </c>
      <c r="L1389" s="62">
        <f t="shared" si="138"/>
        <v>983</v>
      </c>
      <c r="M1389" s="304">
        <v>1.01</v>
      </c>
      <c r="N1389" s="301">
        <f>VLOOKUP(3015,季財報!A:N,8,0)</f>
        <v>3</v>
      </c>
    </row>
    <row r="1390" spans="1:14">
      <c r="A1390" s="187">
        <v>3016</v>
      </c>
      <c r="C1390">
        <v>3</v>
      </c>
      <c r="D1390">
        <v>521</v>
      </c>
      <c r="E1390">
        <v>469</v>
      </c>
      <c r="F1390">
        <v>1076</v>
      </c>
      <c r="G1390">
        <v>0</v>
      </c>
      <c r="H1390" s="200">
        <v>0</v>
      </c>
      <c r="I1390">
        <f t="shared" si="137"/>
        <v>979</v>
      </c>
      <c r="J1390" s="193">
        <v>0</v>
      </c>
      <c r="K1390">
        <f t="shared" si="136"/>
        <v>945</v>
      </c>
      <c r="L1390" s="62">
        <f t="shared" si="138"/>
        <v>983</v>
      </c>
      <c r="M1390" s="304">
        <v>1.6</v>
      </c>
      <c r="N1390" s="301">
        <f>VLOOKUP(3016,季財報!A:N,8,0)</f>
        <v>2</v>
      </c>
    </row>
    <row r="1391" spans="1:14">
      <c r="A1391" s="187">
        <v>3024</v>
      </c>
      <c r="C1391">
        <v>-135</v>
      </c>
      <c r="H1391" s="200">
        <v>0</v>
      </c>
      <c r="I1391">
        <f t="shared" si="137"/>
        <v>979</v>
      </c>
      <c r="J1391" s="193">
        <v>0</v>
      </c>
      <c r="K1391">
        <f t="shared" si="136"/>
        <v>945</v>
      </c>
      <c r="L1391" s="62">
        <f t="shared" si="138"/>
        <v>983</v>
      </c>
      <c r="M1391" s="304">
        <v>0.79</v>
      </c>
      <c r="N1391" s="301">
        <f>VLOOKUP(3024,季財報!A:N,8,0)</f>
        <v>0</v>
      </c>
    </row>
    <row r="1392" spans="1:14">
      <c r="A1392" s="187">
        <v>3025</v>
      </c>
      <c r="C1392">
        <v>-13</v>
      </c>
      <c r="H1392" s="200">
        <v>0</v>
      </c>
      <c r="I1392">
        <f t="shared" si="137"/>
        <v>979</v>
      </c>
      <c r="J1392" s="193">
        <v>0</v>
      </c>
      <c r="K1392">
        <f t="shared" si="136"/>
        <v>945</v>
      </c>
      <c r="L1392" s="62">
        <f t="shared" si="138"/>
        <v>983</v>
      </c>
      <c r="M1392" s="304">
        <v>0.79</v>
      </c>
      <c r="N1392" s="301">
        <f>VLOOKUP(3025,季財報!A:N,8,0)</f>
        <v>0</v>
      </c>
    </row>
    <row r="1393" spans="1:14">
      <c r="A1393" s="187">
        <v>3027</v>
      </c>
      <c r="C1393">
        <v>3</v>
      </c>
      <c r="D1393">
        <v>871</v>
      </c>
      <c r="E1393">
        <v>538</v>
      </c>
      <c r="F1393">
        <v>1606</v>
      </c>
      <c r="G1393">
        <v>721</v>
      </c>
      <c r="H1393" s="200">
        <v>0</v>
      </c>
      <c r="I1393">
        <f t="shared" si="137"/>
        <v>979</v>
      </c>
      <c r="J1393" s="193">
        <v>0</v>
      </c>
      <c r="K1393">
        <f t="shared" si="136"/>
        <v>945</v>
      </c>
      <c r="L1393" s="62">
        <f t="shared" si="138"/>
        <v>983</v>
      </c>
      <c r="M1393" s="304">
        <v>1.9</v>
      </c>
      <c r="N1393" s="301">
        <f>VLOOKUP(3027,季財報!A:N,8,0)</f>
        <v>2</v>
      </c>
    </row>
    <row r="1394" spans="1:14">
      <c r="A1394" s="187">
        <v>3031</v>
      </c>
      <c r="C1394">
        <v>-44</v>
      </c>
      <c r="H1394" s="200">
        <v>0</v>
      </c>
      <c r="I1394">
        <f t="shared" si="137"/>
        <v>979</v>
      </c>
      <c r="J1394" s="193">
        <v>0</v>
      </c>
      <c r="K1394">
        <f t="shared" si="136"/>
        <v>945</v>
      </c>
      <c r="L1394" s="62">
        <f t="shared" si="138"/>
        <v>983</v>
      </c>
      <c r="M1394" s="304">
        <v>0.79</v>
      </c>
      <c r="N1394" s="301">
        <f>VLOOKUP(3031,季財報!A:N,8,0)</f>
        <v>3</v>
      </c>
    </row>
    <row r="1395" spans="1:14">
      <c r="A1395" s="187">
        <v>3040</v>
      </c>
      <c r="C1395">
        <v>5</v>
      </c>
      <c r="D1395">
        <v>1032</v>
      </c>
      <c r="E1395">
        <v>17</v>
      </c>
      <c r="F1395">
        <v>1647</v>
      </c>
      <c r="G1395">
        <v>0</v>
      </c>
      <c r="H1395" s="200">
        <v>0</v>
      </c>
      <c r="I1395">
        <f t="shared" si="137"/>
        <v>979</v>
      </c>
      <c r="J1395" s="193">
        <v>0</v>
      </c>
      <c r="K1395">
        <f t="shared" si="136"/>
        <v>945</v>
      </c>
      <c r="L1395" s="62">
        <f t="shared" si="138"/>
        <v>983</v>
      </c>
      <c r="M1395" s="304">
        <v>0.79</v>
      </c>
      <c r="N1395" s="301">
        <f>VLOOKUP(3040,季財報!A:N,8,0)</f>
        <v>2</v>
      </c>
    </row>
    <row r="1396" spans="1:14">
      <c r="A1396" s="187">
        <v>3041</v>
      </c>
      <c r="C1396">
        <v>-40</v>
      </c>
      <c r="H1396" s="200">
        <v>0</v>
      </c>
      <c r="I1396">
        <f t="shared" si="137"/>
        <v>979</v>
      </c>
      <c r="J1396" s="193">
        <v>0</v>
      </c>
      <c r="K1396">
        <f t="shared" si="136"/>
        <v>945</v>
      </c>
      <c r="L1396" s="62">
        <f t="shared" si="138"/>
        <v>983</v>
      </c>
      <c r="M1396" s="304">
        <v>0.79</v>
      </c>
      <c r="N1396" s="301">
        <f>VLOOKUP(3041,季財報!A:N,8,0)</f>
        <v>2</v>
      </c>
    </row>
    <row r="1397" spans="1:14">
      <c r="A1397" s="187">
        <v>3043</v>
      </c>
      <c r="C1397">
        <v>-52</v>
      </c>
      <c r="H1397" s="200">
        <v>0</v>
      </c>
      <c r="I1397">
        <f t="shared" si="137"/>
        <v>979</v>
      </c>
      <c r="J1397" s="193">
        <v>0</v>
      </c>
      <c r="K1397">
        <f t="shared" si="136"/>
        <v>945</v>
      </c>
      <c r="L1397" s="62">
        <f t="shared" si="138"/>
        <v>983</v>
      </c>
      <c r="M1397" s="304">
        <v>0.79</v>
      </c>
      <c r="N1397" s="301">
        <f>VLOOKUP(3043,季財報!A:N,8,0)</f>
        <v>2</v>
      </c>
    </row>
    <row r="1398" spans="1:14">
      <c r="A1398" s="187">
        <v>3046</v>
      </c>
      <c r="C1398">
        <v>-31</v>
      </c>
      <c r="H1398" s="200">
        <v>0</v>
      </c>
      <c r="I1398">
        <f t="shared" si="137"/>
        <v>979</v>
      </c>
      <c r="J1398" s="193">
        <v>0</v>
      </c>
      <c r="K1398">
        <f t="shared" si="136"/>
        <v>945</v>
      </c>
      <c r="L1398" s="62">
        <f t="shared" si="138"/>
        <v>983</v>
      </c>
      <c r="M1398" s="304">
        <v>0.79</v>
      </c>
      <c r="N1398" s="301">
        <f>VLOOKUP(3046,季財報!A:N,8,0)</f>
        <v>5</v>
      </c>
    </row>
    <row r="1399" spans="1:14">
      <c r="A1399" s="187">
        <v>3054</v>
      </c>
      <c r="C1399">
        <v>-30</v>
      </c>
      <c r="H1399" s="200">
        <v>0</v>
      </c>
      <c r="I1399">
        <f t="shared" si="137"/>
        <v>979</v>
      </c>
      <c r="J1399" s="193">
        <v>0</v>
      </c>
      <c r="K1399">
        <f t="shared" si="136"/>
        <v>945</v>
      </c>
      <c r="L1399" s="62">
        <f t="shared" si="138"/>
        <v>983</v>
      </c>
      <c r="M1399" s="304">
        <v>0.79</v>
      </c>
      <c r="N1399" s="301">
        <f>VLOOKUP(3054,季財報!A:N,8,0)</f>
        <v>1</v>
      </c>
    </row>
    <row r="1400" spans="1:14">
      <c r="A1400" s="187">
        <v>3055</v>
      </c>
      <c r="C1400">
        <v>0</v>
      </c>
      <c r="H1400" s="200">
        <v>0</v>
      </c>
      <c r="I1400">
        <f t="shared" si="137"/>
        <v>979</v>
      </c>
      <c r="J1400" s="193">
        <v>0</v>
      </c>
      <c r="K1400">
        <f t="shared" ref="K1400:K1463" si="139">RANK(0,J:J,0)</f>
        <v>945</v>
      </c>
      <c r="L1400" s="62">
        <f t="shared" si="138"/>
        <v>983</v>
      </c>
      <c r="M1400" s="304">
        <v>0.79</v>
      </c>
      <c r="N1400" s="301">
        <f>VLOOKUP(3055,季財報!A:N,8,0)</f>
        <v>0</v>
      </c>
    </row>
    <row r="1401" spans="1:14">
      <c r="A1401" s="187">
        <v>3057</v>
      </c>
      <c r="C1401">
        <v>-12</v>
      </c>
      <c r="H1401" s="200">
        <v>0</v>
      </c>
      <c r="I1401">
        <f t="shared" si="137"/>
        <v>979</v>
      </c>
      <c r="J1401" s="193">
        <v>0</v>
      </c>
      <c r="K1401">
        <f t="shared" si="139"/>
        <v>945</v>
      </c>
      <c r="L1401" s="62">
        <f t="shared" si="138"/>
        <v>983</v>
      </c>
      <c r="M1401" s="304">
        <v>3.11</v>
      </c>
      <c r="N1401" s="301">
        <f>VLOOKUP(3057,季財報!A:N,8,0)</f>
        <v>2</v>
      </c>
    </row>
    <row r="1402" spans="1:14">
      <c r="A1402" s="187">
        <v>3064</v>
      </c>
      <c r="C1402">
        <v>-34</v>
      </c>
      <c r="H1402" s="200">
        <v>0</v>
      </c>
      <c r="I1402">
        <f t="shared" si="137"/>
        <v>979</v>
      </c>
      <c r="J1402" s="193">
        <v>0</v>
      </c>
      <c r="K1402">
        <f t="shared" si="139"/>
        <v>945</v>
      </c>
      <c r="L1402" s="62">
        <f t="shared" si="138"/>
        <v>983</v>
      </c>
      <c r="M1402" s="304">
        <v>1.01</v>
      </c>
      <c r="N1402" s="301">
        <f>VLOOKUP(3064,季財報!A:N,8,0)</f>
        <v>2</v>
      </c>
    </row>
    <row r="1403" spans="1:14">
      <c r="A1403" s="187">
        <v>3066</v>
      </c>
      <c r="C1403">
        <v>-55</v>
      </c>
      <c r="H1403" s="200">
        <v>0</v>
      </c>
      <c r="I1403">
        <f t="shared" si="137"/>
        <v>979</v>
      </c>
      <c r="J1403" s="193">
        <v>0</v>
      </c>
      <c r="K1403">
        <f t="shared" si="139"/>
        <v>945</v>
      </c>
      <c r="L1403" s="62">
        <f t="shared" si="138"/>
        <v>983</v>
      </c>
      <c r="M1403" s="304">
        <v>0.79</v>
      </c>
      <c r="N1403" s="301">
        <f>VLOOKUP(3066,季財報!A:N,8,0)</f>
        <v>1</v>
      </c>
    </row>
    <row r="1404" spans="1:14">
      <c r="A1404" s="187">
        <v>3067</v>
      </c>
      <c r="C1404">
        <v>-10</v>
      </c>
      <c r="H1404" s="200">
        <v>0</v>
      </c>
      <c r="I1404">
        <f t="shared" si="137"/>
        <v>979</v>
      </c>
      <c r="J1404" s="193">
        <v>0</v>
      </c>
      <c r="K1404">
        <f t="shared" si="139"/>
        <v>945</v>
      </c>
      <c r="L1404" s="62">
        <f t="shared" si="138"/>
        <v>983</v>
      </c>
      <c r="M1404" s="304">
        <v>0.79</v>
      </c>
      <c r="N1404" s="301">
        <f>VLOOKUP(3067,季財報!A:N,8,0)</f>
        <v>0</v>
      </c>
    </row>
    <row r="1405" spans="1:14">
      <c r="A1405" s="187">
        <v>3071</v>
      </c>
      <c r="C1405">
        <v>4</v>
      </c>
      <c r="D1405">
        <v>821</v>
      </c>
      <c r="E1405">
        <v>520</v>
      </c>
      <c r="F1405">
        <v>1510</v>
      </c>
      <c r="G1405">
        <v>326</v>
      </c>
      <c r="H1405" s="200">
        <v>0</v>
      </c>
      <c r="I1405">
        <f t="shared" si="137"/>
        <v>979</v>
      </c>
      <c r="J1405" s="193">
        <v>0</v>
      </c>
      <c r="K1405">
        <f t="shared" si="139"/>
        <v>945</v>
      </c>
      <c r="L1405" s="62">
        <f t="shared" si="138"/>
        <v>983</v>
      </c>
      <c r="M1405" s="304">
        <v>0.79</v>
      </c>
      <c r="N1405" s="301">
        <f>VLOOKUP(3071,季財報!A:N,8,0)</f>
        <v>0</v>
      </c>
    </row>
    <row r="1406" spans="1:14">
      <c r="A1406" s="187">
        <v>3073</v>
      </c>
      <c r="C1406">
        <v>-6</v>
      </c>
      <c r="H1406" s="200">
        <v>0</v>
      </c>
      <c r="I1406">
        <f t="shared" si="137"/>
        <v>979</v>
      </c>
      <c r="J1406" s="193">
        <v>0</v>
      </c>
      <c r="K1406">
        <f t="shared" si="139"/>
        <v>945</v>
      </c>
      <c r="L1406" s="62">
        <f t="shared" si="138"/>
        <v>983</v>
      </c>
      <c r="M1406" s="304">
        <v>0.87</v>
      </c>
      <c r="N1406" s="301">
        <f>VLOOKUP(3073,季財報!A:N,8,0)</f>
        <v>1</v>
      </c>
    </row>
    <row r="1407" spans="1:14">
      <c r="A1407" s="187">
        <v>3083</v>
      </c>
      <c r="C1407">
        <v>-76</v>
      </c>
      <c r="H1407" s="200">
        <v>0</v>
      </c>
      <c r="I1407">
        <f t="shared" si="137"/>
        <v>979</v>
      </c>
      <c r="J1407" s="193">
        <v>0</v>
      </c>
      <c r="K1407">
        <f t="shared" si="139"/>
        <v>945</v>
      </c>
      <c r="L1407" s="62">
        <f t="shared" si="138"/>
        <v>983</v>
      </c>
      <c r="M1407" s="304">
        <v>0.79</v>
      </c>
      <c r="N1407" s="301">
        <f>VLOOKUP(3083,季財報!A:N,8,0)</f>
        <v>2</v>
      </c>
    </row>
    <row r="1408" spans="1:14">
      <c r="A1408" s="187">
        <v>3085</v>
      </c>
      <c r="C1408">
        <v>1</v>
      </c>
      <c r="D1408">
        <v>278</v>
      </c>
      <c r="E1408">
        <v>4</v>
      </c>
      <c r="F1408">
        <v>307</v>
      </c>
      <c r="G1408">
        <v>0</v>
      </c>
      <c r="H1408" s="200">
        <v>0</v>
      </c>
      <c r="I1408">
        <f t="shared" si="137"/>
        <v>979</v>
      </c>
      <c r="J1408" s="193">
        <v>0</v>
      </c>
      <c r="K1408">
        <f t="shared" si="139"/>
        <v>945</v>
      </c>
      <c r="L1408" s="62">
        <f t="shared" si="138"/>
        <v>983</v>
      </c>
      <c r="M1408" s="304">
        <v>0.79</v>
      </c>
      <c r="N1408" s="301">
        <f>VLOOKUP(3085,季財報!A:N,8,0)</f>
        <v>3</v>
      </c>
    </row>
    <row r="1409" spans="1:14">
      <c r="A1409" s="187">
        <v>3086</v>
      </c>
      <c r="C1409">
        <v>-27</v>
      </c>
      <c r="H1409" s="200">
        <v>0</v>
      </c>
      <c r="I1409">
        <f t="shared" si="137"/>
        <v>979</v>
      </c>
      <c r="J1409" s="193">
        <v>0</v>
      </c>
      <c r="K1409">
        <f t="shared" si="139"/>
        <v>945</v>
      </c>
      <c r="L1409" s="62">
        <f t="shared" si="138"/>
        <v>983</v>
      </c>
      <c r="M1409" s="304">
        <v>0.79</v>
      </c>
      <c r="N1409" s="301">
        <f>VLOOKUP(3086,季財報!A:N,8,0)</f>
        <v>3</v>
      </c>
    </row>
    <row r="1410" spans="1:14">
      <c r="A1410" s="187">
        <v>3089</v>
      </c>
      <c r="C1410">
        <v>-63</v>
      </c>
      <c r="H1410" s="200">
        <v>0</v>
      </c>
      <c r="I1410">
        <f t="shared" si="137"/>
        <v>979</v>
      </c>
      <c r="J1410" s="193">
        <v>0</v>
      </c>
      <c r="K1410">
        <f t="shared" si="139"/>
        <v>945</v>
      </c>
      <c r="L1410" s="62">
        <f t="shared" si="138"/>
        <v>983</v>
      </c>
      <c r="M1410" s="304">
        <v>0.79</v>
      </c>
      <c r="N1410" s="301">
        <f>VLOOKUP(3089,季財報!A:N,8,0)</f>
        <v>1</v>
      </c>
    </row>
    <row r="1411" spans="1:14">
      <c r="A1411" s="187">
        <v>3095</v>
      </c>
      <c r="C1411">
        <v>-344</v>
      </c>
      <c r="H1411" s="200">
        <v>0</v>
      </c>
      <c r="I1411">
        <f t="shared" si="137"/>
        <v>979</v>
      </c>
      <c r="J1411" s="193">
        <v>0</v>
      </c>
      <c r="K1411">
        <f t="shared" si="139"/>
        <v>945</v>
      </c>
      <c r="L1411" s="62">
        <f t="shared" si="138"/>
        <v>983</v>
      </c>
      <c r="M1411" s="304">
        <v>0.79</v>
      </c>
      <c r="N1411" s="301">
        <f>VLOOKUP(3095,季財報!A:N,8,0)</f>
        <v>2</v>
      </c>
    </row>
    <row r="1412" spans="1:14">
      <c r="A1412" s="187">
        <v>3115</v>
      </c>
      <c r="C1412">
        <v>-2</v>
      </c>
      <c r="H1412" s="200">
        <v>0</v>
      </c>
      <c r="I1412">
        <f t="shared" si="137"/>
        <v>979</v>
      </c>
      <c r="J1412" s="193">
        <v>0</v>
      </c>
      <c r="K1412">
        <f t="shared" si="139"/>
        <v>945</v>
      </c>
      <c r="L1412" s="62">
        <f t="shared" si="138"/>
        <v>983</v>
      </c>
      <c r="M1412" s="304">
        <v>0.79</v>
      </c>
      <c r="N1412" s="301">
        <f>VLOOKUP(3115,季財報!A:N,8,0)</f>
        <v>1</v>
      </c>
    </row>
    <row r="1413" spans="1:14">
      <c r="A1413" s="187">
        <v>3122</v>
      </c>
      <c r="C1413">
        <v>-3</v>
      </c>
      <c r="H1413" s="200">
        <v>0</v>
      </c>
      <c r="I1413">
        <f t="shared" si="137"/>
        <v>979</v>
      </c>
      <c r="J1413" s="193">
        <v>0</v>
      </c>
      <c r="K1413">
        <f t="shared" si="139"/>
        <v>945</v>
      </c>
      <c r="L1413" s="62">
        <f t="shared" si="138"/>
        <v>983</v>
      </c>
      <c r="M1413" s="304">
        <v>1.58</v>
      </c>
      <c r="N1413" s="301">
        <f>VLOOKUP(3122,季財報!A:N,8,0)</f>
        <v>1</v>
      </c>
    </row>
    <row r="1414" spans="1:14">
      <c r="A1414" s="187">
        <v>3126</v>
      </c>
      <c r="C1414">
        <v>-11</v>
      </c>
      <c r="H1414" s="200">
        <v>0</v>
      </c>
      <c r="I1414">
        <f t="shared" si="137"/>
        <v>979</v>
      </c>
      <c r="J1414" s="193">
        <v>0</v>
      </c>
      <c r="K1414">
        <f t="shared" si="139"/>
        <v>945</v>
      </c>
      <c r="L1414" s="62">
        <f t="shared" si="138"/>
        <v>983</v>
      </c>
      <c r="M1414" s="304">
        <v>0.79</v>
      </c>
      <c r="N1414" s="301" t="e">
        <f>VLOOKUP(3126,季財報!A:N,8,0)</f>
        <v>#N/A</v>
      </c>
    </row>
    <row r="1415" spans="1:14">
      <c r="A1415" s="187">
        <v>3128</v>
      </c>
      <c r="C1415">
        <v>-4</v>
      </c>
      <c r="H1415" s="200">
        <v>0</v>
      </c>
      <c r="I1415">
        <f t="shared" si="137"/>
        <v>979</v>
      </c>
      <c r="J1415" s="193">
        <v>0</v>
      </c>
      <c r="K1415">
        <f t="shared" si="139"/>
        <v>945</v>
      </c>
      <c r="L1415" s="62">
        <f t="shared" si="138"/>
        <v>983</v>
      </c>
      <c r="M1415" s="304">
        <v>0.87</v>
      </c>
      <c r="N1415" s="301">
        <f>VLOOKUP(3128,季財報!A:N,8,0)</f>
        <v>2</v>
      </c>
    </row>
    <row r="1416" spans="1:14">
      <c r="A1416" s="187">
        <v>3149</v>
      </c>
      <c r="C1416">
        <v>-408</v>
      </c>
      <c r="H1416" s="200">
        <v>0</v>
      </c>
      <c r="I1416">
        <f t="shared" si="137"/>
        <v>979</v>
      </c>
      <c r="J1416" s="193">
        <v>0</v>
      </c>
      <c r="K1416">
        <f t="shared" si="139"/>
        <v>945</v>
      </c>
      <c r="L1416" s="62">
        <f t="shared" si="138"/>
        <v>983</v>
      </c>
      <c r="M1416" s="304">
        <v>1.84</v>
      </c>
      <c r="N1416" s="301">
        <f>VLOOKUP(3149,季財報!A:N,8,0)</f>
        <v>3</v>
      </c>
    </row>
    <row r="1417" spans="1:14">
      <c r="A1417" s="187">
        <v>3163</v>
      </c>
      <c r="C1417">
        <v>-30</v>
      </c>
      <c r="H1417" s="200">
        <v>0</v>
      </c>
      <c r="I1417">
        <f t="shared" si="137"/>
        <v>979</v>
      </c>
      <c r="J1417" s="193">
        <v>0</v>
      </c>
      <c r="K1417">
        <f t="shared" si="139"/>
        <v>945</v>
      </c>
      <c r="L1417" s="62">
        <f t="shared" si="138"/>
        <v>983</v>
      </c>
      <c r="M1417" s="304">
        <v>0.79</v>
      </c>
      <c r="N1417" s="301">
        <f>VLOOKUP(3163,季財報!A:N,8,0)</f>
        <v>1</v>
      </c>
    </row>
    <row r="1418" spans="1:14">
      <c r="A1418" s="187">
        <v>3176</v>
      </c>
      <c r="C1418">
        <v>-171</v>
      </c>
      <c r="H1418" s="200">
        <v>0</v>
      </c>
      <c r="I1418">
        <f t="shared" si="137"/>
        <v>979</v>
      </c>
      <c r="J1418" s="193">
        <v>0</v>
      </c>
      <c r="K1418">
        <f t="shared" si="139"/>
        <v>945</v>
      </c>
      <c r="L1418" s="62">
        <f t="shared" si="138"/>
        <v>983</v>
      </c>
      <c r="M1418" s="304">
        <v>0.79</v>
      </c>
      <c r="N1418" s="301">
        <f>VLOOKUP(3176,季財報!A:N,8,0)</f>
        <v>2</v>
      </c>
    </row>
    <row r="1419" spans="1:14">
      <c r="A1419" s="187">
        <v>3188</v>
      </c>
      <c r="C1419">
        <v>-2</v>
      </c>
      <c r="H1419" s="200">
        <v>0</v>
      </c>
      <c r="I1419">
        <f t="shared" si="137"/>
        <v>979</v>
      </c>
      <c r="J1419" s="193">
        <v>0</v>
      </c>
      <c r="K1419">
        <f t="shared" si="139"/>
        <v>945</v>
      </c>
      <c r="L1419" s="62">
        <f t="shared" si="138"/>
        <v>983</v>
      </c>
      <c r="M1419" s="304">
        <v>0.79</v>
      </c>
      <c r="N1419" s="301">
        <f>VLOOKUP(3188,季財報!A:N,8,0)</f>
        <v>5</v>
      </c>
    </row>
    <row r="1420" spans="1:14">
      <c r="A1420" s="187">
        <v>3191</v>
      </c>
      <c r="C1420">
        <v>-11</v>
      </c>
      <c r="H1420" s="200">
        <v>0</v>
      </c>
      <c r="I1420">
        <f t="shared" si="137"/>
        <v>979</v>
      </c>
      <c r="J1420" s="193">
        <v>0</v>
      </c>
      <c r="K1420">
        <f t="shared" si="139"/>
        <v>945</v>
      </c>
      <c r="L1420" s="62">
        <f t="shared" si="138"/>
        <v>983</v>
      </c>
      <c r="M1420" s="304">
        <v>0.79</v>
      </c>
      <c r="N1420" s="301" t="e">
        <f>VLOOKUP(3191,季財報!A:N,8,0)</f>
        <v>#N/A</v>
      </c>
    </row>
    <row r="1421" spans="1:14">
      <c r="A1421" s="187">
        <v>3202</v>
      </c>
      <c r="C1421">
        <v>-3</v>
      </c>
      <c r="H1421" s="200">
        <v>0</v>
      </c>
      <c r="I1421">
        <f t="shared" si="137"/>
        <v>979</v>
      </c>
      <c r="J1421" s="193">
        <v>0</v>
      </c>
      <c r="K1421">
        <f t="shared" si="139"/>
        <v>945</v>
      </c>
      <c r="L1421" s="62">
        <f t="shared" si="138"/>
        <v>983</v>
      </c>
      <c r="M1421" s="304">
        <v>0.79</v>
      </c>
      <c r="N1421" s="301">
        <f>VLOOKUP(3202,季財報!A:N,8,0)</f>
        <v>2</v>
      </c>
    </row>
    <row r="1422" spans="1:14">
      <c r="A1422" s="187">
        <v>3207</v>
      </c>
      <c r="C1422">
        <v>-13</v>
      </c>
      <c r="H1422" s="200">
        <v>0</v>
      </c>
      <c r="I1422">
        <f t="shared" si="137"/>
        <v>979</v>
      </c>
      <c r="J1422" s="193">
        <v>0</v>
      </c>
      <c r="K1422">
        <f t="shared" si="139"/>
        <v>945</v>
      </c>
      <c r="L1422" s="62">
        <f t="shared" si="138"/>
        <v>983</v>
      </c>
      <c r="M1422" s="304">
        <v>0.79</v>
      </c>
      <c r="N1422" s="301">
        <f>VLOOKUP(3207,季財報!A:N,8,0)</f>
        <v>3</v>
      </c>
    </row>
    <row r="1423" spans="1:14">
      <c r="A1423" s="187">
        <v>3228</v>
      </c>
      <c r="C1423">
        <v>-21</v>
      </c>
      <c r="H1423" s="200">
        <v>0</v>
      </c>
      <c r="I1423">
        <f t="shared" si="137"/>
        <v>979</v>
      </c>
      <c r="J1423" s="193">
        <v>0</v>
      </c>
      <c r="K1423">
        <f t="shared" si="139"/>
        <v>945</v>
      </c>
      <c r="L1423" s="62">
        <f t="shared" si="138"/>
        <v>983</v>
      </c>
      <c r="M1423" s="304">
        <v>0.79</v>
      </c>
      <c r="N1423" s="301">
        <f>VLOOKUP(3228,季財報!A:N,8,0)</f>
        <v>0</v>
      </c>
    </row>
    <row r="1424" spans="1:14">
      <c r="A1424" s="187">
        <v>3229</v>
      </c>
      <c r="C1424">
        <v>-16</v>
      </c>
      <c r="H1424" s="200">
        <v>0</v>
      </c>
      <c r="I1424">
        <f t="shared" si="137"/>
        <v>979</v>
      </c>
      <c r="J1424" s="193">
        <v>0</v>
      </c>
      <c r="K1424">
        <f t="shared" si="139"/>
        <v>945</v>
      </c>
      <c r="L1424" s="62">
        <f t="shared" si="138"/>
        <v>983</v>
      </c>
      <c r="M1424" s="304">
        <v>0.79</v>
      </c>
      <c r="N1424" s="301">
        <f>VLOOKUP(3229,季財報!A:N,8,0)</f>
        <v>0</v>
      </c>
    </row>
    <row r="1425" spans="1:14">
      <c r="A1425" s="187">
        <v>3230</v>
      </c>
      <c r="C1425">
        <v>-27</v>
      </c>
      <c r="H1425" s="200">
        <v>0</v>
      </c>
      <c r="I1425">
        <f t="shared" si="137"/>
        <v>979</v>
      </c>
      <c r="J1425" s="193">
        <v>0</v>
      </c>
      <c r="K1425">
        <f t="shared" si="139"/>
        <v>945</v>
      </c>
      <c r="L1425" s="62">
        <f t="shared" si="138"/>
        <v>983</v>
      </c>
      <c r="M1425" s="304">
        <v>1.36</v>
      </c>
      <c r="N1425" s="301">
        <f>VLOOKUP(3230,季財報!A:N,8,0)</f>
        <v>0</v>
      </c>
    </row>
    <row r="1426" spans="1:14">
      <c r="A1426" s="187">
        <v>3232</v>
      </c>
      <c r="C1426">
        <v>-9</v>
      </c>
      <c r="H1426" s="200">
        <v>0</v>
      </c>
      <c r="I1426">
        <f t="shared" si="137"/>
        <v>979</v>
      </c>
      <c r="J1426" s="193">
        <v>0</v>
      </c>
      <c r="K1426">
        <f t="shared" si="139"/>
        <v>945</v>
      </c>
      <c r="L1426" s="62">
        <f t="shared" si="138"/>
        <v>983</v>
      </c>
      <c r="M1426" s="304">
        <v>0.79</v>
      </c>
      <c r="N1426" s="301">
        <f>VLOOKUP(3232,季財報!A:N,8,0)</f>
        <v>1</v>
      </c>
    </row>
    <row r="1427" spans="1:14">
      <c r="A1427" s="187">
        <v>3259</v>
      </c>
      <c r="C1427">
        <v>-57</v>
      </c>
      <c r="H1427" s="200">
        <v>0</v>
      </c>
      <c r="I1427">
        <f t="shared" si="137"/>
        <v>979</v>
      </c>
      <c r="J1427" s="193">
        <v>0</v>
      </c>
      <c r="K1427">
        <f t="shared" si="139"/>
        <v>945</v>
      </c>
      <c r="L1427" s="62">
        <f t="shared" si="138"/>
        <v>983</v>
      </c>
      <c r="M1427" s="304">
        <v>9.26</v>
      </c>
      <c r="N1427" s="301">
        <f>VLOOKUP(3259,季財報!A:N,8,0)</f>
        <v>1</v>
      </c>
    </row>
    <row r="1428" spans="1:14">
      <c r="A1428" s="187">
        <v>3260</v>
      </c>
      <c r="C1428">
        <v>7</v>
      </c>
      <c r="D1428">
        <v>2128</v>
      </c>
      <c r="E1428">
        <v>5133</v>
      </c>
      <c r="F1428">
        <v>7419</v>
      </c>
      <c r="G1428">
        <v>5434</v>
      </c>
      <c r="H1428" s="200">
        <v>0</v>
      </c>
      <c r="I1428">
        <f t="shared" si="137"/>
        <v>979</v>
      </c>
      <c r="J1428" s="193">
        <v>0</v>
      </c>
      <c r="K1428">
        <f t="shared" si="139"/>
        <v>945</v>
      </c>
      <c r="L1428" s="62">
        <f t="shared" si="138"/>
        <v>983</v>
      </c>
      <c r="M1428" s="304">
        <v>0.79</v>
      </c>
      <c r="N1428" s="301">
        <f>VLOOKUP(3260,季財報!A:N,8,0)</f>
        <v>2</v>
      </c>
    </row>
    <row r="1429" spans="1:14">
      <c r="A1429" s="187">
        <v>3265</v>
      </c>
      <c r="C1429">
        <v>-160</v>
      </c>
      <c r="H1429" s="200">
        <v>0</v>
      </c>
      <c r="I1429">
        <f t="shared" si="137"/>
        <v>979</v>
      </c>
      <c r="J1429" s="193">
        <v>0</v>
      </c>
      <c r="K1429">
        <f t="shared" si="139"/>
        <v>945</v>
      </c>
      <c r="L1429" s="62">
        <f t="shared" si="138"/>
        <v>983</v>
      </c>
      <c r="M1429" s="304">
        <v>0.79</v>
      </c>
      <c r="N1429" s="301">
        <f>VLOOKUP(3265,季財報!A:N,8,0)</f>
        <v>4</v>
      </c>
    </row>
    <row r="1430" spans="1:14">
      <c r="A1430" s="187">
        <v>3266</v>
      </c>
      <c r="C1430">
        <v>-619</v>
      </c>
      <c r="H1430" s="200">
        <v>0</v>
      </c>
      <c r="I1430">
        <f t="shared" si="137"/>
        <v>979</v>
      </c>
      <c r="J1430" s="193">
        <v>0</v>
      </c>
      <c r="K1430">
        <f t="shared" si="139"/>
        <v>945</v>
      </c>
      <c r="L1430" s="62">
        <f t="shared" si="138"/>
        <v>983</v>
      </c>
      <c r="M1430" s="304">
        <v>0.79</v>
      </c>
      <c r="N1430" s="301">
        <f>VLOOKUP(3266,季財報!A:N,8,0)</f>
        <v>3</v>
      </c>
    </row>
    <row r="1431" spans="1:14">
      <c r="A1431" s="187">
        <v>3268</v>
      </c>
      <c r="C1431">
        <v>-5</v>
      </c>
      <c r="H1431" s="200">
        <v>0</v>
      </c>
      <c r="I1431">
        <f t="shared" si="137"/>
        <v>979</v>
      </c>
      <c r="J1431" s="193">
        <v>0</v>
      </c>
      <c r="K1431">
        <f t="shared" si="139"/>
        <v>945</v>
      </c>
      <c r="L1431" s="62">
        <f t="shared" si="138"/>
        <v>983</v>
      </c>
      <c r="M1431" s="304">
        <v>1.84</v>
      </c>
      <c r="N1431" s="301">
        <f>VLOOKUP(3268,季財報!A:N,8,0)</f>
        <v>2</v>
      </c>
    </row>
    <row r="1432" spans="1:14">
      <c r="A1432" s="187">
        <v>3276</v>
      </c>
      <c r="C1432">
        <v>-2</v>
      </c>
      <c r="H1432" s="200">
        <v>0</v>
      </c>
      <c r="I1432">
        <f t="shared" ref="I1432:I1495" si="140">RANK(0,H:H,0)</f>
        <v>979</v>
      </c>
      <c r="J1432" s="193">
        <v>0</v>
      </c>
      <c r="K1432">
        <f t="shared" si="139"/>
        <v>945</v>
      </c>
      <c r="L1432" s="62">
        <f t="shared" ref="L1432:L1495" si="141">RANK(0.79,M:M,0)</f>
        <v>983</v>
      </c>
      <c r="M1432" s="304">
        <v>1.9</v>
      </c>
      <c r="N1432" s="301">
        <f>VLOOKUP(3276,季財報!A:N,8,0)</f>
        <v>2</v>
      </c>
    </row>
    <row r="1433" spans="1:14">
      <c r="A1433" s="187">
        <v>3284</v>
      </c>
      <c r="C1433">
        <v>0</v>
      </c>
      <c r="H1433" s="200">
        <v>0</v>
      </c>
      <c r="I1433">
        <f t="shared" si="140"/>
        <v>979</v>
      </c>
      <c r="J1433" s="193">
        <v>0</v>
      </c>
      <c r="K1433">
        <f t="shared" si="139"/>
        <v>945</v>
      </c>
      <c r="L1433" s="62">
        <f t="shared" si="141"/>
        <v>983</v>
      </c>
      <c r="M1433" s="304">
        <v>0.79</v>
      </c>
      <c r="N1433" s="301">
        <f>VLOOKUP(3284,季財報!A:N,8,0)</f>
        <v>4</v>
      </c>
    </row>
    <row r="1434" spans="1:14">
      <c r="A1434" s="187">
        <v>3287</v>
      </c>
      <c r="C1434">
        <v>-13</v>
      </c>
      <c r="H1434" s="200">
        <v>0</v>
      </c>
      <c r="I1434">
        <f t="shared" si="140"/>
        <v>979</v>
      </c>
      <c r="J1434" s="193">
        <v>0</v>
      </c>
      <c r="K1434">
        <f t="shared" si="139"/>
        <v>945</v>
      </c>
      <c r="L1434" s="62">
        <f t="shared" si="141"/>
        <v>983</v>
      </c>
      <c r="M1434" s="304">
        <v>0.79</v>
      </c>
      <c r="N1434" s="301">
        <f>VLOOKUP(3287,季財報!A:N,8,0)</f>
        <v>3</v>
      </c>
    </row>
    <row r="1435" spans="1:14">
      <c r="A1435" s="187">
        <v>3288</v>
      </c>
      <c r="C1435">
        <v>-15</v>
      </c>
      <c r="H1435" s="200">
        <v>0</v>
      </c>
      <c r="I1435">
        <f t="shared" si="140"/>
        <v>979</v>
      </c>
      <c r="J1435" s="193">
        <v>0</v>
      </c>
      <c r="K1435">
        <f t="shared" si="139"/>
        <v>945</v>
      </c>
      <c r="L1435" s="62">
        <f t="shared" si="141"/>
        <v>983</v>
      </c>
      <c r="M1435" s="304">
        <v>3.37</v>
      </c>
      <c r="N1435" s="301">
        <f>VLOOKUP(3288,季財報!A:N,8,0)</f>
        <v>3</v>
      </c>
    </row>
    <row r="1436" spans="1:14">
      <c r="A1436" s="187">
        <v>3291</v>
      </c>
      <c r="C1436">
        <v>1</v>
      </c>
      <c r="D1436">
        <v>496</v>
      </c>
      <c r="E1436">
        <v>36</v>
      </c>
      <c r="F1436">
        <v>563</v>
      </c>
      <c r="G1436">
        <v>0</v>
      </c>
      <c r="H1436" s="200">
        <v>0</v>
      </c>
      <c r="I1436">
        <f t="shared" si="140"/>
        <v>979</v>
      </c>
      <c r="J1436" s="193">
        <v>0</v>
      </c>
      <c r="K1436">
        <f t="shared" si="139"/>
        <v>945</v>
      </c>
      <c r="L1436" s="62">
        <f t="shared" si="141"/>
        <v>983</v>
      </c>
      <c r="M1436" s="304">
        <v>0.79</v>
      </c>
      <c r="N1436" s="301">
        <f>VLOOKUP(3291,季財報!A:N,8,0)</f>
        <v>3</v>
      </c>
    </row>
    <row r="1437" spans="1:14">
      <c r="A1437" s="187">
        <v>3297</v>
      </c>
      <c r="C1437">
        <v>3</v>
      </c>
      <c r="D1437">
        <v>388</v>
      </c>
      <c r="E1437">
        <v>453</v>
      </c>
      <c r="F1437">
        <v>867</v>
      </c>
      <c r="G1437">
        <v>2</v>
      </c>
      <c r="H1437" s="200">
        <v>0</v>
      </c>
      <c r="I1437">
        <f t="shared" si="140"/>
        <v>979</v>
      </c>
      <c r="J1437" s="193">
        <v>0</v>
      </c>
      <c r="K1437">
        <f t="shared" si="139"/>
        <v>945</v>
      </c>
      <c r="L1437" s="62">
        <f t="shared" si="141"/>
        <v>983</v>
      </c>
      <c r="M1437" s="304">
        <v>1.36</v>
      </c>
      <c r="N1437" s="301">
        <f>VLOOKUP(3297,季財報!A:N,8,0)</f>
        <v>1</v>
      </c>
    </row>
    <row r="1438" spans="1:14">
      <c r="A1438" s="187">
        <v>3308</v>
      </c>
      <c r="C1438">
        <v>6</v>
      </c>
      <c r="D1438">
        <v>954</v>
      </c>
      <c r="E1438">
        <v>589</v>
      </c>
      <c r="F1438">
        <v>1180</v>
      </c>
      <c r="G1438">
        <v>652</v>
      </c>
      <c r="H1438" s="200">
        <v>0</v>
      </c>
      <c r="I1438">
        <f t="shared" si="140"/>
        <v>979</v>
      </c>
      <c r="J1438" s="193">
        <v>0</v>
      </c>
      <c r="K1438">
        <f t="shared" si="139"/>
        <v>945</v>
      </c>
      <c r="L1438" s="62">
        <f t="shared" si="141"/>
        <v>983</v>
      </c>
      <c r="M1438" s="304">
        <v>0.79</v>
      </c>
      <c r="N1438" s="301">
        <f>VLOOKUP(3308,季財報!A:N,8,0)</f>
        <v>2</v>
      </c>
    </row>
    <row r="1439" spans="1:14">
      <c r="A1439" s="187">
        <v>3311</v>
      </c>
      <c r="C1439">
        <v>11</v>
      </c>
      <c r="D1439">
        <v>3990</v>
      </c>
      <c r="E1439">
        <v>1151</v>
      </c>
      <c r="F1439">
        <v>4482</v>
      </c>
      <c r="G1439">
        <v>0</v>
      </c>
      <c r="H1439" s="200">
        <v>0</v>
      </c>
      <c r="I1439">
        <f t="shared" si="140"/>
        <v>979</v>
      </c>
      <c r="J1439" s="193">
        <v>0</v>
      </c>
      <c r="K1439">
        <f t="shared" si="139"/>
        <v>945</v>
      </c>
      <c r="L1439" s="62">
        <f t="shared" si="141"/>
        <v>983</v>
      </c>
      <c r="M1439" s="304">
        <v>0.79</v>
      </c>
      <c r="N1439" s="301">
        <f>VLOOKUP(3311,季財報!A:N,8,0)</f>
        <v>4</v>
      </c>
    </row>
    <row r="1440" spans="1:14">
      <c r="A1440" s="187">
        <v>3312</v>
      </c>
      <c r="C1440">
        <v>-53</v>
      </c>
      <c r="H1440" s="200">
        <v>0</v>
      </c>
      <c r="I1440">
        <f t="shared" si="140"/>
        <v>979</v>
      </c>
      <c r="J1440" s="193">
        <v>0</v>
      </c>
      <c r="K1440">
        <f t="shared" si="139"/>
        <v>945</v>
      </c>
      <c r="L1440" s="62">
        <f t="shared" si="141"/>
        <v>983</v>
      </c>
      <c r="M1440" s="304">
        <v>0.79</v>
      </c>
      <c r="N1440" s="301">
        <f>VLOOKUP(3312,季財報!A:N,8,0)</f>
        <v>3</v>
      </c>
    </row>
    <row r="1441" spans="1:14">
      <c r="A1441" s="187">
        <v>3313</v>
      </c>
      <c r="C1441">
        <v>-48</v>
      </c>
      <c r="H1441" s="200">
        <v>0</v>
      </c>
      <c r="I1441">
        <f t="shared" si="140"/>
        <v>979</v>
      </c>
      <c r="J1441" s="193">
        <v>0</v>
      </c>
      <c r="K1441">
        <f t="shared" si="139"/>
        <v>945</v>
      </c>
      <c r="L1441" s="62">
        <f t="shared" si="141"/>
        <v>983</v>
      </c>
      <c r="M1441" s="304">
        <v>0.79</v>
      </c>
      <c r="N1441" s="301">
        <f>VLOOKUP(3313,季財報!A:N,8,0)</f>
        <v>4</v>
      </c>
    </row>
    <row r="1442" spans="1:14">
      <c r="A1442" s="187">
        <v>3317</v>
      </c>
      <c r="C1442">
        <v>-15</v>
      </c>
      <c r="H1442" s="200">
        <v>0</v>
      </c>
      <c r="I1442">
        <f t="shared" si="140"/>
        <v>979</v>
      </c>
      <c r="J1442" s="193">
        <v>0</v>
      </c>
      <c r="K1442">
        <f t="shared" si="139"/>
        <v>945</v>
      </c>
      <c r="L1442" s="62">
        <f t="shared" si="141"/>
        <v>983</v>
      </c>
      <c r="M1442" s="304">
        <v>9.26</v>
      </c>
      <c r="N1442" s="301">
        <f>VLOOKUP(3317,季財報!A:N,8,0)</f>
        <v>4</v>
      </c>
    </row>
    <row r="1443" spans="1:14">
      <c r="A1443" s="187">
        <v>3322</v>
      </c>
      <c r="C1443">
        <v>-24</v>
      </c>
      <c r="H1443" s="200">
        <v>0</v>
      </c>
      <c r="I1443">
        <f t="shared" si="140"/>
        <v>979</v>
      </c>
      <c r="J1443" s="193">
        <v>0</v>
      </c>
      <c r="K1443">
        <f t="shared" si="139"/>
        <v>945</v>
      </c>
      <c r="L1443" s="62">
        <f t="shared" si="141"/>
        <v>983</v>
      </c>
      <c r="M1443" s="304">
        <v>1.36</v>
      </c>
      <c r="N1443" s="301">
        <f>VLOOKUP(3322,季財報!A:N,8,0)</f>
        <v>1</v>
      </c>
    </row>
    <row r="1444" spans="1:14">
      <c r="A1444" s="187">
        <v>3325</v>
      </c>
      <c r="C1444">
        <v>-7</v>
      </c>
      <c r="H1444" s="200">
        <v>0</v>
      </c>
      <c r="I1444">
        <f t="shared" si="140"/>
        <v>979</v>
      </c>
      <c r="J1444" s="193">
        <v>0</v>
      </c>
      <c r="K1444">
        <f t="shared" si="139"/>
        <v>945</v>
      </c>
      <c r="L1444" s="62">
        <f t="shared" si="141"/>
        <v>983</v>
      </c>
      <c r="M1444" s="304">
        <v>0.79</v>
      </c>
      <c r="N1444" s="301">
        <f>VLOOKUP(3325,季財報!A:N,8,0)</f>
        <v>3</v>
      </c>
    </row>
    <row r="1445" spans="1:14">
      <c r="A1445" s="187">
        <v>3339</v>
      </c>
      <c r="C1445">
        <v>-229</v>
      </c>
      <c r="H1445" s="200">
        <v>0</v>
      </c>
      <c r="I1445">
        <f t="shared" si="140"/>
        <v>979</v>
      </c>
      <c r="J1445" s="193">
        <v>0</v>
      </c>
      <c r="K1445">
        <f t="shared" si="139"/>
        <v>945</v>
      </c>
      <c r="L1445" s="62">
        <f t="shared" si="141"/>
        <v>983</v>
      </c>
      <c r="M1445" s="304">
        <v>4.05</v>
      </c>
      <c r="N1445" s="301">
        <f>VLOOKUP(3339,季財報!A:N,8,0)</f>
        <v>2</v>
      </c>
    </row>
    <row r="1446" spans="1:14">
      <c r="A1446" s="187">
        <v>3362</v>
      </c>
      <c r="C1446">
        <v>-26</v>
      </c>
      <c r="H1446" s="200">
        <v>0</v>
      </c>
      <c r="I1446">
        <f t="shared" si="140"/>
        <v>979</v>
      </c>
      <c r="J1446" s="193">
        <v>0</v>
      </c>
      <c r="K1446">
        <f t="shared" si="139"/>
        <v>945</v>
      </c>
      <c r="L1446" s="62">
        <f t="shared" si="141"/>
        <v>983</v>
      </c>
      <c r="M1446" s="304">
        <v>1.36</v>
      </c>
      <c r="N1446" s="301">
        <f>VLOOKUP(3362,季財報!A:N,8,0)</f>
        <v>3</v>
      </c>
    </row>
    <row r="1447" spans="1:14">
      <c r="A1447" s="187">
        <v>3363</v>
      </c>
      <c r="C1447">
        <v>-23</v>
      </c>
      <c r="H1447" s="200">
        <v>0</v>
      </c>
      <c r="I1447">
        <f t="shared" si="140"/>
        <v>979</v>
      </c>
      <c r="J1447" s="193">
        <v>0</v>
      </c>
      <c r="K1447">
        <f t="shared" si="139"/>
        <v>945</v>
      </c>
      <c r="L1447" s="62">
        <f t="shared" si="141"/>
        <v>983</v>
      </c>
      <c r="M1447" s="304">
        <v>0.79</v>
      </c>
      <c r="N1447" s="301">
        <f>VLOOKUP(3363,季財報!A:N,8,0)</f>
        <v>3</v>
      </c>
    </row>
    <row r="1448" spans="1:14">
      <c r="A1448" s="187">
        <v>3372</v>
      </c>
      <c r="C1448">
        <v>-82</v>
      </c>
      <c r="H1448" s="200">
        <v>0</v>
      </c>
      <c r="I1448">
        <f t="shared" si="140"/>
        <v>979</v>
      </c>
      <c r="J1448" s="193">
        <v>0</v>
      </c>
      <c r="K1448">
        <f t="shared" si="139"/>
        <v>945</v>
      </c>
      <c r="L1448" s="62">
        <f t="shared" si="141"/>
        <v>983</v>
      </c>
      <c r="M1448" s="304">
        <v>0.79</v>
      </c>
      <c r="N1448" s="301">
        <f>VLOOKUP(3372,季財報!A:N,8,0)</f>
        <v>4</v>
      </c>
    </row>
    <row r="1449" spans="1:14">
      <c r="A1449" s="187">
        <v>3374</v>
      </c>
      <c r="C1449">
        <v>-13</v>
      </c>
      <c r="H1449" s="200">
        <v>0</v>
      </c>
      <c r="I1449">
        <f t="shared" si="140"/>
        <v>979</v>
      </c>
      <c r="J1449" s="193">
        <v>0</v>
      </c>
      <c r="K1449">
        <f t="shared" si="139"/>
        <v>945</v>
      </c>
      <c r="L1449" s="62">
        <f t="shared" si="141"/>
        <v>983</v>
      </c>
      <c r="M1449" s="304">
        <v>0.79</v>
      </c>
      <c r="N1449" s="301">
        <f>VLOOKUP(3374,季財報!A:N,8,0)</f>
        <v>0</v>
      </c>
    </row>
    <row r="1450" spans="1:14">
      <c r="A1450" s="187">
        <v>3379</v>
      </c>
      <c r="C1450">
        <v>-26</v>
      </c>
      <c r="H1450" s="200">
        <v>0</v>
      </c>
      <c r="I1450">
        <f t="shared" si="140"/>
        <v>979</v>
      </c>
      <c r="J1450" s="193">
        <v>0</v>
      </c>
      <c r="K1450">
        <f t="shared" si="139"/>
        <v>945</v>
      </c>
      <c r="L1450" s="62">
        <f t="shared" si="141"/>
        <v>983</v>
      </c>
      <c r="M1450" s="304">
        <v>0.79</v>
      </c>
      <c r="N1450" s="301">
        <f>VLOOKUP(3379,季財報!A:N,8,0)</f>
        <v>2</v>
      </c>
    </row>
    <row r="1451" spans="1:14">
      <c r="A1451" s="187">
        <v>3380</v>
      </c>
      <c r="C1451">
        <v>-16</v>
      </c>
      <c r="H1451" s="200">
        <v>0</v>
      </c>
      <c r="I1451">
        <f t="shared" si="140"/>
        <v>979</v>
      </c>
      <c r="J1451" s="193">
        <v>0</v>
      </c>
      <c r="K1451">
        <f t="shared" si="139"/>
        <v>945</v>
      </c>
      <c r="L1451" s="62">
        <f t="shared" si="141"/>
        <v>983</v>
      </c>
      <c r="M1451" s="304">
        <v>0.79</v>
      </c>
      <c r="N1451" s="301">
        <f>VLOOKUP(3380,季財報!A:N,8,0)</f>
        <v>0</v>
      </c>
    </row>
    <row r="1452" spans="1:14">
      <c r="A1452" s="187">
        <v>3383</v>
      </c>
      <c r="C1452">
        <v>-413</v>
      </c>
      <c r="H1452" s="200">
        <v>0</v>
      </c>
      <c r="I1452">
        <f t="shared" si="140"/>
        <v>979</v>
      </c>
      <c r="J1452" s="193">
        <v>0</v>
      </c>
      <c r="K1452">
        <f t="shared" si="139"/>
        <v>945</v>
      </c>
      <c r="L1452" s="62">
        <f t="shared" si="141"/>
        <v>983</v>
      </c>
      <c r="M1452" s="304">
        <v>0.79</v>
      </c>
      <c r="N1452" s="301">
        <f>VLOOKUP(3383,季財報!A:N,8,0)</f>
        <v>1</v>
      </c>
    </row>
    <row r="1453" spans="1:14">
      <c r="A1453" s="187">
        <v>3390</v>
      </c>
      <c r="C1453">
        <v>-19</v>
      </c>
      <c r="H1453" s="200">
        <v>0</v>
      </c>
      <c r="I1453">
        <f t="shared" si="140"/>
        <v>979</v>
      </c>
      <c r="J1453" s="193">
        <v>0</v>
      </c>
      <c r="K1453">
        <f t="shared" si="139"/>
        <v>945</v>
      </c>
      <c r="L1453" s="62">
        <f t="shared" si="141"/>
        <v>983</v>
      </c>
      <c r="M1453" s="304">
        <v>1.36</v>
      </c>
      <c r="N1453" s="301">
        <f>VLOOKUP(3390,季財報!A:N,8,0)</f>
        <v>2</v>
      </c>
    </row>
    <row r="1454" spans="1:14">
      <c r="A1454" s="187">
        <v>3406</v>
      </c>
      <c r="C1454">
        <v>1</v>
      </c>
      <c r="D1454">
        <v>0</v>
      </c>
      <c r="E1454">
        <v>8621</v>
      </c>
      <c r="F1454">
        <v>7078</v>
      </c>
      <c r="G1454">
        <v>4835</v>
      </c>
      <c r="H1454" s="200">
        <v>0</v>
      </c>
      <c r="I1454">
        <f t="shared" si="140"/>
        <v>979</v>
      </c>
      <c r="J1454" s="193">
        <v>0</v>
      </c>
      <c r="K1454">
        <f t="shared" si="139"/>
        <v>945</v>
      </c>
      <c r="L1454" s="62">
        <f t="shared" si="141"/>
        <v>983</v>
      </c>
      <c r="M1454" s="304">
        <v>1.58</v>
      </c>
      <c r="N1454" s="301">
        <f>VLOOKUP(3406,季財報!A:N,8,0)</f>
        <v>2</v>
      </c>
    </row>
    <row r="1455" spans="1:14">
      <c r="A1455" s="187">
        <v>3419</v>
      </c>
      <c r="C1455">
        <v>2</v>
      </c>
      <c r="D1455">
        <v>830</v>
      </c>
      <c r="E1455">
        <v>580</v>
      </c>
      <c r="F1455">
        <v>1742</v>
      </c>
      <c r="G1455">
        <v>429</v>
      </c>
      <c r="H1455" s="200">
        <v>0</v>
      </c>
      <c r="I1455">
        <f t="shared" si="140"/>
        <v>979</v>
      </c>
      <c r="J1455" s="193">
        <v>0</v>
      </c>
      <c r="K1455">
        <f t="shared" si="139"/>
        <v>945</v>
      </c>
      <c r="L1455" s="62">
        <f t="shared" si="141"/>
        <v>983</v>
      </c>
      <c r="M1455" s="304">
        <v>0.79</v>
      </c>
      <c r="N1455" s="301">
        <f>VLOOKUP(3419,季財報!A:N,8,0)</f>
        <v>5</v>
      </c>
    </row>
    <row r="1456" spans="1:14">
      <c r="A1456" s="187">
        <v>3431</v>
      </c>
      <c r="C1456">
        <v>-23</v>
      </c>
      <c r="H1456" s="200">
        <v>0</v>
      </c>
      <c r="I1456">
        <f t="shared" si="140"/>
        <v>979</v>
      </c>
      <c r="J1456" s="193">
        <v>0</v>
      </c>
      <c r="K1456">
        <f t="shared" si="139"/>
        <v>945</v>
      </c>
      <c r="L1456" s="62">
        <f t="shared" si="141"/>
        <v>983</v>
      </c>
      <c r="M1456" s="304">
        <v>0.79</v>
      </c>
      <c r="N1456" s="301">
        <f>VLOOKUP(3431,季財報!A:N,8,0)</f>
        <v>0</v>
      </c>
    </row>
    <row r="1457" spans="1:14">
      <c r="A1457" s="187">
        <v>3432</v>
      </c>
      <c r="C1457">
        <v>3</v>
      </c>
      <c r="D1457">
        <v>915</v>
      </c>
      <c r="E1457">
        <v>621</v>
      </c>
      <c r="F1457">
        <v>1508</v>
      </c>
      <c r="G1457">
        <v>112</v>
      </c>
      <c r="H1457" s="200">
        <v>0</v>
      </c>
      <c r="I1457">
        <f t="shared" si="140"/>
        <v>979</v>
      </c>
      <c r="J1457" s="193">
        <v>0</v>
      </c>
      <c r="K1457">
        <f t="shared" si="139"/>
        <v>945</v>
      </c>
      <c r="L1457" s="62">
        <f t="shared" si="141"/>
        <v>983</v>
      </c>
      <c r="M1457" s="304">
        <v>1.36</v>
      </c>
      <c r="N1457" s="301">
        <f>VLOOKUP(3432,季財報!A:N,8,0)</f>
        <v>1</v>
      </c>
    </row>
    <row r="1458" spans="1:14">
      <c r="A1458" s="187">
        <v>3438</v>
      </c>
      <c r="C1458">
        <v>-20</v>
      </c>
      <c r="H1458" s="200">
        <v>0</v>
      </c>
      <c r="I1458">
        <f t="shared" si="140"/>
        <v>979</v>
      </c>
      <c r="J1458" s="193">
        <v>0</v>
      </c>
      <c r="K1458">
        <f t="shared" si="139"/>
        <v>945</v>
      </c>
      <c r="L1458" s="62">
        <f t="shared" si="141"/>
        <v>983</v>
      </c>
      <c r="M1458" s="304">
        <v>0.79</v>
      </c>
      <c r="N1458" s="301">
        <f>VLOOKUP(3438,季財報!A:N,8,0)</f>
        <v>0</v>
      </c>
    </row>
    <row r="1459" spans="1:14">
      <c r="A1459" s="187">
        <v>3441</v>
      </c>
      <c r="C1459">
        <v>-1</v>
      </c>
      <c r="H1459" s="200">
        <v>0</v>
      </c>
      <c r="I1459">
        <f t="shared" si="140"/>
        <v>979</v>
      </c>
      <c r="J1459" s="193">
        <v>0</v>
      </c>
      <c r="K1459">
        <f t="shared" si="139"/>
        <v>945</v>
      </c>
      <c r="L1459" s="62">
        <f t="shared" si="141"/>
        <v>983</v>
      </c>
      <c r="M1459" s="304">
        <v>0.79</v>
      </c>
      <c r="N1459" s="301">
        <f>VLOOKUP(3441,季財報!A:N,8,0)</f>
        <v>2</v>
      </c>
    </row>
    <row r="1460" spans="1:14">
      <c r="A1460" s="187">
        <v>3452</v>
      </c>
      <c r="C1460">
        <v>-215</v>
      </c>
      <c r="H1460" s="200">
        <v>0</v>
      </c>
      <c r="I1460">
        <f t="shared" si="140"/>
        <v>979</v>
      </c>
      <c r="J1460" s="193">
        <v>0</v>
      </c>
      <c r="K1460">
        <f t="shared" si="139"/>
        <v>945</v>
      </c>
      <c r="L1460" s="62">
        <f t="shared" si="141"/>
        <v>983</v>
      </c>
      <c r="M1460" s="304">
        <v>7.07</v>
      </c>
      <c r="N1460" s="301">
        <f>VLOOKUP(3452,季財報!A:N,8,0)</f>
        <v>4</v>
      </c>
    </row>
    <row r="1461" spans="1:14">
      <c r="A1461" s="187">
        <v>3465</v>
      </c>
      <c r="C1461">
        <v>-24</v>
      </c>
      <c r="H1461" s="200">
        <v>0</v>
      </c>
      <c r="I1461">
        <f t="shared" si="140"/>
        <v>979</v>
      </c>
      <c r="J1461" s="193">
        <v>0</v>
      </c>
      <c r="K1461">
        <f t="shared" si="139"/>
        <v>945</v>
      </c>
      <c r="L1461" s="62">
        <f t="shared" si="141"/>
        <v>983</v>
      </c>
      <c r="M1461" s="304">
        <v>0.79</v>
      </c>
      <c r="N1461" s="301">
        <f>VLOOKUP(3465,季財報!A:N,8,0)</f>
        <v>0</v>
      </c>
    </row>
    <row r="1462" spans="1:14">
      <c r="A1462" s="187">
        <v>3466</v>
      </c>
      <c r="C1462">
        <v>-17</v>
      </c>
      <c r="H1462" s="200">
        <v>0</v>
      </c>
      <c r="I1462">
        <f t="shared" si="140"/>
        <v>979</v>
      </c>
      <c r="J1462" s="193">
        <v>0</v>
      </c>
      <c r="K1462">
        <f t="shared" si="139"/>
        <v>945</v>
      </c>
      <c r="L1462" s="62">
        <f t="shared" si="141"/>
        <v>983</v>
      </c>
      <c r="M1462" s="304">
        <v>0.79</v>
      </c>
      <c r="N1462" s="301">
        <f>VLOOKUP(3466,季財報!A:N,8,0)</f>
        <v>2</v>
      </c>
    </row>
    <row r="1463" spans="1:14">
      <c r="A1463" s="187">
        <v>3483</v>
      </c>
      <c r="C1463">
        <v>-26</v>
      </c>
      <c r="H1463" s="200">
        <v>0</v>
      </c>
      <c r="I1463">
        <f t="shared" si="140"/>
        <v>979</v>
      </c>
      <c r="J1463" s="193">
        <v>0</v>
      </c>
      <c r="K1463">
        <f t="shared" si="139"/>
        <v>945</v>
      </c>
      <c r="L1463" s="62">
        <f t="shared" si="141"/>
        <v>983</v>
      </c>
      <c r="M1463" s="304">
        <v>0.79</v>
      </c>
      <c r="N1463" s="301">
        <f>VLOOKUP(3483,季財報!A:N,8,0)</f>
        <v>3</v>
      </c>
    </row>
    <row r="1464" spans="1:14">
      <c r="A1464" s="187">
        <v>3494</v>
      </c>
      <c r="C1464">
        <v>3</v>
      </c>
      <c r="D1464">
        <v>642</v>
      </c>
      <c r="E1464">
        <v>1634</v>
      </c>
      <c r="F1464">
        <v>2816</v>
      </c>
      <c r="G1464">
        <v>628</v>
      </c>
      <c r="H1464" s="200">
        <v>0</v>
      </c>
      <c r="I1464">
        <f t="shared" si="140"/>
        <v>979</v>
      </c>
      <c r="J1464" s="193">
        <v>0</v>
      </c>
      <c r="K1464">
        <f t="shared" ref="K1464:K1519" si="142">RANK(0,J:J,0)</f>
        <v>945</v>
      </c>
      <c r="L1464" s="62">
        <f t="shared" si="141"/>
        <v>983</v>
      </c>
      <c r="M1464" s="304">
        <v>0.79</v>
      </c>
      <c r="N1464" s="301">
        <f>VLOOKUP(3494,季財報!A:N,8,0)</f>
        <v>0</v>
      </c>
    </row>
    <row r="1465" spans="1:14">
      <c r="A1465" s="187">
        <v>3508</v>
      </c>
      <c r="C1465">
        <v>-70</v>
      </c>
      <c r="H1465" s="200">
        <v>0</v>
      </c>
      <c r="I1465">
        <f t="shared" si="140"/>
        <v>979</v>
      </c>
      <c r="J1465" s="193">
        <v>0</v>
      </c>
      <c r="K1465">
        <f t="shared" si="142"/>
        <v>945</v>
      </c>
      <c r="L1465" s="62">
        <f t="shared" si="141"/>
        <v>983</v>
      </c>
      <c r="M1465" s="304">
        <v>0.79</v>
      </c>
      <c r="N1465" s="301">
        <f>VLOOKUP(3508,季財報!A:N,8,0)</f>
        <v>3</v>
      </c>
    </row>
    <row r="1466" spans="1:14">
      <c r="A1466" s="187">
        <v>3516</v>
      </c>
      <c r="C1466">
        <v>-37</v>
      </c>
      <c r="H1466" s="200">
        <v>0</v>
      </c>
      <c r="I1466">
        <f t="shared" si="140"/>
        <v>979</v>
      </c>
      <c r="J1466" s="193">
        <v>0</v>
      </c>
      <c r="K1466">
        <f t="shared" si="142"/>
        <v>945</v>
      </c>
      <c r="L1466" s="62">
        <f t="shared" si="141"/>
        <v>983</v>
      </c>
      <c r="M1466" s="304">
        <v>0.79</v>
      </c>
      <c r="N1466" s="301">
        <f>VLOOKUP(3516,季財報!A:N,8,0)</f>
        <v>1</v>
      </c>
    </row>
    <row r="1467" spans="1:14">
      <c r="A1467" s="187">
        <v>3518</v>
      </c>
      <c r="C1467">
        <v>-46</v>
      </c>
      <c r="H1467" s="200">
        <v>0</v>
      </c>
      <c r="I1467">
        <f t="shared" si="140"/>
        <v>979</v>
      </c>
      <c r="J1467" s="193">
        <v>0</v>
      </c>
      <c r="K1467">
        <f t="shared" si="142"/>
        <v>945</v>
      </c>
      <c r="L1467" s="62">
        <f t="shared" si="141"/>
        <v>983</v>
      </c>
      <c r="M1467" s="304">
        <v>0.79</v>
      </c>
      <c r="N1467" s="301">
        <f>VLOOKUP(3518,季財報!A:N,8,0)</f>
        <v>1</v>
      </c>
    </row>
    <row r="1468" spans="1:14">
      <c r="A1468" s="187">
        <v>3519</v>
      </c>
      <c r="C1468">
        <v>-174</v>
      </c>
      <c r="H1468" s="200">
        <v>0</v>
      </c>
      <c r="I1468">
        <f t="shared" si="140"/>
        <v>979</v>
      </c>
      <c r="J1468" s="193">
        <v>0</v>
      </c>
      <c r="K1468">
        <f t="shared" si="142"/>
        <v>945</v>
      </c>
      <c r="L1468" s="62">
        <f t="shared" si="141"/>
        <v>983</v>
      </c>
      <c r="M1468" s="304">
        <v>0.79</v>
      </c>
      <c r="N1468" s="301">
        <f>VLOOKUP(3519,季財報!A:N,8,0)</f>
        <v>3</v>
      </c>
    </row>
    <row r="1469" spans="1:14">
      <c r="A1469" s="187">
        <v>3520</v>
      </c>
      <c r="C1469">
        <v>-3</v>
      </c>
      <c r="H1469" s="200">
        <v>0</v>
      </c>
      <c r="I1469">
        <f t="shared" si="140"/>
        <v>979</v>
      </c>
      <c r="J1469" s="193">
        <v>0</v>
      </c>
      <c r="K1469">
        <f t="shared" si="142"/>
        <v>945</v>
      </c>
      <c r="L1469" s="62">
        <f t="shared" si="141"/>
        <v>983</v>
      </c>
      <c r="M1469" s="304">
        <v>0.79</v>
      </c>
      <c r="N1469" s="301">
        <f>VLOOKUP(3520,季財報!A:N,8,0)</f>
        <v>4</v>
      </c>
    </row>
    <row r="1470" spans="1:14">
      <c r="A1470" s="187">
        <v>3522</v>
      </c>
      <c r="C1470">
        <v>-9</v>
      </c>
      <c r="H1470" s="200">
        <v>0</v>
      </c>
      <c r="I1470">
        <f t="shared" si="140"/>
        <v>979</v>
      </c>
      <c r="J1470" s="193">
        <v>0</v>
      </c>
      <c r="K1470">
        <f t="shared" si="142"/>
        <v>945</v>
      </c>
      <c r="L1470" s="62">
        <f t="shared" si="141"/>
        <v>983</v>
      </c>
      <c r="M1470" s="304">
        <v>0.79</v>
      </c>
      <c r="N1470" s="301">
        <f>VLOOKUP(3522,季財報!A:N,8,0)</f>
        <v>3</v>
      </c>
    </row>
    <row r="1471" spans="1:14">
      <c r="A1471" s="187">
        <v>3523</v>
      </c>
      <c r="C1471">
        <v>-64</v>
      </c>
      <c r="H1471" s="200">
        <v>0</v>
      </c>
      <c r="I1471">
        <f t="shared" si="140"/>
        <v>979</v>
      </c>
      <c r="J1471" s="193">
        <v>0</v>
      </c>
      <c r="K1471">
        <f t="shared" si="142"/>
        <v>945</v>
      </c>
      <c r="L1471" s="62">
        <f t="shared" si="141"/>
        <v>983</v>
      </c>
      <c r="M1471" s="304">
        <v>0.79</v>
      </c>
      <c r="N1471" s="301">
        <f>VLOOKUP(3523,季財報!A:N,8,0)</f>
        <v>1</v>
      </c>
    </row>
    <row r="1472" spans="1:14">
      <c r="A1472" s="187">
        <v>3535</v>
      </c>
      <c r="C1472">
        <v>-4</v>
      </c>
      <c r="H1472" s="200">
        <v>0</v>
      </c>
      <c r="I1472">
        <f t="shared" si="140"/>
        <v>979</v>
      </c>
      <c r="J1472" s="193">
        <v>0</v>
      </c>
      <c r="K1472">
        <f t="shared" si="142"/>
        <v>945</v>
      </c>
      <c r="L1472" s="62">
        <f t="shared" si="141"/>
        <v>983</v>
      </c>
      <c r="M1472" s="304">
        <v>0.79</v>
      </c>
      <c r="N1472" s="301">
        <f>VLOOKUP(3535,季財報!A:N,8,0)</f>
        <v>2</v>
      </c>
    </row>
    <row r="1473" spans="1:14">
      <c r="A1473" s="187">
        <v>3536</v>
      </c>
      <c r="C1473">
        <v>-14</v>
      </c>
      <c r="H1473" s="200">
        <v>0</v>
      </c>
      <c r="I1473">
        <f t="shared" si="140"/>
        <v>979</v>
      </c>
      <c r="J1473" s="193">
        <v>0</v>
      </c>
      <c r="K1473">
        <f t="shared" si="142"/>
        <v>945</v>
      </c>
      <c r="L1473" s="62">
        <f t="shared" si="141"/>
        <v>983</v>
      </c>
      <c r="M1473" s="304">
        <v>1.36</v>
      </c>
      <c r="N1473" s="301">
        <f>VLOOKUP(3536,季財報!A:N,8,0)</f>
        <v>4</v>
      </c>
    </row>
    <row r="1474" spans="1:14">
      <c r="A1474" s="187">
        <v>3545</v>
      </c>
      <c r="C1474">
        <v>-45</v>
      </c>
      <c r="H1474" s="200">
        <v>0</v>
      </c>
      <c r="I1474">
        <f t="shared" si="140"/>
        <v>979</v>
      </c>
      <c r="J1474" s="193">
        <v>0</v>
      </c>
      <c r="K1474">
        <f t="shared" si="142"/>
        <v>945</v>
      </c>
      <c r="L1474" s="62">
        <f t="shared" si="141"/>
        <v>983</v>
      </c>
      <c r="M1474" s="304">
        <v>0.79</v>
      </c>
      <c r="N1474" s="301">
        <f>VLOOKUP(3545,季財報!A:N,8,0)</f>
        <v>3</v>
      </c>
    </row>
    <row r="1475" spans="1:14">
      <c r="A1475" s="187">
        <v>3546</v>
      </c>
      <c r="C1475">
        <v>-3</v>
      </c>
      <c r="H1475" s="200">
        <v>0</v>
      </c>
      <c r="I1475">
        <f t="shared" si="140"/>
        <v>979</v>
      </c>
      <c r="J1475" s="193">
        <v>0</v>
      </c>
      <c r="K1475">
        <f t="shared" si="142"/>
        <v>945</v>
      </c>
      <c r="L1475" s="62">
        <f t="shared" si="141"/>
        <v>983</v>
      </c>
      <c r="M1475" s="304">
        <v>0.79</v>
      </c>
      <c r="N1475" s="301">
        <f>VLOOKUP(3546,季財報!A:N,8,0)</f>
        <v>3</v>
      </c>
    </row>
    <row r="1476" spans="1:14">
      <c r="A1476" s="187">
        <v>3553</v>
      </c>
      <c r="C1476">
        <v>-27</v>
      </c>
      <c r="H1476" s="200">
        <v>0</v>
      </c>
      <c r="I1476">
        <f t="shared" si="140"/>
        <v>979</v>
      </c>
      <c r="J1476" s="193">
        <v>0</v>
      </c>
      <c r="K1476">
        <f t="shared" si="142"/>
        <v>945</v>
      </c>
      <c r="L1476" s="62">
        <f t="shared" si="141"/>
        <v>983</v>
      </c>
      <c r="M1476" s="304">
        <v>0.79</v>
      </c>
      <c r="N1476" s="301">
        <f>VLOOKUP(3553,季財報!A:N,8,0)</f>
        <v>0</v>
      </c>
    </row>
    <row r="1477" spans="1:14">
      <c r="A1477" s="187">
        <v>3555</v>
      </c>
      <c r="C1477">
        <v>-67</v>
      </c>
      <c r="H1477" s="200">
        <v>0</v>
      </c>
      <c r="I1477">
        <f t="shared" si="140"/>
        <v>979</v>
      </c>
      <c r="J1477" s="193">
        <v>0</v>
      </c>
      <c r="K1477">
        <f t="shared" si="142"/>
        <v>945</v>
      </c>
      <c r="L1477" s="62">
        <f t="shared" si="141"/>
        <v>983</v>
      </c>
      <c r="M1477" s="304">
        <v>1.01</v>
      </c>
      <c r="N1477" s="301">
        <f>VLOOKUP(3555,季財報!A:N,8,0)</f>
        <v>1</v>
      </c>
    </row>
    <row r="1478" spans="1:14">
      <c r="A1478" s="187">
        <v>3557</v>
      </c>
      <c r="C1478">
        <v>-27</v>
      </c>
      <c r="H1478" s="200">
        <v>0</v>
      </c>
      <c r="I1478">
        <f t="shared" si="140"/>
        <v>979</v>
      </c>
      <c r="J1478" s="193">
        <v>0</v>
      </c>
      <c r="K1478">
        <f t="shared" si="142"/>
        <v>945</v>
      </c>
      <c r="L1478" s="62">
        <f t="shared" si="141"/>
        <v>983</v>
      </c>
      <c r="M1478" s="304">
        <v>0.79</v>
      </c>
      <c r="N1478" s="301">
        <f>VLOOKUP(3557,季財報!A:N,8,0)</f>
        <v>2</v>
      </c>
    </row>
    <row r="1479" spans="1:14">
      <c r="A1479" s="187">
        <v>3561</v>
      </c>
      <c r="C1479">
        <v>-36</v>
      </c>
      <c r="H1479" s="200">
        <v>0</v>
      </c>
      <c r="I1479">
        <f t="shared" si="140"/>
        <v>979</v>
      </c>
      <c r="J1479" s="193">
        <v>0</v>
      </c>
      <c r="K1479">
        <f t="shared" si="142"/>
        <v>945</v>
      </c>
      <c r="L1479" s="62">
        <f t="shared" si="141"/>
        <v>983</v>
      </c>
      <c r="M1479" s="304">
        <v>1.01</v>
      </c>
      <c r="N1479" s="301">
        <f>VLOOKUP(3561,季財報!A:N,8,0)</f>
        <v>4</v>
      </c>
    </row>
    <row r="1480" spans="1:14">
      <c r="A1480" s="187">
        <v>3562</v>
      </c>
      <c r="C1480">
        <v>-8</v>
      </c>
      <c r="H1480" s="200">
        <v>0</v>
      </c>
      <c r="I1480">
        <f t="shared" si="140"/>
        <v>979</v>
      </c>
      <c r="J1480" s="193">
        <v>0</v>
      </c>
      <c r="K1480">
        <f t="shared" si="142"/>
        <v>945</v>
      </c>
      <c r="L1480" s="62">
        <f t="shared" si="141"/>
        <v>983</v>
      </c>
      <c r="M1480" s="304">
        <v>7.95</v>
      </c>
      <c r="N1480" s="301">
        <f>VLOOKUP(3562,季財報!A:N,8,0)</f>
        <v>0</v>
      </c>
    </row>
    <row r="1481" spans="1:14">
      <c r="A1481" s="187">
        <v>3573</v>
      </c>
      <c r="C1481">
        <v>-85</v>
      </c>
      <c r="H1481" s="200">
        <v>0</v>
      </c>
      <c r="I1481">
        <f t="shared" si="140"/>
        <v>979</v>
      </c>
      <c r="J1481" s="193">
        <v>0</v>
      </c>
      <c r="K1481">
        <f t="shared" si="142"/>
        <v>945</v>
      </c>
      <c r="L1481" s="62">
        <f t="shared" si="141"/>
        <v>983</v>
      </c>
      <c r="M1481" s="304">
        <v>0.79</v>
      </c>
      <c r="N1481" s="301">
        <f>VLOOKUP(3573,季財報!A:N,8,0)</f>
        <v>4</v>
      </c>
    </row>
    <row r="1482" spans="1:14">
      <c r="A1482" s="187">
        <v>3576</v>
      </c>
      <c r="C1482">
        <v>-217</v>
      </c>
      <c r="H1482" s="200">
        <v>0</v>
      </c>
      <c r="I1482">
        <f t="shared" si="140"/>
        <v>979</v>
      </c>
      <c r="J1482" s="193">
        <v>0</v>
      </c>
      <c r="K1482">
        <f t="shared" si="142"/>
        <v>945</v>
      </c>
      <c r="L1482" s="62">
        <f t="shared" si="141"/>
        <v>983</v>
      </c>
      <c r="M1482" s="304">
        <v>0.79</v>
      </c>
      <c r="N1482" s="301">
        <f>VLOOKUP(3576,季財報!A:N,8,0)</f>
        <v>2</v>
      </c>
    </row>
    <row r="1483" spans="1:14">
      <c r="A1483" s="187">
        <v>3579</v>
      </c>
      <c r="C1483">
        <v>-205</v>
      </c>
      <c r="H1483" s="200">
        <v>0</v>
      </c>
      <c r="I1483">
        <f t="shared" si="140"/>
        <v>979</v>
      </c>
      <c r="J1483" s="193">
        <v>0</v>
      </c>
      <c r="K1483">
        <f t="shared" si="142"/>
        <v>945</v>
      </c>
      <c r="L1483" s="62">
        <f t="shared" si="141"/>
        <v>983</v>
      </c>
      <c r="M1483" s="304">
        <v>0.79</v>
      </c>
      <c r="N1483" s="301">
        <f>VLOOKUP(3579,季財報!A:N,8,0)</f>
        <v>3</v>
      </c>
    </row>
    <row r="1484" spans="1:14">
      <c r="A1484" s="187">
        <v>3580</v>
      </c>
      <c r="C1484">
        <v>-7</v>
      </c>
      <c r="H1484" s="200">
        <v>0</v>
      </c>
      <c r="I1484">
        <f t="shared" si="140"/>
        <v>979</v>
      </c>
      <c r="J1484" s="193">
        <v>0</v>
      </c>
      <c r="K1484">
        <f t="shared" si="142"/>
        <v>945</v>
      </c>
      <c r="L1484" s="62">
        <f t="shared" si="141"/>
        <v>983</v>
      </c>
      <c r="M1484" s="304">
        <v>0.79</v>
      </c>
      <c r="N1484" s="301">
        <f>VLOOKUP(3580,季財報!A:N,8,0)</f>
        <v>1</v>
      </c>
    </row>
    <row r="1485" spans="1:14">
      <c r="A1485" s="187">
        <v>3581</v>
      </c>
      <c r="C1485">
        <v>3</v>
      </c>
      <c r="D1485">
        <v>540</v>
      </c>
      <c r="E1485">
        <v>136</v>
      </c>
      <c r="F1485">
        <v>733</v>
      </c>
      <c r="G1485">
        <v>18</v>
      </c>
      <c r="H1485" s="200">
        <v>0</v>
      </c>
      <c r="I1485">
        <f t="shared" si="140"/>
        <v>979</v>
      </c>
      <c r="J1485" s="193">
        <v>0</v>
      </c>
      <c r="K1485">
        <f t="shared" si="142"/>
        <v>945</v>
      </c>
      <c r="L1485" s="62">
        <f t="shared" si="141"/>
        <v>983</v>
      </c>
      <c r="M1485" s="304">
        <v>0.79</v>
      </c>
      <c r="N1485" s="301">
        <f>VLOOKUP(3581,季財報!A:N,8,0)</f>
        <v>3</v>
      </c>
    </row>
    <row r="1486" spans="1:14">
      <c r="A1486" s="187">
        <v>3583</v>
      </c>
      <c r="C1486">
        <v>4</v>
      </c>
      <c r="D1486">
        <v>426</v>
      </c>
      <c r="E1486">
        <v>1632</v>
      </c>
      <c r="F1486">
        <v>1806</v>
      </c>
      <c r="G1486">
        <v>369</v>
      </c>
      <c r="H1486" s="200">
        <v>0</v>
      </c>
      <c r="I1486">
        <f t="shared" si="140"/>
        <v>979</v>
      </c>
      <c r="J1486" s="193">
        <v>0</v>
      </c>
      <c r="K1486">
        <f t="shared" si="142"/>
        <v>945</v>
      </c>
      <c r="L1486" s="62">
        <f t="shared" si="141"/>
        <v>983</v>
      </c>
      <c r="M1486" s="304">
        <v>2.76</v>
      </c>
      <c r="N1486" s="301">
        <f>VLOOKUP(3583,季財報!A:N,8,0)</f>
        <v>3</v>
      </c>
    </row>
    <row r="1487" spans="1:14">
      <c r="A1487" s="187">
        <v>3584</v>
      </c>
      <c r="C1487">
        <v>-308</v>
      </c>
      <c r="H1487" s="200">
        <v>0</v>
      </c>
      <c r="I1487">
        <f t="shared" si="140"/>
        <v>979</v>
      </c>
      <c r="J1487" s="193">
        <v>0</v>
      </c>
      <c r="K1487">
        <f t="shared" si="142"/>
        <v>945</v>
      </c>
      <c r="L1487" s="62">
        <f t="shared" si="141"/>
        <v>983</v>
      </c>
      <c r="M1487" s="304">
        <v>0.79</v>
      </c>
      <c r="N1487" s="301">
        <f>VLOOKUP(3584,季財報!A:N,8,0)</f>
        <v>0</v>
      </c>
    </row>
    <row r="1488" spans="1:14">
      <c r="A1488" s="187">
        <v>3591</v>
      </c>
      <c r="C1488">
        <v>-22</v>
      </c>
      <c r="H1488" s="200">
        <v>0</v>
      </c>
      <c r="I1488">
        <f t="shared" si="140"/>
        <v>979</v>
      </c>
      <c r="J1488" s="193">
        <v>0</v>
      </c>
      <c r="K1488">
        <f t="shared" si="142"/>
        <v>945</v>
      </c>
      <c r="L1488" s="62">
        <f t="shared" si="141"/>
        <v>983</v>
      </c>
      <c r="M1488" s="304">
        <v>0.79</v>
      </c>
      <c r="N1488" s="301">
        <f>VLOOKUP(3591,季財報!A:N,8,0)</f>
        <v>2</v>
      </c>
    </row>
    <row r="1489" spans="1:14">
      <c r="A1489" s="187">
        <v>3593</v>
      </c>
      <c r="C1489">
        <v>-27</v>
      </c>
      <c r="H1489" s="200">
        <v>0</v>
      </c>
      <c r="I1489">
        <f t="shared" si="140"/>
        <v>979</v>
      </c>
      <c r="J1489" s="193">
        <v>0</v>
      </c>
      <c r="K1489">
        <f t="shared" si="142"/>
        <v>945</v>
      </c>
      <c r="L1489" s="62">
        <f t="shared" si="141"/>
        <v>983</v>
      </c>
      <c r="M1489" s="304">
        <v>0.79</v>
      </c>
      <c r="N1489" s="301">
        <f>VLOOKUP(3593,季財報!A:N,8,0)</f>
        <v>3</v>
      </c>
    </row>
    <row r="1490" spans="1:14">
      <c r="A1490" s="187">
        <v>3594</v>
      </c>
      <c r="C1490">
        <v>-31</v>
      </c>
      <c r="H1490" s="200">
        <v>0</v>
      </c>
      <c r="I1490">
        <f t="shared" si="140"/>
        <v>979</v>
      </c>
      <c r="J1490" s="193">
        <v>0</v>
      </c>
      <c r="K1490">
        <f t="shared" si="142"/>
        <v>945</v>
      </c>
      <c r="L1490" s="62">
        <f t="shared" si="141"/>
        <v>983</v>
      </c>
      <c r="M1490" s="304">
        <v>0.79</v>
      </c>
      <c r="N1490" s="301">
        <f>VLOOKUP(3594,季財報!A:N,8,0)</f>
        <v>0</v>
      </c>
    </row>
    <row r="1491" spans="1:14">
      <c r="A1491" s="187">
        <v>3609</v>
      </c>
      <c r="C1491">
        <v>-8</v>
      </c>
      <c r="H1491" s="200">
        <v>0</v>
      </c>
      <c r="I1491">
        <f t="shared" si="140"/>
        <v>979</v>
      </c>
      <c r="J1491" s="193">
        <v>0</v>
      </c>
      <c r="K1491">
        <f t="shared" si="142"/>
        <v>945</v>
      </c>
      <c r="L1491" s="62">
        <f t="shared" si="141"/>
        <v>983</v>
      </c>
      <c r="M1491" s="304">
        <v>0.79</v>
      </c>
      <c r="N1491" s="301">
        <f>VLOOKUP(3609,季財報!A:N,8,0)</f>
        <v>3</v>
      </c>
    </row>
    <row r="1492" spans="1:14">
      <c r="A1492" s="187">
        <v>3622</v>
      </c>
      <c r="C1492">
        <v>-233</v>
      </c>
      <c r="H1492" s="200">
        <v>0</v>
      </c>
      <c r="I1492">
        <f t="shared" si="140"/>
        <v>979</v>
      </c>
      <c r="J1492" s="193">
        <v>0</v>
      </c>
      <c r="K1492">
        <f t="shared" si="142"/>
        <v>945</v>
      </c>
      <c r="L1492" s="62">
        <f t="shared" si="141"/>
        <v>983</v>
      </c>
      <c r="M1492" s="304">
        <v>0.79</v>
      </c>
      <c r="N1492" s="301">
        <f>VLOOKUP(3622,季財報!A:N,8,0)</f>
        <v>2</v>
      </c>
    </row>
    <row r="1493" spans="1:14">
      <c r="A1493" s="187">
        <v>3625</v>
      </c>
      <c r="C1493">
        <v>-5</v>
      </c>
      <c r="H1493" s="200">
        <v>0</v>
      </c>
      <c r="I1493">
        <f t="shared" si="140"/>
        <v>979</v>
      </c>
      <c r="J1493" s="193">
        <v>0</v>
      </c>
      <c r="K1493">
        <f t="shared" si="142"/>
        <v>945</v>
      </c>
      <c r="L1493" s="62">
        <f t="shared" si="141"/>
        <v>983</v>
      </c>
      <c r="M1493" s="304">
        <v>0.79</v>
      </c>
      <c r="N1493" s="301">
        <f>VLOOKUP(3625,季財報!A:N,8,0)</f>
        <v>2</v>
      </c>
    </row>
    <row r="1494" spans="1:14">
      <c r="A1494" s="187">
        <v>3629</v>
      </c>
      <c r="C1494">
        <v>-20</v>
      </c>
      <c r="H1494" s="200">
        <v>0</v>
      </c>
      <c r="I1494">
        <f t="shared" si="140"/>
        <v>979</v>
      </c>
      <c r="J1494" s="193">
        <v>0</v>
      </c>
      <c r="K1494">
        <f t="shared" si="142"/>
        <v>945</v>
      </c>
      <c r="L1494" s="62">
        <f t="shared" si="141"/>
        <v>983</v>
      </c>
      <c r="M1494" s="304">
        <v>0.79</v>
      </c>
      <c r="N1494" s="301">
        <f>VLOOKUP(3629,季財報!A:N,8,0)</f>
        <v>2</v>
      </c>
    </row>
    <row r="1495" spans="1:14">
      <c r="A1495" s="187">
        <v>3630</v>
      </c>
      <c r="C1495">
        <v>-178</v>
      </c>
      <c r="H1495" s="200">
        <v>0</v>
      </c>
      <c r="I1495">
        <f t="shared" si="140"/>
        <v>979</v>
      </c>
      <c r="J1495" s="193">
        <v>0</v>
      </c>
      <c r="K1495">
        <f t="shared" si="142"/>
        <v>945</v>
      </c>
      <c r="L1495" s="62">
        <f t="shared" si="141"/>
        <v>983</v>
      </c>
      <c r="M1495" s="304">
        <v>20.25</v>
      </c>
      <c r="N1495" s="301">
        <f>VLOOKUP(3630,季財報!A:N,8,0)</f>
        <v>1</v>
      </c>
    </row>
    <row r="1496" spans="1:14">
      <c r="A1496" s="187">
        <v>3631</v>
      </c>
      <c r="C1496">
        <v>0</v>
      </c>
      <c r="H1496" s="200">
        <v>0</v>
      </c>
      <c r="I1496">
        <f t="shared" ref="I1496:I1519" si="143">RANK(0,H:H,0)</f>
        <v>979</v>
      </c>
      <c r="J1496" s="193">
        <v>0</v>
      </c>
      <c r="K1496">
        <f t="shared" si="142"/>
        <v>945</v>
      </c>
      <c r="L1496" s="62">
        <f t="shared" ref="L1496:L1519" si="144">RANK(0.79,M:M,0)</f>
        <v>983</v>
      </c>
      <c r="M1496" s="304">
        <v>0.79</v>
      </c>
      <c r="N1496" s="301">
        <f>VLOOKUP(3631,季財報!A:N,8,0)</f>
        <v>2</v>
      </c>
    </row>
    <row r="1497" spans="1:14">
      <c r="A1497" s="187">
        <v>3646</v>
      </c>
      <c r="C1497">
        <v>1</v>
      </c>
      <c r="D1497">
        <v>363</v>
      </c>
      <c r="E1497">
        <v>104</v>
      </c>
      <c r="F1497">
        <v>504</v>
      </c>
      <c r="G1497">
        <v>70</v>
      </c>
      <c r="H1497" s="200">
        <v>0</v>
      </c>
      <c r="I1497">
        <f t="shared" si="143"/>
        <v>979</v>
      </c>
      <c r="J1497" s="193">
        <v>0</v>
      </c>
      <c r="K1497">
        <f t="shared" si="142"/>
        <v>945</v>
      </c>
      <c r="L1497" s="62">
        <f t="shared" si="144"/>
        <v>983</v>
      </c>
      <c r="M1497" s="304">
        <v>0.79</v>
      </c>
      <c r="N1497" s="301">
        <f>VLOOKUP(3646,季財報!A:N,8,0)</f>
        <v>3</v>
      </c>
    </row>
    <row r="1498" spans="1:14">
      <c r="A1498" s="187">
        <v>3652</v>
      </c>
      <c r="C1498">
        <v>5</v>
      </c>
      <c r="D1498">
        <v>709</v>
      </c>
      <c r="E1498">
        <v>351</v>
      </c>
      <c r="F1498">
        <v>1126</v>
      </c>
      <c r="G1498">
        <v>42</v>
      </c>
      <c r="H1498" s="200">
        <v>0</v>
      </c>
      <c r="I1498">
        <f t="shared" si="143"/>
        <v>979</v>
      </c>
      <c r="J1498" s="193">
        <v>0</v>
      </c>
      <c r="K1498">
        <f t="shared" si="142"/>
        <v>945</v>
      </c>
      <c r="L1498" s="62">
        <f t="shared" si="144"/>
        <v>983</v>
      </c>
      <c r="M1498" s="304">
        <v>3.27</v>
      </c>
      <c r="N1498" s="301">
        <f>VLOOKUP(3652,季財報!A:N,8,0)</f>
        <v>1</v>
      </c>
    </row>
    <row r="1499" spans="1:14">
      <c r="A1499" s="187">
        <v>3663</v>
      </c>
      <c r="C1499">
        <v>-100</v>
      </c>
      <c r="H1499" s="200">
        <v>0</v>
      </c>
      <c r="I1499">
        <f t="shared" si="143"/>
        <v>979</v>
      </c>
      <c r="J1499" s="193">
        <v>0</v>
      </c>
      <c r="K1499">
        <f t="shared" si="142"/>
        <v>945</v>
      </c>
      <c r="L1499" s="62">
        <f t="shared" si="144"/>
        <v>983</v>
      </c>
      <c r="M1499" s="304">
        <v>0.79</v>
      </c>
      <c r="N1499" s="301">
        <f>VLOOKUP(3663,季財報!A:N,8,0)</f>
        <v>1</v>
      </c>
    </row>
    <row r="1500" spans="1:14">
      <c r="A1500" s="187">
        <v>3664</v>
      </c>
      <c r="C1500">
        <v>-53</v>
      </c>
      <c r="H1500" s="200">
        <v>0</v>
      </c>
      <c r="I1500">
        <f t="shared" si="143"/>
        <v>979</v>
      </c>
      <c r="J1500" s="193">
        <v>0</v>
      </c>
      <c r="K1500">
        <f t="shared" si="142"/>
        <v>945</v>
      </c>
      <c r="L1500" s="62">
        <f t="shared" si="144"/>
        <v>983</v>
      </c>
      <c r="M1500" s="304">
        <v>0.79</v>
      </c>
      <c r="N1500" s="301">
        <f>VLOOKUP(3664,季財報!A:N,8,0)</f>
        <v>2</v>
      </c>
    </row>
    <row r="1501" spans="1:14">
      <c r="A1501" s="187">
        <v>3666</v>
      </c>
      <c r="C1501">
        <v>-7</v>
      </c>
      <c r="H1501" s="200">
        <v>0</v>
      </c>
      <c r="I1501">
        <f t="shared" si="143"/>
        <v>979</v>
      </c>
      <c r="J1501" s="193">
        <v>0</v>
      </c>
      <c r="K1501">
        <f t="shared" si="142"/>
        <v>945</v>
      </c>
      <c r="L1501" s="62">
        <f t="shared" si="144"/>
        <v>983</v>
      </c>
      <c r="M1501" s="304">
        <v>0.79</v>
      </c>
      <c r="N1501" s="301">
        <f>VLOOKUP(3666,季財報!A:N,8,0)</f>
        <v>2</v>
      </c>
    </row>
    <row r="1502" spans="1:14">
      <c r="A1502" s="187">
        <v>3669</v>
      </c>
      <c r="C1502">
        <v>11</v>
      </c>
      <c r="D1502">
        <v>904</v>
      </c>
      <c r="E1502">
        <v>1373</v>
      </c>
      <c r="F1502">
        <v>2383</v>
      </c>
      <c r="G1502">
        <v>0</v>
      </c>
      <c r="H1502" s="200">
        <v>0</v>
      </c>
      <c r="I1502">
        <f t="shared" si="143"/>
        <v>979</v>
      </c>
      <c r="J1502" s="193">
        <v>0</v>
      </c>
      <c r="K1502">
        <f t="shared" si="142"/>
        <v>945</v>
      </c>
      <c r="L1502" s="62">
        <f t="shared" si="144"/>
        <v>983</v>
      </c>
      <c r="M1502" s="304">
        <v>0.79</v>
      </c>
      <c r="N1502" s="301">
        <f>VLOOKUP(3669,季財報!A:N,8,0)</f>
        <v>4</v>
      </c>
    </row>
    <row r="1503" spans="1:14">
      <c r="A1503" s="187">
        <v>3673</v>
      </c>
      <c r="C1503">
        <v>-17368</v>
      </c>
      <c r="H1503" s="200">
        <v>0</v>
      </c>
      <c r="I1503">
        <f t="shared" si="143"/>
        <v>979</v>
      </c>
      <c r="J1503" s="193">
        <v>0</v>
      </c>
      <c r="K1503">
        <f t="shared" si="142"/>
        <v>945</v>
      </c>
      <c r="L1503" s="62">
        <f t="shared" si="144"/>
        <v>983</v>
      </c>
      <c r="M1503" s="304">
        <v>0.79</v>
      </c>
      <c r="N1503" s="301">
        <f>VLOOKUP(3673,季財報!A:N,8,0)</f>
        <v>3</v>
      </c>
    </row>
    <row r="1504" spans="1:14">
      <c r="A1504" s="187">
        <v>3682</v>
      </c>
      <c r="C1504">
        <v>-1142</v>
      </c>
      <c r="H1504" s="200">
        <v>0</v>
      </c>
      <c r="I1504">
        <f t="shared" si="143"/>
        <v>979</v>
      </c>
      <c r="J1504" s="193">
        <v>0</v>
      </c>
      <c r="K1504">
        <f t="shared" si="142"/>
        <v>945</v>
      </c>
      <c r="L1504" s="62">
        <f t="shared" si="144"/>
        <v>983</v>
      </c>
      <c r="M1504" s="304">
        <v>0.79</v>
      </c>
      <c r="N1504" s="301">
        <f>VLOOKUP(3682,季財報!A:N,8,0)</f>
        <v>0</v>
      </c>
    </row>
    <row r="1505" spans="1:14">
      <c r="A1505" s="187">
        <v>3686</v>
      </c>
      <c r="C1505">
        <v>-115</v>
      </c>
      <c r="H1505" s="200">
        <v>0</v>
      </c>
      <c r="I1505">
        <f t="shared" si="143"/>
        <v>979</v>
      </c>
      <c r="J1505" s="193">
        <v>0</v>
      </c>
      <c r="K1505">
        <f t="shared" si="142"/>
        <v>945</v>
      </c>
      <c r="L1505" s="62">
        <f t="shared" si="144"/>
        <v>983</v>
      </c>
      <c r="M1505" s="304">
        <v>5.71</v>
      </c>
      <c r="N1505" s="301">
        <f>VLOOKUP(3686,季財報!A:N,8,0)</f>
        <v>2</v>
      </c>
    </row>
    <row r="1506" spans="1:14">
      <c r="A1506" s="187">
        <v>3687</v>
      </c>
      <c r="C1506">
        <v>-32</v>
      </c>
      <c r="H1506" s="200">
        <v>0</v>
      </c>
      <c r="I1506">
        <f t="shared" si="143"/>
        <v>979</v>
      </c>
      <c r="J1506" s="193">
        <v>0</v>
      </c>
      <c r="K1506">
        <f t="shared" si="142"/>
        <v>945</v>
      </c>
      <c r="L1506" s="62">
        <f t="shared" si="144"/>
        <v>983</v>
      </c>
      <c r="M1506" s="304">
        <v>0.79</v>
      </c>
      <c r="N1506" s="301">
        <f>VLOOKUP(3687,季財報!A:N,8,0)</f>
        <v>3</v>
      </c>
    </row>
    <row r="1507" spans="1:14">
      <c r="A1507" s="187">
        <v>3698</v>
      </c>
      <c r="C1507">
        <v>-69</v>
      </c>
      <c r="H1507" s="200">
        <v>0</v>
      </c>
      <c r="I1507">
        <f t="shared" si="143"/>
        <v>979</v>
      </c>
      <c r="J1507" s="193">
        <v>0</v>
      </c>
      <c r="K1507">
        <f t="shared" si="142"/>
        <v>945</v>
      </c>
      <c r="L1507" s="62">
        <f t="shared" si="144"/>
        <v>983</v>
      </c>
      <c r="M1507" s="304">
        <v>2.29</v>
      </c>
      <c r="N1507" s="301">
        <f>VLOOKUP(3698,季財報!A:N,8,0)</f>
        <v>1</v>
      </c>
    </row>
    <row r="1508" spans="1:14">
      <c r="A1508" s="187">
        <v>3701</v>
      </c>
      <c r="C1508">
        <v>-82</v>
      </c>
      <c r="H1508" s="200">
        <v>0</v>
      </c>
      <c r="I1508">
        <f t="shared" si="143"/>
        <v>979</v>
      </c>
      <c r="J1508" s="193">
        <v>0</v>
      </c>
      <c r="K1508">
        <f t="shared" si="142"/>
        <v>945</v>
      </c>
      <c r="L1508" s="62">
        <f t="shared" si="144"/>
        <v>983</v>
      </c>
      <c r="M1508" s="304">
        <v>1.36</v>
      </c>
      <c r="N1508" s="301">
        <f>VLOOKUP(3701,季財報!A:N,8,0)</f>
        <v>2</v>
      </c>
    </row>
    <row r="1509" spans="1:14">
      <c r="A1509" s="187">
        <v>3703</v>
      </c>
      <c r="C1509">
        <v>61</v>
      </c>
      <c r="D1509">
        <v>10071</v>
      </c>
      <c r="E1509">
        <v>2755</v>
      </c>
      <c r="F1509">
        <v>21829</v>
      </c>
      <c r="G1509">
        <v>9622</v>
      </c>
      <c r="H1509" s="200">
        <v>0</v>
      </c>
      <c r="I1509">
        <f t="shared" si="143"/>
        <v>979</v>
      </c>
      <c r="J1509" s="193">
        <v>0</v>
      </c>
      <c r="K1509">
        <f t="shared" si="142"/>
        <v>945</v>
      </c>
      <c r="L1509" s="62">
        <f t="shared" si="144"/>
        <v>983</v>
      </c>
      <c r="M1509" s="304">
        <v>0.79</v>
      </c>
      <c r="N1509" s="301">
        <f>VLOOKUP(3703,季財報!A:N,8,0)</f>
        <v>0</v>
      </c>
    </row>
    <row r="1510" spans="1:14">
      <c r="A1510" s="187">
        <v>3704</v>
      </c>
      <c r="C1510">
        <v>-3</v>
      </c>
      <c r="H1510" s="200">
        <v>0</v>
      </c>
      <c r="I1510">
        <f t="shared" si="143"/>
        <v>979</v>
      </c>
      <c r="J1510" s="193">
        <v>0</v>
      </c>
      <c r="K1510">
        <f t="shared" si="142"/>
        <v>945</v>
      </c>
      <c r="L1510" s="62">
        <f t="shared" si="144"/>
        <v>983</v>
      </c>
      <c r="M1510" s="304">
        <v>0.79</v>
      </c>
      <c r="N1510" s="301">
        <f>VLOOKUP(3704,季財報!A:N,8,0)</f>
        <v>3</v>
      </c>
    </row>
    <row r="1511" spans="1:14">
      <c r="A1511" s="187">
        <v>3707</v>
      </c>
      <c r="C1511">
        <v>-173</v>
      </c>
      <c r="H1511" s="200">
        <v>0</v>
      </c>
      <c r="I1511">
        <f t="shared" si="143"/>
        <v>979</v>
      </c>
      <c r="J1511" s="193">
        <v>0</v>
      </c>
      <c r="K1511">
        <f t="shared" si="142"/>
        <v>945</v>
      </c>
      <c r="L1511" s="62">
        <f t="shared" si="144"/>
        <v>983</v>
      </c>
      <c r="M1511" s="304">
        <v>1.36</v>
      </c>
      <c r="N1511" s="301">
        <f>VLOOKUP(3707,季財報!A:N,8,0)</f>
        <v>1</v>
      </c>
    </row>
    <row r="1512" spans="1:14">
      <c r="A1512" s="187">
        <v>4102</v>
      </c>
      <c r="C1512">
        <v>0</v>
      </c>
      <c r="H1512" s="200">
        <v>0</v>
      </c>
      <c r="I1512">
        <f t="shared" si="143"/>
        <v>979</v>
      </c>
      <c r="J1512" s="193">
        <v>0</v>
      </c>
      <c r="K1512">
        <f t="shared" si="142"/>
        <v>945</v>
      </c>
      <c r="L1512" s="62">
        <f t="shared" si="144"/>
        <v>983</v>
      </c>
      <c r="M1512" s="304">
        <v>0.79</v>
      </c>
      <c r="N1512" s="301">
        <f>VLOOKUP(4102,季財報!A:N,8,0)</f>
        <v>3</v>
      </c>
    </row>
    <row r="1513" spans="1:14">
      <c r="A1513" s="187">
        <v>4108</v>
      </c>
      <c r="C1513">
        <v>-59</v>
      </c>
      <c r="H1513" s="200">
        <v>0</v>
      </c>
      <c r="I1513">
        <f t="shared" si="143"/>
        <v>979</v>
      </c>
      <c r="J1513" s="193">
        <v>0</v>
      </c>
      <c r="K1513">
        <f t="shared" si="142"/>
        <v>945</v>
      </c>
      <c r="L1513" s="62">
        <f t="shared" si="144"/>
        <v>983</v>
      </c>
      <c r="M1513" s="304">
        <v>0.79</v>
      </c>
      <c r="N1513" s="301">
        <f>VLOOKUP(4108,季財報!A:N,8,0)</f>
        <v>4</v>
      </c>
    </row>
    <row r="1514" spans="1:14">
      <c r="A1514" s="187">
        <v>4113</v>
      </c>
      <c r="C1514">
        <v>13</v>
      </c>
      <c r="D1514">
        <v>3556</v>
      </c>
      <c r="E1514">
        <v>9</v>
      </c>
      <c r="F1514">
        <v>3595</v>
      </c>
      <c r="G1514">
        <v>2519</v>
      </c>
      <c r="H1514" s="200">
        <v>0</v>
      </c>
      <c r="I1514">
        <f t="shared" si="143"/>
        <v>979</v>
      </c>
      <c r="J1514" s="193">
        <v>0</v>
      </c>
      <c r="K1514">
        <f t="shared" si="142"/>
        <v>945</v>
      </c>
      <c r="L1514" s="62">
        <f t="shared" si="144"/>
        <v>983</v>
      </c>
      <c r="M1514" s="304">
        <v>6.36</v>
      </c>
      <c r="N1514" s="301">
        <f>VLOOKUP(4113,季財報!A:N,8,0)</f>
        <v>2</v>
      </c>
    </row>
    <row r="1515" spans="1:14">
      <c r="A1515" s="187">
        <v>4114</v>
      </c>
      <c r="C1515">
        <v>9</v>
      </c>
      <c r="D1515">
        <v>480</v>
      </c>
      <c r="E1515">
        <v>2187</v>
      </c>
      <c r="F1515">
        <v>3065</v>
      </c>
      <c r="G1515">
        <v>341</v>
      </c>
      <c r="H1515" s="200">
        <v>0</v>
      </c>
      <c r="I1515">
        <f t="shared" si="143"/>
        <v>979</v>
      </c>
      <c r="J1515" s="193">
        <v>0</v>
      </c>
      <c r="K1515">
        <f t="shared" si="142"/>
        <v>945</v>
      </c>
      <c r="L1515" s="62">
        <f t="shared" si="144"/>
        <v>983</v>
      </c>
      <c r="M1515" s="304">
        <v>0.79</v>
      </c>
      <c r="N1515" s="301">
        <f>VLOOKUP(4114,季財報!A:N,8,0)</f>
        <v>3</v>
      </c>
    </row>
    <row r="1516" spans="1:14">
      <c r="A1516" s="187">
        <v>4121</v>
      </c>
      <c r="C1516">
        <v>-25</v>
      </c>
      <c r="H1516" s="200">
        <v>0</v>
      </c>
      <c r="I1516">
        <f t="shared" si="143"/>
        <v>979</v>
      </c>
      <c r="J1516" s="193">
        <v>0</v>
      </c>
      <c r="K1516">
        <f t="shared" si="142"/>
        <v>945</v>
      </c>
      <c r="L1516" s="62">
        <f t="shared" si="144"/>
        <v>983</v>
      </c>
      <c r="M1516" s="304">
        <v>0.79</v>
      </c>
      <c r="N1516" s="301">
        <f>VLOOKUP(4121,季財報!A:N,8,0)</f>
        <v>3</v>
      </c>
    </row>
    <row r="1517" spans="1:14">
      <c r="A1517" s="187">
        <v>4123</v>
      </c>
      <c r="C1517">
        <v>18</v>
      </c>
      <c r="D1517">
        <v>3409</v>
      </c>
      <c r="E1517">
        <v>3830</v>
      </c>
      <c r="F1517">
        <v>12246</v>
      </c>
      <c r="G1517">
        <v>6999</v>
      </c>
      <c r="H1517" s="200">
        <v>0</v>
      </c>
      <c r="I1517">
        <f t="shared" si="143"/>
        <v>979</v>
      </c>
      <c r="J1517" s="193">
        <v>0</v>
      </c>
      <c r="K1517">
        <f t="shared" si="142"/>
        <v>945</v>
      </c>
      <c r="L1517" s="62">
        <f t="shared" si="144"/>
        <v>983</v>
      </c>
      <c r="M1517" s="304">
        <v>1.01</v>
      </c>
      <c r="N1517" s="301">
        <f>VLOOKUP(4123,季財報!A:N,8,0)</f>
        <v>3</v>
      </c>
    </row>
    <row r="1518" spans="1:14">
      <c r="A1518" s="187">
        <v>4131</v>
      </c>
      <c r="C1518">
        <v>-5</v>
      </c>
      <c r="H1518" s="200">
        <v>0</v>
      </c>
      <c r="I1518">
        <f t="shared" si="143"/>
        <v>979</v>
      </c>
      <c r="J1518" s="193">
        <v>0</v>
      </c>
      <c r="K1518">
        <f t="shared" si="142"/>
        <v>945</v>
      </c>
      <c r="L1518" s="62">
        <f t="shared" si="144"/>
        <v>983</v>
      </c>
      <c r="M1518" s="304">
        <v>1.84</v>
      </c>
      <c r="N1518" s="301">
        <f>VLOOKUP(4131,季財報!A:N,8,0)</f>
        <v>2</v>
      </c>
    </row>
    <row r="1519" spans="1:14">
      <c r="A1519" s="187">
        <v>5392</v>
      </c>
      <c r="C1519">
        <v>-24</v>
      </c>
      <c r="H1519" s="200">
        <v>0</v>
      </c>
      <c r="I1519">
        <f t="shared" si="143"/>
        <v>979</v>
      </c>
      <c r="J1519" s="193">
        <v>0</v>
      </c>
      <c r="K1519">
        <f t="shared" si="142"/>
        <v>945</v>
      </c>
      <c r="L1519" s="62">
        <f t="shared" si="144"/>
        <v>983</v>
      </c>
      <c r="M1519" s="304">
        <v>52.38</v>
      </c>
      <c r="N1519" s="302">
        <f>VLOOKUP(5392,季財報!A:N,8,0)</f>
        <v>2</v>
      </c>
    </row>
  </sheetData>
  <autoFilter ref="A1:M1519">
    <filterColumn colId="12">
      <customFilters>
        <customFilter operator="greaterThanOrEqual" val="0"/>
      </customFilters>
    </filterColumn>
  </autoFilter>
  <sortState ref="A2:L1522">
    <sortCondition ref="L2:L1522"/>
  </sortState>
  <phoneticPr fontId="2" type="noConversion"/>
  <pageMargins left="0.7" right="0.7" top="0.75" bottom="0.75" header="0.3" footer="0.3"/>
  <legacyDrawing r:id="rId1"/>
  <controls>
    <control shapeId="50180" r:id="rId2" name="CommandButton3"/>
    <control shapeId="50179" r:id="rId3" name="CommandButton2"/>
    <control shapeId="50178" r:id="rId4" name="CommandButton1"/>
    <control shapeId="50183" r:id="rId5" name="CommandButton5"/>
    <control shapeId="50184" r:id="rId6" name="CommandButton6"/>
    <control shapeId="50186" r:id="rId7" name="CommandButton7"/>
  </controls>
</worksheet>
</file>

<file path=xl/worksheets/sheet12.xml><?xml version="1.0" encoding="utf-8"?>
<worksheet xmlns="http://schemas.openxmlformats.org/spreadsheetml/2006/main" xmlns:r="http://schemas.openxmlformats.org/officeDocument/2006/relationships">
  <sheetPr codeName="工作表3"/>
  <dimension ref="A1:A5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F10" sqref="F10"/>
    </sheetView>
  </sheetViews>
  <sheetFormatPr defaultRowHeight="16.5"/>
  <cols>
    <col min="6" max="6" width="81" bestFit="1" customWidth="1"/>
    <col min="7" max="7" width="107.625" bestFit="1" customWidth="1"/>
  </cols>
  <sheetData>
    <row r="1" spans="1:1" s="62" customFormat="1" ht="32.25" customHeight="1">
      <c r="A1" s="205" t="s">
        <v>1931</v>
      </c>
    </row>
    <row r="2" spans="1:1">
      <c r="A2" s="204" t="s">
        <v>1928</v>
      </c>
    </row>
    <row r="3" spans="1:1">
      <c r="A3" s="204" t="s">
        <v>1929</v>
      </c>
    </row>
    <row r="4" spans="1:1">
      <c r="A4" s="204" t="s">
        <v>1930</v>
      </c>
    </row>
    <row r="5" spans="1:1">
      <c r="A5" s="204" t="s">
        <v>1932</v>
      </c>
    </row>
  </sheetData>
  <phoneticPr fontId="2" type="noConversion"/>
  <pageMargins left="0.7" right="0.7" top="0.75" bottom="0.75" header="0.3" footer="0.3"/>
  <legacyDrawing r:id="rId1"/>
  <controls>
    <control shapeId="25601" r:id="rId2" name="CommandButton1"/>
  </controls>
</worksheet>
</file>

<file path=xl/worksheets/sheet13.xml><?xml version="1.0" encoding="utf-8"?>
<worksheet xmlns="http://schemas.openxmlformats.org/spreadsheetml/2006/main" xmlns:r="http://schemas.openxmlformats.org/officeDocument/2006/relationships">
  <sheetPr codeName="篩股結果"/>
  <dimension ref="A1:AC1544"/>
  <sheetViews>
    <sheetView zoomScale="80" zoomScaleNormal="80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D12" sqref="D12:D13"/>
    </sheetView>
  </sheetViews>
  <sheetFormatPr defaultColWidth="9" defaultRowHeight="16.5"/>
  <cols>
    <col min="1" max="1" width="8.875" customWidth="1"/>
    <col min="2" max="4" width="12.875" bestFit="1" customWidth="1"/>
    <col min="5" max="11" width="8.25" customWidth="1"/>
    <col min="12" max="14" width="10.75" customWidth="1"/>
    <col min="15" max="26" width="8.875"/>
    <col min="27" max="28" width="9" style="29"/>
    <col min="29" max="29" width="8.875" customWidth="1"/>
    <col min="30" max="16384" width="9" style="29"/>
  </cols>
  <sheetData>
    <row r="1" spans="1:1" ht="27.75" customHeight="1">
      <c r="A1" t="s">
        <v>203</v>
      </c>
    </row>
    <row r="2" spans="1:1">
      <c r="A2">
        <v>1101</v>
      </c>
    </row>
    <row r="3" spans="1:1">
      <c r="A3">
        <v>1102</v>
      </c>
    </row>
    <row r="4" spans="1:1">
      <c r="A4">
        <v>1103</v>
      </c>
    </row>
    <row r="5" spans="1:1">
      <c r="A5">
        <v>1104</v>
      </c>
    </row>
    <row r="6" spans="1:1">
      <c r="A6">
        <v>1108</v>
      </c>
    </row>
    <row r="7" spans="1:1">
      <c r="A7">
        <v>1109</v>
      </c>
    </row>
    <row r="8" spans="1:1">
      <c r="A8">
        <v>1110</v>
      </c>
    </row>
    <row r="9" spans="1:1">
      <c r="A9">
        <v>1201</v>
      </c>
    </row>
    <row r="10" spans="1:1">
      <c r="A10">
        <v>1203</v>
      </c>
    </row>
    <row r="11" spans="1:1">
      <c r="A11">
        <v>1213</v>
      </c>
    </row>
    <row r="12" spans="1:1">
      <c r="A12">
        <v>1215</v>
      </c>
    </row>
    <row r="13" spans="1:1">
      <c r="A13">
        <v>1216</v>
      </c>
    </row>
    <row r="14" spans="1:1">
      <c r="A14">
        <v>1217</v>
      </c>
    </row>
    <row r="15" spans="1:1">
      <c r="A15">
        <v>1218</v>
      </c>
    </row>
    <row r="16" spans="1:1">
      <c r="A16">
        <v>1219</v>
      </c>
    </row>
    <row r="17" spans="1:1">
      <c r="A17">
        <v>1220</v>
      </c>
    </row>
    <row r="18" spans="1:1">
      <c r="A18">
        <v>1225</v>
      </c>
    </row>
    <row r="19" spans="1:1">
      <c r="A19">
        <v>1227</v>
      </c>
    </row>
    <row r="20" spans="1:1">
      <c r="A20">
        <v>1229</v>
      </c>
    </row>
    <row r="21" spans="1:1">
      <c r="A21">
        <v>1231</v>
      </c>
    </row>
    <row r="22" spans="1:1">
      <c r="A22">
        <v>1232</v>
      </c>
    </row>
    <row r="23" spans="1:1">
      <c r="A23">
        <v>1233</v>
      </c>
    </row>
    <row r="24" spans="1:1">
      <c r="A24">
        <v>1234</v>
      </c>
    </row>
    <row r="25" spans="1:1">
      <c r="A25">
        <v>1235</v>
      </c>
    </row>
    <row r="26" spans="1:1">
      <c r="A26">
        <v>1236</v>
      </c>
    </row>
    <row r="27" spans="1:1">
      <c r="A27">
        <v>1256</v>
      </c>
    </row>
    <row r="28" spans="1:1">
      <c r="A28">
        <v>1258</v>
      </c>
    </row>
    <row r="29" spans="1:1">
      <c r="A29">
        <v>1259</v>
      </c>
    </row>
    <row r="30" spans="1:1">
      <c r="A30">
        <v>1262</v>
      </c>
    </row>
    <row r="31" spans="1:1">
      <c r="A31">
        <v>1264</v>
      </c>
    </row>
    <row r="32" spans="1:1">
      <c r="A32">
        <v>1301</v>
      </c>
    </row>
    <row r="33" spans="1:1">
      <c r="A33">
        <v>1303</v>
      </c>
    </row>
    <row r="34" spans="1:1">
      <c r="A34">
        <v>1304</v>
      </c>
    </row>
    <row r="35" spans="1:1">
      <c r="A35">
        <v>1305</v>
      </c>
    </row>
    <row r="36" spans="1:1">
      <c r="A36">
        <v>1307</v>
      </c>
    </row>
    <row r="37" spans="1:1">
      <c r="A37">
        <v>1308</v>
      </c>
    </row>
    <row r="38" spans="1:1">
      <c r="A38">
        <v>1309</v>
      </c>
    </row>
    <row r="39" spans="1:1">
      <c r="A39">
        <v>1310</v>
      </c>
    </row>
    <row r="40" spans="1:1">
      <c r="A40">
        <v>1312</v>
      </c>
    </row>
    <row r="41" spans="1:1">
      <c r="A41">
        <v>1313</v>
      </c>
    </row>
    <row r="42" spans="1:1">
      <c r="A42">
        <v>1314</v>
      </c>
    </row>
    <row r="43" spans="1:1">
      <c r="A43">
        <v>1315</v>
      </c>
    </row>
    <row r="44" spans="1:1">
      <c r="A44">
        <v>1316</v>
      </c>
    </row>
    <row r="45" spans="1:1">
      <c r="A45">
        <v>1319</v>
      </c>
    </row>
    <row r="46" spans="1:1">
      <c r="A46">
        <v>1321</v>
      </c>
    </row>
    <row r="47" spans="1:1">
      <c r="A47">
        <v>1323</v>
      </c>
    </row>
    <row r="48" spans="1:1">
      <c r="A48">
        <v>1324</v>
      </c>
    </row>
    <row r="49" spans="1:1">
      <c r="A49">
        <v>1325</v>
      </c>
    </row>
    <row r="50" spans="1:1">
      <c r="A50">
        <v>1326</v>
      </c>
    </row>
    <row r="51" spans="1:1">
      <c r="A51">
        <v>1333</v>
      </c>
    </row>
    <row r="52" spans="1:1">
      <c r="A52">
        <v>1336</v>
      </c>
    </row>
    <row r="53" spans="1:1">
      <c r="A53">
        <v>1337</v>
      </c>
    </row>
    <row r="54" spans="1:1">
      <c r="A54">
        <v>1338</v>
      </c>
    </row>
    <row r="55" spans="1:1">
      <c r="A55">
        <v>1339</v>
      </c>
    </row>
    <row r="56" spans="1:1">
      <c r="A56">
        <v>1340</v>
      </c>
    </row>
    <row r="57" spans="1:1">
      <c r="A57">
        <v>1402</v>
      </c>
    </row>
    <row r="58" spans="1:1">
      <c r="A58">
        <v>1409</v>
      </c>
    </row>
    <row r="59" spans="1:1">
      <c r="A59">
        <v>1410</v>
      </c>
    </row>
    <row r="60" spans="1:1">
      <c r="A60">
        <v>1413</v>
      </c>
    </row>
    <row r="61" spans="1:1">
      <c r="A61">
        <v>1414</v>
      </c>
    </row>
    <row r="62" spans="1:1">
      <c r="A62">
        <v>1416</v>
      </c>
    </row>
    <row r="63" spans="1:1">
      <c r="A63">
        <v>1417</v>
      </c>
    </row>
    <row r="64" spans="1:1">
      <c r="A64">
        <v>1418</v>
      </c>
    </row>
    <row r="65" spans="1:1">
      <c r="A65">
        <v>1419</v>
      </c>
    </row>
    <row r="66" spans="1:1">
      <c r="A66">
        <v>1423</v>
      </c>
    </row>
    <row r="67" spans="1:1">
      <c r="A67">
        <v>1432</v>
      </c>
    </row>
    <row r="68" spans="1:1">
      <c r="A68">
        <v>1434</v>
      </c>
    </row>
    <row r="69" spans="1:1">
      <c r="A69">
        <v>1435</v>
      </c>
    </row>
    <row r="70" spans="1:1">
      <c r="A70">
        <v>1436</v>
      </c>
    </row>
    <row r="71" spans="1:1">
      <c r="A71">
        <v>1437</v>
      </c>
    </row>
    <row r="72" spans="1:1">
      <c r="A72">
        <v>1438</v>
      </c>
    </row>
    <row r="73" spans="1:1">
      <c r="A73">
        <v>1439</v>
      </c>
    </row>
    <row r="74" spans="1:1">
      <c r="A74">
        <v>1440</v>
      </c>
    </row>
    <row r="75" spans="1:1">
      <c r="A75">
        <v>1441</v>
      </c>
    </row>
    <row r="76" spans="1:1">
      <c r="A76">
        <v>1442</v>
      </c>
    </row>
    <row r="77" spans="1:1">
      <c r="A77">
        <v>1443</v>
      </c>
    </row>
    <row r="78" spans="1:1">
      <c r="A78">
        <v>1444</v>
      </c>
    </row>
    <row r="79" spans="1:1">
      <c r="A79">
        <v>1445</v>
      </c>
    </row>
    <row r="80" spans="1:1">
      <c r="A80">
        <v>1446</v>
      </c>
    </row>
    <row r="81" spans="1:1">
      <c r="A81">
        <v>1447</v>
      </c>
    </row>
    <row r="82" spans="1:1">
      <c r="A82">
        <v>1449</v>
      </c>
    </row>
    <row r="83" spans="1:1">
      <c r="A83">
        <v>1451</v>
      </c>
    </row>
    <row r="84" spans="1:1">
      <c r="A84">
        <v>1452</v>
      </c>
    </row>
    <row r="85" spans="1:1">
      <c r="A85">
        <v>1453</v>
      </c>
    </row>
    <row r="86" spans="1:1">
      <c r="A86">
        <v>1454</v>
      </c>
    </row>
    <row r="87" spans="1:1">
      <c r="A87">
        <v>1455</v>
      </c>
    </row>
    <row r="88" spans="1:1">
      <c r="A88">
        <v>1456</v>
      </c>
    </row>
    <row r="89" spans="1:1">
      <c r="A89">
        <v>1457</v>
      </c>
    </row>
    <row r="90" spans="1:1">
      <c r="A90">
        <v>1459</v>
      </c>
    </row>
    <row r="91" spans="1:1">
      <c r="A91">
        <v>1460</v>
      </c>
    </row>
    <row r="92" spans="1:1">
      <c r="A92">
        <v>1463</v>
      </c>
    </row>
    <row r="93" spans="1:1">
      <c r="A93">
        <v>1464</v>
      </c>
    </row>
    <row r="94" spans="1:1">
      <c r="A94">
        <v>1465</v>
      </c>
    </row>
    <row r="95" spans="1:1">
      <c r="A95">
        <v>1466</v>
      </c>
    </row>
    <row r="96" spans="1:1">
      <c r="A96">
        <v>1467</v>
      </c>
    </row>
    <row r="97" spans="1:1">
      <c r="A97">
        <v>1468</v>
      </c>
    </row>
    <row r="98" spans="1:1">
      <c r="A98">
        <v>1469</v>
      </c>
    </row>
    <row r="99" spans="1:1">
      <c r="A99">
        <v>1470</v>
      </c>
    </row>
    <row r="100" spans="1:1">
      <c r="A100">
        <v>1471</v>
      </c>
    </row>
    <row r="101" spans="1:1">
      <c r="A101">
        <v>1472</v>
      </c>
    </row>
    <row r="102" spans="1:1">
      <c r="A102">
        <v>1473</v>
      </c>
    </row>
    <row r="103" spans="1:1">
      <c r="A103">
        <v>1474</v>
      </c>
    </row>
    <row r="104" spans="1:1">
      <c r="A104">
        <v>1475</v>
      </c>
    </row>
    <row r="105" spans="1:1">
      <c r="A105">
        <v>1476</v>
      </c>
    </row>
    <row r="106" spans="1:1">
      <c r="A106">
        <v>1477</v>
      </c>
    </row>
    <row r="107" spans="1:1">
      <c r="A107">
        <v>1503</v>
      </c>
    </row>
    <row r="108" spans="1:1">
      <c r="A108">
        <v>1504</v>
      </c>
    </row>
    <row r="109" spans="1:1">
      <c r="A109">
        <v>1506</v>
      </c>
    </row>
    <row r="110" spans="1:1">
      <c r="A110">
        <v>1507</v>
      </c>
    </row>
    <row r="111" spans="1:1">
      <c r="A111">
        <v>1512</v>
      </c>
    </row>
    <row r="112" spans="1:1">
      <c r="A112">
        <v>1513</v>
      </c>
    </row>
    <row r="113" spans="1:1">
      <c r="A113">
        <v>1514</v>
      </c>
    </row>
    <row r="114" spans="1:1">
      <c r="A114">
        <v>1515</v>
      </c>
    </row>
    <row r="115" spans="1:1">
      <c r="A115">
        <v>1516</v>
      </c>
    </row>
    <row r="116" spans="1:1">
      <c r="A116">
        <v>1517</v>
      </c>
    </row>
    <row r="117" spans="1:1">
      <c r="A117">
        <v>1519</v>
      </c>
    </row>
    <row r="118" spans="1:1">
      <c r="A118">
        <v>1521</v>
      </c>
    </row>
    <row r="119" spans="1:1">
      <c r="A119">
        <v>1522</v>
      </c>
    </row>
    <row r="120" spans="1:1">
      <c r="A120">
        <v>1524</v>
      </c>
    </row>
    <row r="121" spans="1:1">
      <c r="A121">
        <v>1525</v>
      </c>
    </row>
    <row r="122" spans="1:1">
      <c r="A122">
        <v>1526</v>
      </c>
    </row>
    <row r="123" spans="1:1">
      <c r="A123">
        <v>1527</v>
      </c>
    </row>
    <row r="124" spans="1:1">
      <c r="A124">
        <v>1528</v>
      </c>
    </row>
    <row r="125" spans="1:1">
      <c r="A125">
        <v>1529</v>
      </c>
    </row>
    <row r="126" spans="1:1">
      <c r="A126">
        <v>1530</v>
      </c>
    </row>
    <row r="127" spans="1:1">
      <c r="A127">
        <v>1531</v>
      </c>
    </row>
    <row r="128" spans="1:1">
      <c r="A128">
        <v>1532</v>
      </c>
    </row>
    <row r="129" spans="1:1">
      <c r="A129">
        <v>1533</v>
      </c>
    </row>
    <row r="130" spans="1:1">
      <c r="A130">
        <v>1535</v>
      </c>
    </row>
    <row r="131" spans="1:1">
      <c r="A131">
        <v>1536</v>
      </c>
    </row>
    <row r="132" spans="1:1">
      <c r="A132">
        <v>1537</v>
      </c>
    </row>
    <row r="133" spans="1:1">
      <c r="A133">
        <v>1538</v>
      </c>
    </row>
    <row r="134" spans="1:1">
      <c r="A134">
        <v>1539</v>
      </c>
    </row>
    <row r="135" spans="1:1">
      <c r="A135">
        <v>1540</v>
      </c>
    </row>
    <row r="136" spans="1:1">
      <c r="A136">
        <v>1541</v>
      </c>
    </row>
    <row r="137" spans="1:1">
      <c r="A137">
        <v>1558</v>
      </c>
    </row>
    <row r="138" spans="1:1">
      <c r="A138">
        <v>1560</v>
      </c>
    </row>
    <row r="139" spans="1:1">
      <c r="A139">
        <v>1565</v>
      </c>
    </row>
    <row r="140" spans="1:1">
      <c r="A140">
        <v>1566</v>
      </c>
    </row>
    <row r="141" spans="1:1">
      <c r="A141">
        <v>1568</v>
      </c>
    </row>
    <row r="142" spans="1:1">
      <c r="A142">
        <v>1569</v>
      </c>
    </row>
    <row r="143" spans="1:1">
      <c r="A143">
        <v>1570</v>
      </c>
    </row>
    <row r="144" spans="1:1">
      <c r="A144">
        <v>1580</v>
      </c>
    </row>
    <row r="145" spans="1:1">
      <c r="A145">
        <v>1582</v>
      </c>
    </row>
    <row r="146" spans="1:1">
      <c r="A146">
        <v>1583</v>
      </c>
    </row>
    <row r="147" spans="1:1">
      <c r="A147">
        <v>1584</v>
      </c>
    </row>
    <row r="148" spans="1:1">
      <c r="A148">
        <v>1586</v>
      </c>
    </row>
    <row r="149" spans="1:1">
      <c r="A149">
        <v>1589</v>
      </c>
    </row>
    <row r="150" spans="1:1">
      <c r="A150">
        <v>1590</v>
      </c>
    </row>
    <row r="151" spans="1:1">
      <c r="A151">
        <v>1591</v>
      </c>
    </row>
    <row r="152" spans="1:1">
      <c r="A152">
        <v>1592</v>
      </c>
    </row>
    <row r="153" spans="1:1">
      <c r="A153">
        <v>1593</v>
      </c>
    </row>
    <row r="154" spans="1:1">
      <c r="A154">
        <v>1595</v>
      </c>
    </row>
    <row r="155" spans="1:1">
      <c r="A155">
        <v>1597</v>
      </c>
    </row>
    <row r="156" spans="1:1">
      <c r="A156">
        <v>1599</v>
      </c>
    </row>
    <row r="157" spans="1:1">
      <c r="A157">
        <v>1603</v>
      </c>
    </row>
    <row r="158" spans="1:1">
      <c r="A158">
        <v>1604</v>
      </c>
    </row>
    <row r="159" spans="1:1">
      <c r="A159">
        <v>1605</v>
      </c>
    </row>
    <row r="160" spans="1:1">
      <c r="A160">
        <v>1608</v>
      </c>
    </row>
    <row r="161" spans="1:1">
      <c r="A161">
        <v>1609</v>
      </c>
    </row>
    <row r="162" spans="1:1">
      <c r="A162">
        <v>1611</v>
      </c>
    </row>
    <row r="163" spans="1:1">
      <c r="A163">
        <v>1612</v>
      </c>
    </row>
    <row r="164" spans="1:1">
      <c r="A164">
        <v>1613</v>
      </c>
    </row>
    <row r="165" spans="1:1">
      <c r="A165">
        <v>1614</v>
      </c>
    </row>
    <row r="166" spans="1:1">
      <c r="A166">
        <v>1615</v>
      </c>
    </row>
    <row r="167" spans="1:1">
      <c r="A167">
        <v>1616</v>
      </c>
    </row>
    <row r="168" spans="1:1">
      <c r="A168">
        <v>1617</v>
      </c>
    </row>
    <row r="169" spans="1:1">
      <c r="A169">
        <v>1618</v>
      </c>
    </row>
    <row r="170" spans="1:1">
      <c r="A170">
        <v>1626</v>
      </c>
    </row>
    <row r="171" spans="1:1">
      <c r="A171">
        <v>1701</v>
      </c>
    </row>
    <row r="172" spans="1:1">
      <c r="A172">
        <v>1702</v>
      </c>
    </row>
    <row r="173" spans="1:1">
      <c r="A173">
        <v>1704</v>
      </c>
    </row>
    <row r="174" spans="1:1">
      <c r="A174">
        <v>1707</v>
      </c>
    </row>
    <row r="175" spans="1:1">
      <c r="A175">
        <v>1708</v>
      </c>
    </row>
    <row r="176" spans="1:1">
      <c r="A176">
        <v>1709</v>
      </c>
    </row>
    <row r="177" spans="1:1">
      <c r="A177">
        <v>1710</v>
      </c>
    </row>
    <row r="178" spans="1:1">
      <c r="A178">
        <v>1711</v>
      </c>
    </row>
    <row r="179" spans="1:1">
      <c r="A179">
        <v>1712</v>
      </c>
    </row>
    <row r="180" spans="1:1">
      <c r="A180">
        <v>1713</v>
      </c>
    </row>
    <row r="181" spans="1:1">
      <c r="A181">
        <v>1714</v>
      </c>
    </row>
    <row r="182" spans="1:1">
      <c r="A182">
        <v>1715</v>
      </c>
    </row>
    <row r="183" spans="1:1">
      <c r="A183">
        <v>1717</v>
      </c>
    </row>
    <row r="184" spans="1:1">
      <c r="A184">
        <v>1718</v>
      </c>
    </row>
    <row r="185" spans="1:1">
      <c r="A185">
        <v>1720</v>
      </c>
    </row>
    <row r="186" spans="1:1">
      <c r="A186">
        <v>1721</v>
      </c>
    </row>
    <row r="187" spans="1:1">
      <c r="A187">
        <v>1722</v>
      </c>
    </row>
    <row r="188" spans="1:1">
      <c r="A188">
        <v>1723</v>
      </c>
    </row>
    <row r="189" spans="1:1">
      <c r="A189">
        <v>1724</v>
      </c>
    </row>
    <row r="190" spans="1:1">
      <c r="A190">
        <v>1725</v>
      </c>
    </row>
    <row r="191" spans="1:1">
      <c r="A191">
        <v>1726</v>
      </c>
    </row>
    <row r="192" spans="1:1">
      <c r="A192">
        <v>1727</v>
      </c>
    </row>
    <row r="193" spans="1:1">
      <c r="A193">
        <v>1729</v>
      </c>
    </row>
    <row r="194" spans="1:1">
      <c r="A194">
        <v>1730</v>
      </c>
    </row>
    <row r="195" spans="1:1">
      <c r="A195">
        <v>1731</v>
      </c>
    </row>
    <row r="196" spans="1:1">
      <c r="A196">
        <v>1732</v>
      </c>
    </row>
    <row r="197" spans="1:1">
      <c r="A197">
        <v>1733</v>
      </c>
    </row>
    <row r="198" spans="1:1">
      <c r="A198">
        <v>1734</v>
      </c>
    </row>
    <row r="199" spans="1:1">
      <c r="A199">
        <v>1735</v>
      </c>
    </row>
    <row r="200" spans="1:1">
      <c r="A200">
        <v>1736</v>
      </c>
    </row>
    <row r="201" spans="1:1">
      <c r="A201">
        <v>1737</v>
      </c>
    </row>
    <row r="202" spans="1:1">
      <c r="A202">
        <v>1742</v>
      </c>
    </row>
    <row r="203" spans="1:1">
      <c r="A203">
        <v>1752</v>
      </c>
    </row>
    <row r="204" spans="1:1">
      <c r="A204">
        <v>1762</v>
      </c>
    </row>
    <row r="205" spans="1:1">
      <c r="A205">
        <v>1773</v>
      </c>
    </row>
    <row r="206" spans="1:1">
      <c r="A206">
        <v>1777</v>
      </c>
    </row>
    <row r="207" spans="1:1">
      <c r="A207">
        <v>1781</v>
      </c>
    </row>
    <row r="208" spans="1:1">
      <c r="A208">
        <v>1783</v>
      </c>
    </row>
    <row r="209" spans="1:1">
      <c r="A209">
        <v>1784</v>
      </c>
    </row>
    <row r="210" spans="1:1">
      <c r="A210">
        <v>1785</v>
      </c>
    </row>
    <row r="211" spans="1:1">
      <c r="A211">
        <v>1786</v>
      </c>
    </row>
    <row r="212" spans="1:1">
      <c r="A212">
        <v>1787</v>
      </c>
    </row>
    <row r="213" spans="1:1">
      <c r="A213">
        <v>1788</v>
      </c>
    </row>
    <row r="214" spans="1:1">
      <c r="A214">
        <v>1789</v>
      </c>
    </row>
    <row r="215" spans="1:1">
      <c r="A215">
        <v>1795</v>
      </c>
    </row>
    <row r="216" spans="1:1">
      <c r="A216">
        <v>1799</v>
      </c>
    </row>
    <row r="217" spans="1:1">
      <c r="A217">
        <v>1802</v>
      </c>
    </row>
    <row r="218" spans="1:1">
      <c r="A218">
        <v>1805</v>
      </c>
    </row>
    <row r="219" spans="1:1">
      <c r="A219">
        <v>1806</v>
      </c>
    </row>
    <row r="220" spans="1:1">
      <c r="A220">
        <v>1808</v>
      </c>
    </row>
    <row r="221" spans="1:1">
      <c r="A221">
        <v>1809</v>
      </c>
    </row>
    <row r="222" spans="1:1">
      <c r="A222">
        <v>1810</v>
      </c>
    </row>
    <row r="223" spans="1:1">
      <c r="A223">
        <v>1813</v>
      </c>
    </row>
    <row r="224" spans="1:1">
      <c r="A224">
        <v>1815</v>
      </c>
    </row>
    <row r="225" spans="1:1">
      <c r="A225">
        <v>1902</v>
      </c>
    </row>
    <row r="226" spans="1:1">
      <c r="A226">
        <v>1903</v>
      </c>
    </row>
    <row r="227" spans="1:1">
      <c r="A227">
        <v>1904</v>
      </c>
    </row>
    <row r="228" spans="1:1">
      <c r="A228">
        <v>1905</v>
      </c>
    </row>
    <row r="229" spans="1:1">
      <c r="A229">
        <v>1906</v>
      </c>
    </row>
    <row r="230" spans="1:1">
      <c r="A230">
        <v>1907</v>
      </c>
    </row>
    <row r="231" spans="1:1">
      <c r="A231">
        <v>1909</v>
      </c>
    </row>
    <row r="232" spans="1:1">
      <c r="A232">
        <v>2002</v>
      </c>
    </row>
    <row r="233" spans="1:1">
      <c r="A233">
        <v>2006</v>
      </c>
    </row>
    <row r="234" spans="1:1">
      <c r="A234">
        <v>2007</v>
      </c>
    </row>
    <row r="235" spans="1:1">
      <c r="A235">
        <v>2008</v>
      </c>
    </row>
    <row r="236" spans="1:1">
      <c r="A236">
        <v>2009</v>
      </c>
    </row>
    <row r="237" spans="1:1">
      <c r="A237">
        <v>2010</v>
      </c>
    </row>
    <row r="238" spans="1:1">
      <c r="A238">
        <v>2012</v>
      </c>
    </row>
    <row r="239" spans="1:1">
      <c r="A239">
        <v>2013</v>
      </c>
    </row>
    <row r="240" spans="1:1">
      <c r="A240">
        <v>2014</v>
      </c>
    </row>
    <row r="241" spans="1:1">
      <c r="A241">
        <v>2015</v>
      </c>
    </row>
    <row r="242" spans="1:1">
      <c r="A242">
        <v>2017</v>
      </c>
    </row>
    <row r="243" spans="1:1">
      <c r="A243">
        <v>2020</v>
      </c>
    </row>
    <row r="244" spans="1:1">
      <c r="A244">
        <v>2022</v>
      </c>
    </row>
    <row r="245" spans="1:1">
      <c r="A245">
        <v>2023</v>
      </c>
    </row>
    <row r="246" spans="1:1">
      <c r="A246">
        <v>2024</v>
      </c>
    </row>
    <row r="247" spans="1:1">
      <c r="A247">
        <v>2025</v>
      </c>
    </row>
    <row r="248" spans="1:1">
      <c r="A248">
        <v>2027</v>
      </c>
    </row>
    <row r="249" spans="1:1">
      <c r="A249">
        <v>2028</v>
      </c>
    </row>
    <row r="250" spans="1:1">
      <c r="A250">
        <v>2029</v>
      </c>
    </row>
    <row r="251" spans="1:1">
      <c r="A251">
        <v>2030</v>
      </c>
    </row>
    <row r="252" spans="1:1">
      <c r="A252">
        <v>2031</v>
      </c>
    </row>
    <row r="253" spans="1:1">
      <c r="A253">
        <v>2032</v>
      </c>
    </row>
    <row r="254" spans="1:1">
      <c r="A254">
        <v>2033</v>
      </c>
    </row>
    <row r="255" spans="1:1">
      <c r="A255">
        <v>2034</v>
      </c>
    </row>
    <row r="256" spans="1:1">
      <c r="A256">
        <v>2035</v>
      </c>
    </row>
    <row r="257" spans="1:1">
      <c r="A257">
        <v>2038</v>
      </c>
    </row>
    <row r="258" spans="1:1">
      <c r="A258">
        <v>2049</v>
      </c>
    </row>
    <row r="259" spans="1:1">
      <c r="A259">
        <v>2059</v>
      </c>
    </row>
    <row r="260" spans="1:1">
      <c r="A260">
        <v>2061</v>
      </c>
    </row>
    <row r="261" spans="1:1">
      <c r="A261">
        <v>2062</v>
      </c>
    </row>
    <row r="262" spans="1:1">
      <c r="A262">
        <v>2063</v>
      </c>
    </row>
    <row r="263" spans="1:1">
      <c r="A263">
        <v>2064</v>
      </c>
    </row>
    <row r="264" spans="1:1">
      <c r="A264">
        <v>2066</v>
      </c>
    </row>
    <row r="265" spans="1:1">
      <c r="A265">
        <v>2067</v>
      </c>
    </row>
    <row r="266" spans="1:1">
      <c r="A266">
        <v>2101</v>
      </c>
    </row>
    <row r="267" spans="1:1">
      <c r="A267">
        <v>2102</v>
      </c>
    </row>
    <row r="268" spans="1:1">
      <c r="A268">
        <v>2103</v>
      </c>
    </row>
    <row r="269" spans="1:1">
      <c r="A269">
        <v>2104</v>
      </c>
    </row>
    <row r="270" spans="1:1">
      <c r="A270">
        <v>2105</v>
      </c>
    </row>
    <row r="271" spans="1:1">
      <c r="A271">
        <v>2106</v>
      </c>
    </row>
    <row r="272" spans="1:1">
      <c r="A272">
        <v>2107</v>
      </c>
    </row>
    <row r="273" spans="1:1">
      <c r="A273">
        <v>2108</v>
      </c>
    </row>
    <row r="274" spans="1:1">
      <c r="A274">
        <v>2109</v>
      </c>
    </row>
    <row r="275" spans="1:1">
      <c r="A275">
        <v>2114</v>
      </c>
    </row>
    <row r="276" spans="1:1">
      <c r="A276">
        <v>2115</v>
      </c>
    </row>
    <row r="277" spans="1:1">
      <c r="A277">
        <v>2201</v>
      </c>
    </row>
    <row r="278" spans="1:1">
      <c r="A278">
        <v>2204</v>
      </c>
    </row>
    <row r="279" spans="1:1">
      <c r="A279">
        <v>2206</v>
      </c>
    </row>
    <row r="280" spans="1:1">
      <c r="A280">
        <v>2207</v>
      </c>
    </row>
    <row r="281" spans="1:1">
      <c r="A281">
        <v>2208</v>
      </c>
    </row>
    <row r="282" spans="1:1">
      <c r="A282">
        <v>2221</v>
      </c>
    </row>
    <row r="283" spans="1:1">
      <c r="A283">
        <v>2227</v>
      </c>
    </row>
    <row r="284" spans="1:1">
      <c r="A284">
        <v>2228</v>
      </c>
    </row>
    <row r="285" spans="1:1">
      <c r="A285">
        <v>2230</v>
      </c>
    </row>
    <row r="286" spans="1:1">
      <c r="A286">
        <v>2231</v>
      </c>
    </row>
    <row r="287" spans="1:1">
      <c r="A287">
        <v>2233</v>
      </c>
    </row>
    <row r="288" spans="1:1">
      <c r="A288">
        <v>2235</v>
      </c>
    </row>
    <row r="289" spans="1:1">
      <c r="A289">
        <v>2301</v>
      </c>
    </row>
    <row r="290" spans="1:1">
      <c r="A290">
        <v>2302</v>
      </c>
    </row>
    <row r="291" spans="1:1">
      <c r="A291">
        <v>2303</v>
      </c>
    </row>
    <row r="292" spans="1:1">
      <c r="A292">
        <v>2305</v>
      </c>
    </row>
    <row r="293" spans="1:1">
      <c r="A293">
        <v>2308</v>
      </c>
    </row>
    <row r="294" spans="1:1">
      <c r="A294">
        <v>2311</v>
      </c>
    </row>
    <row r="295" spans="1:1">
      <c r="A295">
        <v>2312</v>
      </c>
    </row>
    <row r="296" spans="1:1">
      <c r="A296">
        <v>2313</v>
      </c>
    </row>
    <row r="297" spans="1:1">
      <c r="A297">
        <v>2314</v>
      </c>
    </row>
    <row r="298" spans="1:1">
      <c r="A298">
        <v>2316</v>
      </c>
    </row>
    <row r="299" spans="1:1">
      <c r="A299">
        <v>2317</v>
      </c>
    </row>
    <row r="300" spans="1:1">
      <c r="A300">
        <v>2321</v>
      </c>
    </row>
    <row r="301" spans="1:1">
      <c r="A301">
        <v>2323</v>
      </c>
    </row>
    <row r="302" spans="1:1">
      <c r="A302">
        <v>2324</v>
      </c>
    </row>
    <row r="303" spans="1:1">
      <c r="A303">
        <v>2325</v>
      </c>
    </row>
    <row r="304" spans="1:1">
      <c r="A304">
        <v>2327</v>
      </c>
    </row>
    <row r="305" spans="1:1">
      <c r="A305">
        <v>2328</v>
      </c>
    </row>
    <row r="306" spans="1:1">
      <c r="A306">
        <v>2329</v>
      </c>
    </row>
    <row r="307" spans="1:1">
      <c r="A307">
        <v>2330</v>
      </c>
    </row>
    <row r="308" spans="1:1">
      <c r="A308">
        <v>2331</v>
      </c>
    </row>
    <row r="309" spans="1:1">
      <c r="A309">
        <v>2332</v>
      </c>
    </row>
    <row r="310" spans="1:1">
      <c r="A310">
        <v>2337</v>
      </c>
    </row>
    <row r="311" spans="1:1">
      <c r="A311">
        <v>2338</v>
      </c>
    </row>
    <row r="312" spans="1:1">
      <c r="A312">
        <v>2340</v>
      </c>
    </row>
    <row r="313" spans="1:1">
      <c r="A313">
        <v>2342</v>
      </c>
    </row>
    <row r="314" spans="1:1">
      <c r="A314">
        <v>2344</v>
      </c>
    </row>
    <row r="315" spans="1:1">
      <c r="A315">
        <v>2345</v>
      </c>
    </row>
    <row r="316" spans="1:1">
      <c r="A316">
        <v>2347</v>
      </c>
    </row>
    <row r="317" spans="1:1">
      <c r="A317">
        <v>2348</v>
      </c>
    </row>
    <row r="318" spans="1:1">
      <c r="A318">
        <v>2349</v>
      </c>
    </row>
    <row r="319" spans="1:1">
      <c r="A319">
        <v>2351</v>
      </c>
    </row>
    <row r="320" spans="1:1">
      <c r="A320">
        <v>2352</v>
      </c>
    </row>
    <row r="321" spans="1:1">
      <c r="A321">
        <v>2353</v>
      </c>
    </row>
    <row r="322" spans="1:1">
      <c r="A322">
        <v>2354</v>
      </c>
    </row>
    <row r="323" spans="1:1">
      <c r="A323">
        <v>2355</v>
      </c>
    </row>
    <row r="324" spans="1:1">
      <c r="A324">
        <v>2356</v>
      </c>
    </row>
    <row r="325" spans="1:1">
      <c r="A325">
        <v>2357</v>
      </c>
    </row>
    <row r="326" spans="1:1">
      <c r="A326">
        <v>2358</v>
      </c>
    </row>
    <row r="327" spans="1:1">
      <c r="A327">
        <v>2359</v>
      </c>
    </row>
    <row r="328" spans="1:1">
      <c r="A328">
        <v>2360</v>
      </c>
    </row>
    <row r="329" spans="1:1">
      <c r="A329">
        <v>2361</v>
      </c>
    </row>
    <row r="330" spans="1:1">
      <c r="A330">
        <v>2362</v>
      </c>
    </row>
    <row r="331" spans="1:1">
      <c r="A331">
        <v>2363</v>
      </c>
    </row>
    <row r="332" spans="1:1">
      <c r="A332">
        <v>2364</v>
      </c>
    </row>
    <row r="333" spans="1:1">
      <c r="A333">
        <v>2365</v>
      </c>
    </row>
    <row r="334" spans="1:1">
      <c r="A334">
        <v>2367</v>
      </c>
    </row>
    <row r="335" spans="1:1">
      <c r="A335">
        <v>2368</v>
      </c>
    </row>
    <row r="336" spans="1:1">
      <c r="A336">
        <v>2369</v>
      </c>
    </row>
    <row r="337" spans="1:1">
      <c r="A337">
        <v>2371</v>
      </c>
    </row>
    <row r="338" spans="1:1">
      <c r="A338">
        <v>2373</v>
      </c>
    </row>
    <row r="339" spans="1:1">
      <c r="A339">
        <v>2374</v>
      </c>
    </row>
    <row r="340" spans="1:1">
      <c r="A340">
        <v>2375</v>
      </c>
    </row>
    <row r="341" spans="1:1">
      <c r="A341">
        <v>2376</v>
      </c>
    </row>
    <row r="342" spans="1:1">
      <c r="A342">
        <v>2377</v>
      </c>
    </row>
    <row r="343" spans="1:1">
      <c r="A343">
        <v>2379</v>
      </c>
    </row>
    <row r="344" spans="1:1">
      <c r="A344">
        <v>2380</v>
      </c>
    </row>
    <row r="345" spans="1:1">
      <c r="A345">
        <v>2382</v>
      </c>
    </row>
    <row r="346" spans="1:1">
      <c r="A346">
        <v>2383</v>
      </c>
    </row>
    <row r="347" spans="1:1">
      <c r="A347">
        <v>2385</v>
      </c>
    </row>
    <row r="348" spans="1:1">
      <c r="A348">
        <v>2387</v>
      </c>
    </row>
    <row r="349" spans="1:1">
      <c r="A349">
        <v>2388</v>
      </c>
    </row>
    <row r="350" spans="1:1">
      <c r="A350">
        <v>2390</v>
      </c>
    </row>
    <row r="351" spans="1:1">
      <c r="A351">
        <v>2392</v>
      </c>
    </row>
    <row r="352" spans="1:1">
      <c r="A352">
        <v>2393</v>
      </c>
    </row>
    <row r="353" spans="1:1">
      <c r="A353">
        <v>2395</v>
      </c>
    </row>
    <row r="354" spans="1:1">
      <c r="A354">
        <v>2397</v>
      </c>
    </row>
    <row r="355" spans="1:1">
      <c r="A355">
        <v>2399</v>
      </c>
    </row>
    <row r="356" spans="1:1">
      <c r="A356">
        <v>2401</v>
      </c>
    </row>
    <row r="357" spans="1:1">
      <c r="A357">
        <v>2402</v>
      </c>
    </row>
    <row r="358" spans="1:1">
      <c r="A358">
        <v>2404</v>
      </c>
    </row>
    <row r="359" spans="1:1">
      <c r="A359">
        <v>2405</v>
      </c>
    </row>
    <row r="360" spans="1:1">
      <c r="A360">
        <v>2406</v>
      </c>
    </row>
    <row r="361" spans="1:1">
      <c r="A361">
        <v>2408</v>
      </c>
    </row>
    <row r="362" spans="1:1">
      <c r="A362">
        <v>2409</v>
      </c>
    </row>
    <row r="363" spans="1:1">
      <c r="A363">
        <v>2412</v>
      </c>
    </row>
    <row r="364" spans="1:1">
      <c r="A364">
        <v>2413</v>
      </c>
    </row>
    <row r="365" spans="1:1">
      <c r="A365">
        <v>2414</v>
      </c>
    </row>
    <row r="366" spans="1:1">
      <c r="A366">
        <v>2415</v>
      </c>
    </row>
    <row r="367" spans="1:1">
      <c r="A367">
        <v>2417</v>
      </c>
    </row>
    <row r="368" spans="1:1">
      <c r="A368">
        <v>2419</v>
      </c>
    </row>
    <row r="369" spans="1:1">
      <c r="A369">
        <v>2420</v>
      </c>
    </row>
    <row r="370" spans="1:1">
      <c r="A370">
        <v>2421</v>
      </c>
    </row>
    <row r="371" spans="1:1">
      <c r="A371">
        <v>2423</v>
      </c>
    </row>
    <row r="372" spans="1:1">
      <c r="A372">
        <v>2424</v>
      </c>
    </row>
    <row r="373" spans="1:1">
      <c r="A373">
        <v>2425</v>
      </c>
    </row>
    <row r="374" spans="1:1">
      <c r="A374">
        <v>2426</v>
      </c>
    </row>
    <row r="375" spans="1:1">
      <c r="A375">
        <v>2427</v>
      </c>
    </row>
    <row r="376" spans="1:1">
      <c r="A376">
        <v>2428</v>
      </c>
    </row>
    <row r="377" spans="1:1">
      <c r="A377">
        <v>2429</v>
      </c>
    </row>
    <row r="378" spans="1:1">
      <c r="A378">
        <v>2430</v>
      </c>
    </row>
    <row r="379" spans="1:1">
      <c r="A379">
        <v>2431</v>
      </c>
    </row>
    <row r="380" spans="1:1">
      <c r="A380">
        <v>2433</v>
      </c>
    </row>
    <row r="381" spans="1:1">
      <c r="A381">
        <v>2434</v>
      </c>
    </row>
    <row r="382" spans="1:1">
      <c r="A382">
        <v>2436</v>
      </c>
    </row>
    <row r="383" spans="1:1">
      <c r="A383">
        <v>2437</v>
      </c>
    </row>
    <row r="384" spans="1:1">
      <c r="A384">
        <v>2438</v>
      </c>
    </row>
    <row r="385" spans="1:1">
      <c r="A385">
        <v>2439</v>
      </c>
    </row>
    <row r="386" spans="1:1">
      <c r="A386">
        <v>2440</v>
      </c>
    </row>
    <row r="387" spans="1:1">
      <c r="A387">
        <v>2441</v>
      </c>
    </row>
    <row r="388" spans="1:1">
      <c r="A388">
        <v>2442</v>
      </c>
    </row>
    <row r="389" spans="1:1">
      <c r="A389">
        <v>2443</v>
      </c>
    </row>
    <row r="390" spans="1:1">
      <c r="A390">
        <v>2444</v>
      </c>
    </row>
    <row r="391" spans="1:1">
      <c r="A391">
        <v>2448</v>
      </c>
    </row>
    <row r="392" spans="1:1">
      <c r="A392">
        <v>2449</v>
      </c>
    </row>
    <row r="393" spans="1:1">
      <c r="A393">
        <v>2450</v>
      </c>
    </row>
    <row r="394" spans="1:1">
      <c r="A394">
        <v>2451</v>
      </c>
    </row>
    <row r="395" spans="1:1">
      <c r="A395">
        <v>2453</v>
      </c>
    </row>
    <row r="396" spans="1:1">
      <c r="A396">
        <v>2454</v>
      </c>
    </row>
    <row r="397" spans="1:1">
      <c r="A397">
        <v>2455</v>
      </c>
    </row>
    <row r="398" spans="1:1">
      <c r="A398">
        <v>2456</v>
      </c>
    </row>
    <row r="399" spans="1:1">
      <c r="A399">
        <v>2457</v>
      </c>
    </row>
    <row r="400" spans="1:1">
      <c r="A400">
        <v>2458</v>
      </c>
    </row>
    <row r="401" spans="1:1">
      <c r="A401">
        <v>2459</v>
      </c>
    </row>
    <row r="402" spans="1:1">
      <c r="A402">
        <v>2460</v>
      </c>
    </row>
    <row r="403" spans="1:1">
      <c r="A403">
        <v>2461</v>
      </c>
    </row>
    <row r="404" spans="1:1">
      <c r="A404">
        <v>2462</v>
      </c>
    </row>
    <row r="405" spans="1:1">
      <c r="A405">
        <v>2464</v>
      </c>
    </row>
    <row r="406" spans="1:1">
      <c r="A406">
        <v>2465</v>
      </c>
    </row>
    <row r="407" spans="1:1">
      <c r="A407">
        <v>2466</v>
      </c>
    </row>
    <row r="408" spans="1:1">
      <c r="A408">
        <v>2467</v>
      </c>
    </row>
    <row r="409" spans="1:1">
      <c r="A409">
        <v>2468</v>
      </c>
    </row>
    <row r="410" spans="1:1">
      <c r="A410">
        <v>2471</v>
      </c>
    </row>
    <row r="411" spans="1:1">
      <c r="A411">
        <v>2472</v>
      </c>
    </row>
    <row r="412" spans="1:1">
      <c r="A412">
        <v>2474</v>
      </c>
    </row>
    <row r="413" spans="1:1">
      <c r="A413">
        <v>2475</v>
      </c>
    </row>
    <row r="414" spans="1:1">
      <c r="A414">
        <v>2476</v>
      </c>
    </row>
    <row r="415" spans="1:1">
      <c r="A415">
        <v>2477</v>
      </c>
    </row>
    <row r="416" spans="1:1">
      <c r="A416">
        <v>2478</v>
      </c>
    </row>
    <row r="417" spans="1:1">
      <c r="A417">
        <v>2480</v>
      </c>
    </row>
    <row r="418" spans="1:1">
      <c r="A418">
        <v>2481</v>
      </c>
    </row>
    <row r="419" spans="1:1">
      <c r="A419">
        <v>2482</v>
      </c>
    </row>
    <row r="420" spans="1:1">
      <c r="A420">
        <v>2483</v>
      </c>
    </row>
    <row r="421" spans="1:1">
      <c r="A421">
        <v>2484</v>
      </c>
    </row>
    <row r="422" spans="1:1">
      <c r="A422">
        <v>2485</v>
      </c>
    </row>
    <row r="423" spans="1:1">
      <c r="A423">
        <v>2486</v>
      </c>
    </row>
    <row r="424" spans="1:1">
      <c r="A424">
        <v>2488</v>
      </c>
    </row>
    <row r="425" spans="1:1">
      <c r="A425">
        <v>2489</v>
      </c>
    </row>
    <row r="426" spans="1:1">
      <c r="A426">
        <v>2491</v>
      </c>
    </row>
    <row r="427" spans="1:1">
      <c r="A427">
        <v>2492</v>
      </c>
    </row>
    <row r="428" spans="1:1">
      <c r="A428">
        <v>2493</v>
      </c>
    </row>
    <row r="429" spans="1:1">
      <c r="A429">
        <v>2495</v>
      </c>
    </row>
    <row r="430" spans="1:1">
      <c r="A430">
        <v>2496</v>
      </c>
    </row>
    <row r="431" spans="1:1">
      <c r="A431">
        <v>2497</v>
      </c>
    </row>
    <row r="432" spans="1:1">
      <c r="A432">
        <v>2498</v>
      </c>
    </row>
    <row r="433" spans="1:1">
      <c r="A433">
        <v>2499</v>
      </c>
    </row>
    <row r="434" spans="1:1">
      <c r="A434">
        <v>2501</v>
      </c>
    </row>
    <row r="435" spans="1:1">
      <c r="A435">
        <v>2504</v>
      </c>
    </row>
    <row r="436" spans="1:1">
      <c r="A436">
        <v>2505</v>
      </c>
    </row>
    <row r="437" spans="1:1">
      <c r="A437">
        <v>2506</v>
      </c>
    </row>
    <row r="438" spans="1:1">
      <c r="A438">
        <v>2509</v>
      </c>
    </row>
    <row r="439" spans="1:1">
      <c r="A439">
        <v>2511</v>
      </c>
    </row>
    <row r="440" spans="1:1">
      <c r="A440">
        <v>2514</v>
      </c>
    </row>
    <row r="441" spans="1:1">
      <c r="A441">
        <v>2515</v>
      </c>
    </row>
    <row r="442" spans="1:1">
      <c r="A442">
        <v>2516</v>
      </c>
    </row>
    <row r="443" spans="1:1">
      <c r="A443">
        <v>2520</v>
      </c>
    </row>
    <row r="444" spans="1:1">
      <c r="A444">
        <v>2524</v>
      </c>
    </row>
    <row r="445" spans="1:1">
      <c r="A445">
        <v>2527</v>
      </c>
    </row>
    <row r="446" spans="1:1">
      <c r="A446">
        <v>2528</v>
      </c>
    </row>
    <row r="447" spans="1:1">
      <c r="A447">
        <v>2530</v>
      </c>
    </row>
    <row r="448" spans="1:1">
      <c r="A448">
        <v>2534</v>
      </c>
    </row>
    <row r="449" spans="1:1">
      <c r="A449">
        <v>2535</v>
      </c>
    </row>
    <row r="450" spans="1:1">
      <c r="A450">
        <v>2536</v>
      </c>
    </row>
    <row r="451" spans="1:1">
      <c r="A451">
        <v>2537</v>
      </c>
    </row>
    <row r="452" spans="1:1">
      <c r="A452">
        <v>2538</v>
      </c>
    </row>
    <row r="453" spans="1:1">
      <c r="A453">
        <v>2539</v>
      </c>
    </row>
    <row r="454" spans="1:1">
      <c r="A454">
        <v>2540</v>
      </c>
    </row>
    <row r="455" spans="1:1">
      <c r="A455">
        <v>2542</v>
      </c>
    </row>
    <row r="456" spans="1:1">
      <c r="A456">
        <v>2543</v>
      </c>
    </row>
    <row r="457" spans="1:1">
      <c r="A457">
        <v>2545</v>
      </c>
    </row>
    <row r="458" spans="1:1">
      <c r="A458">
        <v>2546</v>
      </c>
    </row>
    <row r="459" spans="1:1">
      <c r="A459">
        <v>2547</v>
      </c>
    </row>
    <row r="460" spans="1:1">
      <c r="A460">
        <v>2548</v>
      </c>
    </row>
    <row r="461" spans="1:1">
      <c r="A461">
        <v>2596</v>
      </c>
    </row>
    <row r="462" spans="1:1">
      <c r="A462">
        <v>2597</v>
      </c>
    </row>
    <row r="463" spans="1:1">
      <c r="A463">
        <v>2601</v>
      </c>
    </row>
    <row r="464" spans="1:1">
      <c r="A464">
        <v>2603</v>
      </c>
    </row>
    <row r="465" spans="1:1">
      <c r="A465">
        <v>2605</v>
      </c>
    </row>
    <row r="466" spans="1:1">
      <c r="A466">
        <v>2606</v>
      </c>
    </row>
    <row r="467" spans="1:1">
      <c r="A467">
        <v>2607</v>
      </c>
    </row>
    <row r="468" spans="1:1">
      <c r="A468">
        <v>2608</v>
      </c>
    </row>
    <row r="469" spans="1:1">
      <c r="A469">
        <v>2609</v>
      </c>
    </row>
    <row r="470" spans="1:1">
      <c r="A470">
        <v>2610</v>
      </c>
    </row>
    <row r="471" spans="1:1">
      <c r="A471">
        <v>2611</v>
      </c>
    </row>
    <row r="472" spans="1:1">
      <c r="A472">
        <v>2612</v>
      </c>
    </row>
    <row r="473" spans="1:1">
      <c r="A473">
        <v>2613</v>
      </c>
    </row>
    <row r="474" spans="1:1">
      <c r="A474">
        <v>2614</v>
      </c>
    </row>
    <row r="475" spans="1:1">
      <c r="A475">
        <v>2615</v>
      </c>
    </row>
    <row r="476" spans="1:1">
      <c r="A476">
        <v>2616</v>
      </c>
    </row>
    <row r="477" spans="1:1">
      <c r="A477">
        <v>2617</v>
      </c>
    </row>
    <row r="478" spans="1:1">
      <c r="A478">
        <v>2618</v>
      </c>
    </row>
    <row r="479" spans="1:1">
      <c r="A479">
        <v>2634</v>
      </c>
    </row>
    <row r="480" spans="1:1">
      <c r="A480">
        <v>2636</v>
      </c>
    </row>
    <row r="481" spans="1:1">
      <c r="A481">
        <v>2637</v>
      </c>
    </row>
    <row r="482" spans="1:1">
      <c r="A482">
        <v>2640</v>
      </c>
    </row>
    <row r="483" spans="1:1">
      <c r="A483">
        <v>2641</v>
      </c>
    </row>
    <row r="484" spans="1:1">
      <c r="A484">
        <v>2642</v>
      </c>
    </row>
    <row r="485" spans="1:1">
      <c r="A485">
        <v>2701</v>
      </c>
    </row>
    <row r="486" spans="1:1">
      <c r="A486">
        <v>2702</v>
      </c>
    </row>
    <row r="487" spans="1:1">
      <c r="A487">
        <v>2704</v>
      </c>
    </row>
    <row r="488" spans="1:1">
      <c r="A488">
        <v>2705</v>
      </c>
    </row>
    <row r="489" spans="1:1">
      <c r="A489">
        <v>2706</v>
      </c>
    </row>
    <row r="490" spans="1:1">
      <c r="A490">
        <v>2707</v>
      </c>
    </row>
    <row r="491" spans="1:1">
      <c r="A491">
        <v>2712</v>
      </c>
    </row>
    <row r="492" spans="1:1">
      <c r="A492">
        <v>2718</v>
      </c>
    </row>
    <row r="493" spans="1:1">
      <c r="A493">
        <v>2719</v>
      </c>
    </row>
    <row r="494" spans="1:1">
      <c r="A494">
        <v>2722</v>
      </c>
    </row>
    <row r="495" spans="1:1">
      <c r="A495">
        <v>2723</v>
      </c>
    </row>
    <row r="496" spans="1:1">
      <c r="A496">
        <v>2724</v>
      </c>
    </row>
    <row r="497" spans="1:1">
      <c r="A497">
        <v>2726</v>
      </c>
    </row>
    <row r="498" spans="1:1">
      <c r="A498">
        <v>2727</v>
      </c>
    </row>
    <row r="499" spans="1:1">
      <c r="A499">
        <v>2729</v>
      </c>
    </row>
    <row r="500" spans="1:1">
      <c r="A500">
        <v>2731</v>
      </c>
    </row>
    <row r="501" spans="1:1">
      <c r="A501">
        <v>2732</v>
      </c>
    </row>
    <row r="502" spans="1:1">
      <c r="A502">
        <v>2734</v>
      </c>
    </row>
    <row r="503" spans="1:1">
      <c r="A503">
        <v>2801</v>
      </c>
    </row>
    <row r="504" spans="1:1">
      <c r="A504">
        <v>2809</v>
      </c>
    </row>
    <row r="505" spans="1:1">
      <c r="A505">
        <v>2812</v>
      </c>
    </row>
    <row r="506" spans="1:1">
      <c r="A506">
        <v>2816</v>
      </c>
    </row>
    <row r="507" spans="1:1">
      <c r="A507">
        <v>2820</v>
      </c>
    </row>
    <row r="508" spans="1:1">
      <c r="A508">
        <v>2823</v>
      </c>
    </row>
    <row r="509" spans="1:1">
      <c r="A509">
        <v>2832</v>
      </c>
    </row>
    <row r="510" spans="1:1">
      <c r="A510">
        <v>2833</v>
      </c>
    </row>
    <row r="511" spans="1:1">
      <c r="A511">
        <v>2834</v>
      </c>
    </row>
    <row r="512" spans="1:1">
      <c r="A512">
        <v>2836</v>
      </c>
    </row>
    <row r="513" spans="1:1">
      <c r="A513">
        <v>2838</v>
      </c>
    </row>
    <row r="514" spans="1:1">
      <c r="A514">
        <v>2841</v>
      </c>
    </row>
    <row r="515" spans="1:1">
      <c r="A515">
        <v>2845</v>
      </c>
    </row>
    <row r="516" spans="1:1">
      <c r="A516">
        <v>2847</v>
      </c>
    </row>
    <row r="517" spans="1:1">
      <c r="A517">
        <v>2849</v>
      </c>
    </row>
    <row r="518" spans="1:1">
      <c r="A518">
        <v>2850</v>
      </c>
    </row>
    <row r="519" spans="1:1">
      <c r="A519">
        <v>2851</v>
      </c>
    </row>
    <row r="520" spans="1:1">
      <c r="A520">
        <v>2852</v>
      </c>
    </row>
    <row r="521" spans="1:1">
      <c r="A521">
        <v>2855</v>
      </c>
    </row>
    <row r="522" spans="1:1">
      <c r="A522">
        <v>2856</v>
      </c>
    </row>
    <row r="523" spans="1:1">
      <c r="A523">
        <v>2867</v>
      </c>
    </row>
    <row r="524" spans="1:1">
      <c r="A524">
        <v>2880</v>
      </c>
    </row>
    <row r="525" spans="1:1">
      <c r="A525">
        <v>2881</v>
      </c>
    </row>
    <row r="526" spans="1:1">
      <c r="A526">
        <v>2882</v>
      </c>
    </row>
    <row r="527" spans="1:1">
      <c r="A527">
        <v>2883</v>
      </c>
    </row>
    <row r="528" spans="1:1">
      <c r="A528">
        <v>2884</v>
      </c>
    </row>
    <row r="529" spans="1:1">
      <c r="A529">
        <v>2885</v>
      </c>
    </row>
    <row r="530" spans="1:1">
      <c r="A530">
        <v>2886</v>
      </c>
    </row>
    <row r="531" spans="1:1">
      <c r="A531">
        <v>2887</v>
      </c>
    </row>
    <row r="532" spans="1:1">
      <c r="A532">
        <v>2888</v>
      </c>
    </row>
    <row r="533" spans="1:1">
      <c r="A533">
        <v>2889</v>
      </c>
    </row>
    <row r="534" spans="1:1">
      <c r="A534">
        <v>2890</v>
      </c>
    </row>
    <row r="535" spans="1:1">
      <c r="A535">
        <v>2891</v>
      </c>
    </row>
    <row r="536" spans="1:1">
      <c r="A536">
        <v>2892</v>
      </c>
    </row>
    <row r="537" spans="1:1">
      <c r="A537">
        <v>2901</v>
      </c>
    </row>
    <row r="538" spans="1:1">
      <c r="A538">
        <v>2903</v>
      </c>
    </row>
    <row r="539" spans="1:1">
      <c r="A539">
        <v>2904</v>
      </c>
    </row>
    <row r="540" spans="1:1">
      <c r="A540">
        <v>2905</v>
      </c>
    </row>
    <row r="541" spans="1:1">
      <c r="A541">
        <v>2906</v>
      </c>
    </row>
    <row r="542" spans="1:1">
      <c r="A542">
        <v>2908</v>
      </c>
    </row>
    <row r="543" spans="1:1">
      <c r="A543">
        <v>2910</v>
      </c>
    </row>
    <row r="544" spans="1:1">
      <c r="A544">
        <v>2911</v>
      </c>
    </row>
    <row r="545" spans="1:1">
      <c r="A545">
        <v>2912</v>
      </c>
    </row>
    <row r="546" spans="1:1">
      <c r="A546">
        <v>2913</v>
      </c>
    </row>
    <row r="547" spans="1:1">
      <c r="A547">
        <v>2915</v>
      </c>
    </row>
    <row r="548" spans="1:1">
      <c r="A548">
        <v>2916</v>
      </c>
    </row>
    <row r="549" spans="1:1">
      <c r="A549">
        <v>2923</v>
      </c>
    </row>
    <row r="550" spans="1:1">
      <c r="A550">
        <v>2924</v>
      </c>
    </row>
    <row r="551" spans="1:1">
      <c r="A551">
        <v>2926</v>
      </c>
    </row>
    <row r="552" spans="1:1">
      <c r="A552">
        <v>2929</v>
      </c>
    </row>
    <row r="553" spans="1:1">
      <c r="A553">
        <v>3002</v>
      </c>
    </row>
    <row r="554" spans="1:1">
      <c r="A554">
        <v>3003</v>
      </c>
    </row>
    <row r="555" spans="1:1">
      <c r="A555">
        <v>3004</v>
      </c>
    </row>
    <row r="556" spans="1:1">
      <c r="A556">
        <v>3005</v>
      </c>
    </row>
    <row r="557" spans="1:1">
      <c r="A557">
        <v>3006</v>
      </c>
    </row>
    <row r="558" spans="1:1">
      <c r="A558">
        <v>3008</v>
      </c>
    </row>
    <row r="559" spans="1:1">
      <c r="A559">
        <v>3010</v>
      </c>
    </row>
    <row r="560" spans="1:1">
      <c r="A560">
        <v>3011</v>
      </c>
    </row>
    <row r="561" spans="1:1">
      <c r="A561">
        <v>3013</v>
      </c>
    </row>
    <row r="562" spans="1:1">
      <c r="A562">
        <v>3014</v>
      </c>
    </row>
    <row r="563" spans="1:1">
      <c r="A563">
        <v>3015</v>
      </c>
    </row>
    <row r="564" spans="1:1">
      <c r="A564">
        <v>3016</v>
      </c>
    </row>
    <row r="565" spans="1:1">
      <c r="A565">
        <v>3017</v>
      </c>
    </row>
    <row r="566" spans="1:1">
      <c r="A566">
        <v>3018</v>
      </c>
    </row>
    <row r="567" spans="1:1">
      <c r="A567">
        <v>3019</v>
      </c>
    </row>
    <row r="568" spans="1:1">
      <c r="A568">
        <v>3021</v>
      </c>
    </row>
    <row r="569" spans="1:1">
      <c r="A569">
        <v>3022</v>
      </c>
    </row>
    <row r="570" spans="1:1">
      <c r="A570">
        <v>3023</v>
      </c>
    </row>
    <row r="571" spans="1:1">
      <c r="A571">
        <v>3024</v>
      </c>
    </row>
    <row r="572" spans="1:1">
      <c r="A572">
        <v>3025</v>
      </c>
    </row>
    <row r="573" spans="1:1">
      <c r="A573">
        <v>3026</v>
      </c>
    </row>
    <row r="574" spans="1:1">
      <c r="A574">
        <v>3027</v>
      </c>
    </row>
    <row r="575" spans="1:1">
      <c r="A575">
        <v>3028</v>
      </c>
    </row>
    <row r="576" spans="1:1">
      <c r="A576">
        <v>3029</v>
      </c>
    </row>
    <row r="577" spans="1:1">
      <c r="A577">
        <v>3030</v>
      </c>
    </row>
    <row r="578" spans="1:1">
      <c r="A578">
        <v>3031</v>
      </c>
    </row>
    <row r="579" spans="1:1">
      <c r="A579">
        <v>3032</v>
      </c>
    </row>
    <row r="580" spans="1:1">
      <c r="A580">
        <v>3033</v>
      </c>
    </row>
    <row r="581" spans="1:1">
      <c r="A581">
        <v>3034</v>
      </c>
    </row>
    <row r="582" spans="1:1">
      <c r="A582">
        <v>3035</v>
      </c>
    </row>
    <row r="583" spans="1:1">
      <c r="A583">
        <v>3036</v>
      </c>
    </row>
    <row r="584" spans="1:1">
      <c r="A584">
        <v>3037</v>
      </c>
    </row>
    <row r="585" spans="1:1">
      <c r="A585">
        <v>3038</v>
      </c>
    </row>
    <row r="586" spans="1:1">
      <c r="A586">
        <v>3040</v>
      </c>
    </row>
    <row r="587" spans="1:1">
      <c r="A587">
        <v>3041</v>
      </c>
    </row>
    <row r="588" spans="1:1">
      <c r="A588">
        <v>3042</v>
      </c>
    </row>
    <row r="589" spans="1:1">
      <c r="A589">
        <v>3043</v>
      </c>
    </row>
    <row r="590" spans="1:1">
      <c r="A590">
        <v>3044</v>
      </c>
    </row>
    <row r="591" spans="1:1">
      <c r="A591">
        <v>3045</v>
      </c>
    </row>
    <row r="592" spans="1:1">
      <c r="A592">
        <v>3046</v>
      </c>
    </row>
    <row r="593" spans="1:1">
      <c r="A593">
        <v>3047</v>
      </c>
    </row>
    <row r="594" spans="1:1">
      <c r="A594">
        <v>3048</v>
      </c>
    </row>
    <row r="595" spans="1:1">
      <c r="A595">
        <v>3049</v>
      </c>
    </row>
    <row r="596" spans="1:1">
      <c r="A596">
        <v>3050</v>
      </c>
    </row>
    <row r="597" spans="1:1">
      <c r="A597">
        <v>3051</v>
      </c>
    </row>
    <row r="598" spans="1:1">
      <c r="A598">
        <v>3052</v>
      </c>
    </row>
    <row r="599" spans="1:1">
      <c r="A599">
        <v>3054</v>
      </c>
    </row>
    <row r="600" spans="1:1">
      <c r="A600">
        <v>3055</v>
      </c>
    </row>
    <row r="601" spans="1:1">
      <c r="A601">
        <v>3056</v>
      </c>
    </row>
    <row r="602" spans="1:1">
      <c r="A602">
        <v>3057</v>
      </c>
    </row>
    <row r="603" spans="1:1">
      <c r="A603">
        <v>3058</v>
      </c>
    </row>
    <row r="604" spans="1:1">
      <c r="A604">
        <v>3059</v>
      </c>
    </row>
    <row r="605" spans="1:1">
      <c r="A605">
        <v>3060</v>
      </c>
    </row>
    <row r="606" spans="1:1">
      <c r="A606">
        <v>3062</v>
      </c>
    </row>
    <row r="607" spans="1:1">
      <c r="A607">
        <v>3064</v>
      </c>
    </row>
    <row r="608" spans="1:1">
      <c r="A608">
        <v>3066</v>
      </c>
    </row>
    <row r="609" spans="1:1">
      <c r="A609">
        <v>3067</v>
      </c>
    </row>
    <row r="610" spans="1:1">
      <c r="A610">
        <v>3068</v>
      </c>
    </row>
    <row r="611" spans="1:1">
      <c r="A611">
        <v>3071</v>
      </c>
    </row>
    <row r="612" spans="1:1">
      <c r="A612">
        <v>3073</v>
      </c>
    </row>
    <row r="613" spans="1:1">
      <c r="A613">
        <v>3078</v>
      </c>
    </row>
    <row r="614" spans="1:1">
      <c r="A614">
        <v>3083</v>
      </c>
    </row>
    <row r="615" spans="1:1">
      <c r="A615">
        <v>3085</v>
      </c>
    </row>
    <row r="616" spans="1:1">
      <c r="A616">
        <v>3086</v>
      </c>
    </row>
    <row r="617" spans="1:1">
      <c r="A617">
        <v>3088</v>
      </c>
    </row>
    <row r="618" spans="1:1">
      <c r="A618">
        <v>3089</v>
      </c>
    </row>
    <row r="619" spans="1:1">
      <c r="A619">
        <v>3090</v>
      </c>
    </row>
    <row r="620" spans="1:1">
      <c r="A620">
        <v>3092</v>
      </c>
    </row>
    <row r="621" spans="1:1">
      <c r="A621">
        <v>3093</v>
      </c>
    </row>
    <row r="622" spans="1:1">
      <c r="A622">
        <v>3094</v>
      </c>
    </row>
    <row r="623" spans="1:1">
      <c r="A623">
        <v>3095</v>
      </c>
    </row>
    <row r="624" spans="1:1">
      <c r="A624">
        <v>3105</v>
      </c>
    </row>
    <row r="625" spans="1:1">
      <c r="A625">
        <v>3114</v>
      </c>
    </row>
    <row r="626" spans="1:1">
      <c r="A626">
        <v>3115</v>
      </c>
    </row>
    <row r="627" spans="1:1">
      <c r="A627">
        <v>3118</v>
      </c>
    </row>
    <row r="628" spans="1:1">
      <c r="A628">
        <v>3122</v>
      </c>
    </row>
    <row r="629" spans="1:1">
      <c r="A629">
        <v>3128</v>
      </c>
    </row>
    <row r="630" spans="1:1">
      <c r="A630">
        <v>3130</v>
      </c>
    </row>
    <row r="631" spans="1:1">
      <c r="A631">
        <v>3131</v>
      </c>
    </row>
    <row r="632" spans="1:1">
      <c r="A632">
        <v>3141</v>
      </c>
    </row>
    <row r="633" spans="1:1">
      <c r="A633">
        <v>3144</v>
      </c>
    </row>
    <row r="634" spans="1:1">
      <c r="A634">
        <v>3149</v>
      </c>
    </row>
    <row r="635" spans="1:1">
      <c r="A635">
        <v>3152</v>
      </c>
    </row>
    <row r="636" spans="1:1">
      <c r="A636">
        <v>3162</v>
      </c>
    </row>
    <row r="637" spans="1:1">
      <c r="A637">
        <v>3163</v>
      </c>
    </row>
    <row r="638" spans="1:1">
      <c r="A638">
        <v>3164</v>
      </c>
    </row>
    <row r="639" spans="1:1">
      <c r="A639">
        <v>3167</v>
      </c>
    </row>
    <row r="640" spans="1:1">
      <c r="A640">
        <v>3169</v>
      </c>
    </row>
    <row r="641" spans="1:1">
      <c r="A641">
        <v>3171</v>
      </c>
    </row>
    <row r="642" spans="1:1">
      <c r="A642">
        <v>3176</v>
      </c>
    </row>
    <row r="643" spans="1:1">
      <c r="A643">
        <v>3188</v>
      </c>
    </row>
    <row r="644" spans="1:1">
      <c r="A644">
        <v>3189</v>
      </c>
    </row>
    <row r="645" spans="1:1">
      <c r="A645">
        <v>3191</v>
      </c>
    </row>
    <row r="646" spans="1:1">
      <c r="A646">
        <v>3202</v>
      </c>
    </row>
    <row r="647" spans="1:1">
      <c r="A647">
        <v>3205</v>
      </c>
    </row>
    <row r="648" spans="1:1">
      <c r="A648">
        <v>3206</v>
      </c>
    </row>
    <row r="649" spans="1:1">
      <c r="A649">
        <v>3207</v>
      </c>
    </row>
    <row r="650" spans="1:1">
      <c r="A650">
        <v>3209</v>
      </c>
    </row>
    <row r="651" spans="1:1">
      <c r="A651">
        <v>3211</v>
      </c>
    </row>
    <row r="652" spans="1:1">
      <c r="A652">
        <v>3213</v>
      </c>
    </row>
    <row r="653" spans="1:1">
      <c r="A653">
        <v>3217</v>
      </c>
    </row>
    <row r="654" spans="1:1">
      <c r="A654">
        <v>3218</v>
      </c>
    </row>
    <row r="655" spans="1:1">
      <c r="A655">
        <v>3219</v>
      </c>
    </row>
    <row r="656" spans="1:1">
      <c r="A656">
        <v>3221</v>
      </c>
    </row>
    <row r="657" spans="1:1">
      <c r="A657">
        <v>3224</v>
      </c>
    </row>
    <row r="658" spans="1:1">
      <c r="A658">
        <v>3226</v>
      </c>
    </row>
    <row r="659" spans="1:1">
      <c r="A659">
        <v>3227</v>
      </c>
    </row>
    <row r="660" spans="1:1">
      <c r="A660">
        <v>3228</v>
      </c>
    </row>
    <row r="661" spans="1:1">
      <c r="A661">
        <v>3229</v>
      </c>
    </row>
    <row r="662" spans="1:1">
      <c r="A662">
        <v>3230</v>
      </c>
    </row>
    <row r="663" spans="1:1">
      <c r="A663">
        <v>3231</v>
      </c>
    </row>
    <row r="664" spans="1:1">
      <c r="A664">
        <v>3232</v>
      </c>
    </row>
    <row r="665" spans="1:1">
      <c r="A665">
        <v>3234</v>
      </c>
    </row>
    <row r="666" spans="1:1">
      <c r="A666">
        <v>3236</v>
      </c>
    </row>
    <row r="667" spans="1:1">
      <c r="A667">
        <v>3252</v>
      </c>
    </row>
    <row r="668" spans="1:1">
      <c r="A668">
        <v>3257</v>
      </c>
    </row>
    <row r="669" spans="1:1">
      <c r="A669">
        <v>3259</v>
      </c>
    </row>
    <row r="670" spans="1:1">
      <c r="A670">
        <v>3260</v>
      </c>
    </row>
    <row r="671" spans="1:1">
      <c r="A671">
        <v>3264</v>
      </c>
    </row>
    <row r="672" spans="1:1">
      <c r="A672">
        <v>3265</v>
      </c>
    </row>
    <row r="673" spans="1:1">
      <c r="A673">
        <v>3266</v>
      </c>
    </row>
    <row r="674" spans="1:1">
      <c r="A674">
        <v>3268</v>
      </c>
    </row>
    <row r="675" spans="1:1">
      <c r="A675">
        <v>3272</v>
      </c>
    </row>
    <row r="676" spans="1:1">
      <c r="A676">
        <v>3276</v>
      </c>
    </row>
    <row r="677" spans="1:1">
      <c r="A677">
        <v>3284</v>
      </c>
    </row>
    <row r="678" spans="1:1">
      <c r="A678">
        <v>3285</v>
      </c>
    </row>
    <row r="679" spans="1:1">
      <c r="A679">
        <v>3287</v>
      </c>
    </row>
    <row r="680" spans="1:1">
      <c r="A680">
        <v>3288</v>
      </c>
    </row>
    <row r="681" spans="1:1">
      <c r="A681">
        <v>3289</v>
      </c>
    </row>
    <row r="682" spans="1:1">
      <c r="A682">
        <v>3290</v>
      </c>
    </row>
    <row r="683" spans="1:1">
      <c r="A683">
        <v>3291</v>
      </c>
    </row>
    <row r="684" spans="1:1">
      <c r="A684">
        <v>3293</v>
      </c>
    </row>
    <row r="685" spans="1:1">
      <c r="A685">
        <v>3294</v>
      </c>
    </row>
    <row r="686" spans="1:1">
      <c r="A686">
        <v>3296</v>
      </c>
    </row>
    <row r="687" spans="1:1">
      <c r="A687">
        <v>3297</v>
      </c>
    </row>
    <row r="688" spans="1:1">
      <c r="A688">
        <v>3299</v>
      </c>
    </row>
    <row r="689" spans="1:1">
      <c r="A689">
        <v>3303</v>
      </c>
    </row>
    <row r="690" spans="1:1">
      <c r="A690">
        <v>3305</v>
      </c>
    </row>
    <row r="691" spans="1:1">
      <c r="A691">
        <v>3306</v>
      </c>
    </row>
    <row r="692" spans="1:1">
      <c r="A692">
        <v>3308</v>
      </c>
    </row>
    <row r="693" spans="1:1">
      <c r="A693">
        <v>3310</v>
      </c>
    </row>
    <row r="694" spans="1:1">
      <c r="A694">
        <v>3311</v>
      </c>
    </row>
    <row r="695" spans="1:1">
      <c r="A695">
        <v>3312</v>
      </c>
    </row>
    <row r="696" spans="1:1">
      <c r="A696">
        <v>3313</v>
      </c>
    </row>
    <row r="697" spans="1:1">
      <c r="A697">
        <v>3315</v>
      </c>
    </row>
    <row r="698" spans="1:1">
      <c r="A698">
        <v>3317</v>
      </c>
    </row>
    <row r="699" spans="1:1">
      <c r="A699">
        <v>3322</v>
      </c>
    </row>
    <row r="700" spans="1:1">
      <c r="A700">
        <v>3323</v>
      </c>
    </row>
    <row r="701" spans="1:1">
      <c r="A701">
        <v>3324</v>
      </c>
    </row>
    <row r="702" spans="1:1">
      <c r="A702">
        <v>3325</v>
      </c>
    </row>
    <row r="703" spans="1:1">
      <c r="A703">
        <v>3332</v>
      </c>
    </row>
    <row r="704" spans="1:1">
      <c r="A704">
        <v>3338</v>
      </c>
    </row>
    <row r="705" spans="1:1">
      <c r="A705">
        <v>3339</v>
      </c>
    </row>
    <row r="706" spans="1:1">
      <c r="A706">
        <v>3354</v>
      </c>
    </row>
    <row r="707" spans="1:1">
      <c r="A707">
        <v>3356</v>
      </c>
    </row>
    <row r="708" spans="1:1">
      <c r="A708">
        <v>3360</v>
      </c>
    </row>
    <row r="709" spans="1:1">
      <c r="A709">
        <v>3362</v>
      </c>
    </row>
    <row r="710" spans="1:1">
      <c r="A710">
        <v>3363</v>
      </c>
    </row>
    <row r="711" spans="1:1">
      <c r="A711">
        <v>3372</v>
      </c>
    </row>
    <row r="712" spans="1:1">
      <c r="A712">
        <v>3373</v>
      </c>
    </row>
    <row r="713" spans="1:1">
      <c r="A713">
        <v>3374</v>
      </c>
    </row>
    <row r="714" spans="1:1">
      <c r="A714">
        <v>3376</v>
      </c>
    </row>
    <row r="715" spans="1:1">
      <c r="A715">
        <v>3379</v>
      </c>
    </row>
    <row r="716" spans="1:1">
      <c r="A716">
        <v>3380</v>
      </c>
    </row>
    <row r="717" spans="1:1">
      <c r="A717">
        <v>3383</v>
      </c>
    </row>
    <row r="718" spans="1:1">
      <c r="A718">
        <v>3388</v>
      </c>
    </row>
    <row r="719" spans="1:1">
      <c r="A719">
        <v>3390</v>
      </c>
    </row>
    <row r="720" spans="1:1">
      <c r="A720">
        <v>3402</v>
      </c>
    </row>
    <row r="721" spans="1:1">
      <c r="A721">
        <v>3406</v>
      </c>
    </row>
    <row r="722" spans="1:1">
      <c r="A722">
        <v>3416</v>
      </c>
    </row>
    <row r="723" spans="1:1">
      <c r="A723">
        <v>3419</v>
      </c>
    </row>
    <row r="724" spans="1:1">
      <c r="A724">
        <v>3428</v>
      </c>
    </row>
    <row r="725" spans="1:1">
      <c r="A725">
        <v>3431</v>
      </c>
    </row>
    <row r="726" spans="1:1">
      <c r="A726">
        <v>3432</v>
      </c>
    </row>
    <row r="727" spans="1:1">
      <c r="A727">
        <v>3434</v>
      </c>
    </row>
    <row r="728" spans="1:1">
      <c r="A728">
        <v>3437</v>
      </c>
    </row>
    <row r="729" spans="1:1">
      <c r="A729">
        <v>3438</v>
      </c>
    </row>
    <row r="730" spans="1:1">
      <c r="A730">
        <v>3441</v>
      </c>
    </row>
    <row r="731" spans="1:1">
      <c r="A731">
        <v>3443</v>
      </c>
    </row>
    <row r="732" spans="1:1">
      <c r="A732">
        <v>3444</v>
      </c>
    </row>
    <row r="733" spans="1:1">
      <c r="A733">
        <v>3450</v>
      </c>
    </row>
    <row r="734" spans="1:1">
      <c r="A734">
        <v>3452</v>
      </c>
    </row>
    <row r="735" spans="1:1">
      <c r="A735">
        <v>3454</v>
      </c>
    </row>
    <row r="736" spans="1:1">
      <c r="A736">
        <v>3455</v>
      </c>
    </row>
    <row r="737" spans="1:1">
      <c r="A737">
        <v>3465</v>
      </c>
    </row>
    <row r="738" spans="1:1">
      <c r="A738">
        <v>3466</v>
      </c>
    </row>
    <row r="739" spans="1:1">
      <c r="A739">
        <v>3474</v>
      </c>
    </row>
    <row r="740" spans="1:1">
      <c r="A740">
        <v>3479</v>
      </c>
    </row>
    <row r="741" spans="1:1">
      <c r="A741">
        <v>3481</v>
      </c>
    </row>
    <row r="742" spans="1:1">
      <c r="A742">
        <v>3483</v>
      </c>
    </row>
    <row r="743" spans="1:1">
      <c r="A743">
        <v>3484</v>
      </c>
    </row>
    <row r="744" spans="1:1">
      <c r="A744">
        <v>3489</v>
      </c>
    </row>
    <row r="745" spans="1:1">
      <c r="A745">
        <v>3490</v>
      </c>
    </row>
    <row r="746" spans="1:1">
      <c r="A746">
        <v>3491</v>
      </c>
    </row>
    <row r="747" spans="1:1">
      <c r="A747">
        <v>3494</v>
      </c>
    </row>
    <row r="748" spans="1:1">
      <c r="A748">
        <v>3498</v>
      </c>
    </row>
    <row r="749" spans="1:1">
      <c r="A749">
        <v>3499</v>
      </c>
    </row>
    <row r="750" spans="1:1">
      <c r="A750">
        <v>3501</v>
      </c>
    </row>
    <row r="751" spans="1:1">
      <c r="A751">
        <v>3504</v>
      </c>
    </row>
    <row r="752" spans="1:1">
      <c r="A752">
        <v>3508</v>
      </c>
    </row>
    <row r="753" spans="1:1">
      <c r="A753">
        <v>3511</v>
      </c>
    </row>
    <row r="754" spans="1:1">
      <c r="A754">
        <v>3512</v>
      </c>
    </row>
    <row r="755" spans="1:1">
      <c r="A755">
        <v>3514</v>
      </c>
    </row>
    <row r="756" spans="1:1">
      <c r="A756">
        <v>3515</v>
      </c>
    </row>
    <row r="757" spans="1:1">
      <c r="A757">
        <v>3516</v>
      </c>
    </row>
    <row r="758" spans="1:1">
      <c r="A758">
        <v>3518</v>
      </c>
    </row>
    <row r="759" spans="1:1">
      <c r="A759">
        <v>3519</v>
      </c>
    </row>
    <row r="760" spans="1:1">
      <c r="A760">
        <v>3520</v>
      </c>
    </row>
    <row r="761" spans="1:1">
      <c r="A761">
        <v>3521</v>
      </c>
    </row>
    <row r="762" spans="1:1">
      <c r="A762">
        <v>3522</v>
      </c>
    </row>
    <row r="763" spans="1:1">
      <c r="A763">
        <v>3523</v>
      </c>
    </row>
    <row r="764" spans="1:1">
      <c r="A764">
        <v>3526</v>
      </c>
    </row>
    <row r="765" spans="1:1">
      <c r="A765">
        <v>3527</v>
      </c>
    </row>
    <row r="766" spans="1:1">
      <c r="A766">
        <v>3528</v>
      </c>
    </row>
    <row r="767" spans="1:1">
      <c r="A767">
        <v>3529</v>
      </c>
    </row>
    <row r="768" spans="1:1">
      <c r="A768">
        <v>3531</v>
      </c>
    </row>
    <row r="769" spans="1:1">
      <c r="A769">
        <v>3532</v>
      </c>
    </row>
    <row r="770" spans="1:1">
      <c r="A770">
        <v>3533</v>
      </c>
    </row>
    <row r="771" spans="1:1">
      <c r="A771">
        <v>3535</v>
      </c>
    </row>
    <row r="772" spans="1:1">
      <c r="A772">
        <v>3536</v>
      </c>
    </row>
    <row r="773" spans="1:1">
      <c r="A773">
        <v>3537</v>
      </c>
    </row>
    <row r="774" spans="1:1">
      <c r="A774">
        <v>3540</v>
      </c>
    </row>
    <row r="775" spans="1:1">
      <c r="A775">
        <v>3541</v>
      </c>
    </row>
    <row r="776" spans="1:1">
      <c r="A776">
        <v>3545</v>
      </c>
    </row>
    <row r="777" spans="1:1">
      <c r="A777">
        <v>3546</v>
      </c>
    </row>
    <row r="778" spans="1:1">
      <c r="A778">
        <v>3548</v>
      </c>
    </row>
    <row r="779" spans="1:1">
      <c r="A779">
        <v>3550</v>
      </c>
    </row>
    <row r="780" spans="1:1">
      <c r="A780">
        <v>3551</v>
      </c>
    </row>
    <row r="781" spans="1:1">
      <c r="A781">
        <v>3552</v>
      </c>
    </row>
    <row r="782" spans="1:1">
      <c r="A782">
        <v>3553</v>
      </c>
    </row>
    <row r="783" spans="1:1">
      <c r="A783">
        <v>3555</v>
      </c>
    </row>
    <row r="784" spans="1:1">
      <c r="A784">
        <v>3556</v>
      </c>
    </row>
    <row r="785" spans="1:1">
      <c r="A785">
        <v>3557</v>
      </c>
    </row>
    <row r="786" spans="1:1">
      <c r="A786">
        <v>3558</v>
      </c>
    </row>
    <row r="787" spans="1:1">
      <c r="A787">
        <v>3559</v>
      </c>
    </row>
    <row r="788" spans="1:1">
      <c r="A788">
        <v>3561</v>
      </c>
    </row>
    <row r="789" spans="1:1">
      <c r="A789">
        <v>3562</v>
      </c>
    </row>
    <row r="790" spans="1:1">
      <c r="A790">
        <v>3563</v>
      </c>
    </row>
    <row r="791" spans="1:1">
      <c r="A791">
        <v>3564</v>
      </c>
    </row>
    <row r="792" spans="1:1">
      <c r="A792">
        <v>3567</v>
      </c>
    </row>
    <row r="793" spans="1:1">
      <c r="A793">
        <v>3570</v>
      </c>
    </row>
    <row r="794" spans="1:1">
      <c r="A794">
        <v>3573</v>
      </c>
    </row>
    <row r="795" spans="1:1">
      <c r="A795">
        <v>3576</v>
      </c>
    </row>
    <row r="796" spans="1:1">
      <c r="A796">
        <v>3577</v>
      </c>
    </row>
    <row r="797" spans="1:1">
      <c r="A797">
        <v>3579</v>
      </c>
    </row>
    <row r="798" spans="1:1">
      <c r="A798">
        <v>3580</v>
      </c>
    </row>
    <row r="799" spans="1:1">
      <c r="A799">
        <v>3581</v>
      </c>
    </row>
    <row r="800" spans="1:1">
      <c r="A800">
        <v>3583</v>
      </c>
    </row>
    <row r="801" spans="1:1">
      <c r="A801">
        <v>3584</v>
      </c>
    </row>
    <row r="802" spans="1:1">
      <c r="A802">
        <v>3587</v>
      </c>
    </row>
    <row r="803" spans="1:1">
      <c r="A803">
        <v>3588</v>
      </c>
    </row>
    <row r="804" spans="1:1">
      <c r="A804">
        <v>3591</v>
      </c>
    </row>
    <row r="805" spans="1:1">
      <c r="A805">
        <v>3593</v>
      </c>
    </row>
    <row r="806" spans="1:1">
      <c r="A806">
        <v>3594</v>
      </c>
    </row>
    <row r="807" spans="1:1">
      <c r="A807">
        <v>3596</v>
      </c>
    </row>
    <row r="808" spans="1:1">
      <c r="A808">
        <v>3598</v>
      </c>
    </row>
    <row r="809" spans="1:1">
      <c r="A809">
        <v>3605</v>
      </c>
    </row>
    <row r="810" spans="1:1">
      <c r="A810">
        <v>3607</v>
      </c>
    </row>
    <row r="811" spans="1:1">
      <c r="A811">
        <v>3609</v>
      </c>
    </row>
    <row r="812" spans="1:1">
      <c r="A812">
        <v>3611</v>
      </c>
    </row>
    <row r="813" spans="1:1">
      <c r="A813">
        <v>3615</v>
      </c>
    </row>
    <row r="814" spans="1:1">
      <c r="A814">
        <v>3617</v>
      </c>
    </row>
    <row r="815" spans="1:1">
      <c r="A815">
        <v>3622</v>
      </c>
    </row>
    <row r="816" spans="1:1">
      <c r="A816">
        <v>3623</v>
      </c>
    </row>
    <row r="817" spans="1:1">
      <c r="A817">
        <v>3624</v>
      </c>
    </row>
    <row r="818" spans="1:1">
      <c r="A818">
        <v>3625</v>
      </c>
    </row>
    <row r="819" spans="1:1">
      <c r="A819">
        <v>3628</v>
      </c>
    </row>
    <row r="820" spans="1:1">
      <c r="A820">
        <v>3629</v>
      </c>
    </row>
    <row r="821" spans="1:1">
      <c r="A821">
        <v>3630</v>
      </c>
    </row>
    <row r="822" spans="1:1">
      <c r="A822">
        <v>3631</v>
      </c>
    </row>
    <row r="823" spans="1:1">
      <c r="A823">
        <v>3632</v>
      </c>
    </row>
    <row r="824" spans="1:1">
      <c r="A824">
        <v>3642</v>
      </c>
    </row>
    <row r="825" spans="1:1">
      <c r="A825">
        <v>3645</v>
      </c>
    </row>
    <row r="826" spans="1:1">
      <c r="A826">
        <v>3646</v>
      </c>
    </row>
    <row r="827" spans="1:1">
      <c r="A827">
        <v>3652</v>
      </c>
    </row>
    <row r="828" spans="1:1">
      <c r="A828">
        <v>3653</v>
      </c>
    </row>
    <row r="829" spans="1:1">
      <c r="A829">
        <v>3658</v>
      </c>
    </row>
    <row r="830" spans="1:1">
      <c r="A830">
        <v>3661</v>
      </c>
    </row>
    <row r="831" spans="1:1">
      <c r="A831">
        <v>3662</v>
      </c>
    </row>
    <row r="832" spans="1:1">
      <c r="A832">
        <v>3663</v>
      </c>
    </row>
    <row r="833" spans="1:1">
      <c r="A833">
        <v>3664</v>
      </c>
    </row>
    <row r="834" spans="1:1">
      <c r="A834">
        <v>3665</v>
      </c>
    </row>
    <row r="835" spans="1:1">
      <c r="A835">
        <v>3666</v>
      </c>
    </row>
    <row r="836" spans="1:1">
      <c r="A836">
        <v>3669</v>
      </c>
    </row>
    <row r="837" spans="1:1">
      <c r="A837">
        <v>3672</v>
      </c>
    </row>
    <row r="838" spans="1:1">
      <c r="A838">
        <v>3673</v>
      </c>
    </row>
    <row r="839" spans="1:1">
      <c r="A839">
        <v>3675</v>
      </c>
    </row>
    <row r="840" spans="1:1">
      <c r="A840">
        <v>3679</v>
      </c>
    </row>
    <row r="841" spans="1:1">
      <c r="A841">
        <v>3680</v>
      </c>
    </row>
    <row r="842" spans="1:1">
      <c r="A842">
        <v>3682</v>
      </c>
    </row>
    <row r="843" spans="1:1">
      <c r="A843">
        <v>3684</v>
      </c>
    </row>
    <row r="844" spans="1:1">
      <c r="A844">
        <v>3685</v>
      </c>
    </row>
    <row r="845" spans="1:1">
      <c r="A845">
        <v>3686</v>
      </c>
    </row>
    <row r="846" spans="1:1">
      <c r="A846">
        <v>3687</v>
      </c>
    </row>
    <row r="847" spans="1:1">
      <c r="A847">
        <v>3689</v>
      </c>
    </row>
    <row r="848" spans="1:1">
      <c r="A848">
        <v>3691</v>
      </c>
    </row>
    <row r="849" spans="1:1">
      <c r="A849">
        <v>3693</v>
      </c>
    </row>
    <row r="850" spans="1:1">
      <c r="A850">
        <v>3694</v>
      </c>
    </row>
    <row r="851" spans="1:1">
      <c r="A851">
        <v>3698</v>
      </c>
    </row>
    <row r="852" spans="1:1">
      <c r="A852">
        <v>3701</v>
      </c>
    </row>
    <row r="853" spans="1:1">
      <c r="A853">
        <v>3702</v>
      </c>
    </row>
    <row r="854" spans="1:1">
      <c r="A854">
        <v>3703</v>
      </c>
    </row>
    <row r="855" spans="1:1">
      <c r="A855">
        <v>3704</v>
      </c>
    </row>
    <row r="856" spans="1:1">
      <c r="A856">
        <v>3705</v>
      </c>
    </row>
    <row r="857" spans="1:1">
      <c r="A857">
        <v>3706</v>
      </c>
    </row>
    <row r="858" spans="1:1">
      <c r="A858">
        <v>3707</v>
      </c>
    </row>
    <row r="859" spans="1:1">
      <c r="A859">
        <v>4102</v>
      </c>
    </row>
    <row r="860" spans="1:1">
      <c r="A860">
        <v>4103</v>
      </c>
    </row>
    <row r="861" spans="1:1">
      <c r="A861">
        <v>4104</v>
      </c>
    </row>
    <row r="862" spans="1:1">
      <c r="A862">
        <v>4105</v>
      </c>
    </row>
    <row r="863" spans="1:1">
      <c r="A863">
        <v>4106</v>
      </c>
    </row>
    <row r="864" spans="1:1">
      <c r="A864">
        <v>4107</v>
      </c>
    </row>
    <row r="865" spans="1:1">
      <c r="A865">
        <v>4108</v>
      </c>
    </row>
    <row r="866" spans="1:1">
      <c r="A866">
        <v>4109</v>
      </c>
    </row>
    <row r="867" spans="1:1">
      <c r="A867">
        <v>4111</v>
      </c>
    </row>
    <row r="868" spans="1:1">
      <c r="A868">
        <v>4113</v>
      </c>
    </row>
    <row r="869" spans="1:1">
      <c r="A869">
        <v>4114</v>
      </c>
    </row>
    <row r="870" spans="1:1">
      <c r="A870">
        <v>4119</v>
      </c>
    </row>
    <row r="871" spans="1:1">
      <c r="A871">
        <v>4120</v>
      </c>
    </row>
    <row r="872" spans="1:1">
      <c r="A872">
        <v>4121</v>
      </c>
    </row>
    <row r="873" spans="1:1">
      <c r="A873">
        <v>4123</v>
      </c>
    </row>
    <row r="874" spans="1:1">
      <c r="A874">
        <v>4126</v>
      </c>
    </row>
    <row r="875" spans="1:1">
      <c r="A875">
        <v>4127</v>
      </c>
    </row>
    <row r="876" spans="1:1">
      <c r="A876">
        <v>4128</v>
      </c>
    </row>
    <row r="877" spans="1:1">
      <c r="A877">
        <v>4129</v>
      </c>
    </row>
    <row r="878" spans="1:1">
      <c r="A878">
        <v>4130</v>
      </c>
    </row>
    <row r="879" spans="1:1">
      <c r="A879">
        <v>4131</v>
      </c>
    </row>
    <row r="880" spans="1:1">
      <c r="A880">
        <v>4133</v>
      </c>
    </row>
    <row r="881" spans="1:1">
      <c r="A881">
        <v>4137</v>
      </c>
    </row>
    <row r="882" spans="1:1">
      <c r="A882">
        <v>4138</v>
      </c>
    </row>
    <row r="883" spans="1:1">
      <c r="A883">
        <v>4139</v>
      </c>
    </row>
    <row r="884" spans="1:1">
      <c r="A884">
        <v>4141</v>
      </c>
    </row>
    <row r="885" spans="1:1">
      <c r="A885">
        <v>4142</v>
      </c>
    </row>
    <row r="886" spans="1:1">
      <c r="A886">
        <v>4144</v>
      </c>
    </row>
    <row r="887" spans="1:1">
      <c r="A887">
        <v>4152</v>
      </c>
    </row>
    <row r="888" spans="1:1">
      <c r="A888">
        <v>4153</v>
      </c>
    </row>
    <row r="889" spans="1:1">
      <c r="A889">
        <v>4154</v>
      </c>
    </row>
    <row r="890" spans="1:1">
      <c r="A890">
        <v>4157</v>
      </c>
    </row>
    <row r="891" spans="1:1">
      <c r="A891">
        <v>4160</v>
      </c>
    </row>
    <row r="892" spans="1:1">
      <c r="A892">
        <v>4161</v>
      </c>
    </row>
    <row r="893" spans="1:1">
      <c r="A893">
        <v>4162</v>
      </c>
    </row>
    <row r="894" spans="1:1">
      <c r="A894">
        <v>4163</v>
      </c>
    </row>
    <row r="895" spans="1:1">
      <c r="A895">
        <v>4164</v>
      </c>
    </row>
    <row r="896" spans="1:1">
      <c r="A896">
        <v>4168</v>
      </c>
    </row>
    <row r="897" spans="1:1">
      <c r="A897">
        <v>4171</v>
      </c>
    </row>
    <row r="898" spans="1:1">
      <c r="A898">
        <v>4173</v>
      </c>
    </row>
    <row r="899" spans="1:1">
      <c r="A899">
        <v>4174</v>
      </c>
    </row>
    <row r="900" spans="1:1">
      <c r="A900">
        <v>4175</v>
      </c>
    </row>
    <row r="901" spans="1:1">
      <c r="A901">
        <v>4180</v>
      </c>
    </row>
    <row r="902" spans="1:1">
      <c r="A902">
        <v>4188</v>
      </c>
    </row>
    <row r="903" spans="1:1">
      <c r="A903">
        <v>4192</v>
      </c>
    </row>
    <row r="904" spans="1:1">
      <c r="A904">
        <v>4198</v>
      </c>
    </row>
    <row r="905" spans="1:1">
      <c r="A905">
        <v>4205</v>
      </c>
    </row>
    <row r="906" spans="1:1">
      <c r="A906">
        <v>4207</v>
      </c>
    </row>
    <row r="907" spans="1:1">
      <c r="A907">
        <v>4303</v>
      </c>
    </row>
    <row r="908" spans="1:1">
      <c r="A908">
        <v>4304</v>
      </c>
    </row>
    <row r="909" spans="1:1">
      <c r="A909">
        <v>4305</v>
      </c>
    </row>
    <row r="910" spans="1:1">
      <c r="A910">
        <v>4306</v>
      </c>
    </row>
    <row r="911" spans="1:1">
      <c r="A911">
        <v>4401</v>
      </c>
    </row>
    <row r="912" spans="1:1">
      <c r="A912">
        <v>4402</v>
      </c>
    </row>
    <row r="913" spans="1:1">
      <c r="A913">
        <v>4406</v>
      </c>
    </row>
    <row r="914" spans="1:1">
      <c r="A914">
        <v>4414</v>
      </c>
    </row>
    <row r="915" spans="1:1">
      <c r="A915">
        <v>4415</v>
      </c>
    </row>
    <row r="916" spans="1:1">
      <c r="A916">
        <v>4416</v>
      </c>
    </row>
    <row r="917" spans="1:1">
      <c r="A917">
        <v>4417</v>
      </c>
    </row>
    <row r="918" spans="1:1">
      <c r="A918">
        <v>4419</v>
      </c>
    </row>
    <row r="919" spans="1:1">
      <c r="A919">
        <v>4420</v>
      </c>
    </row>
    <row r="920" spans="1:1">
      <c r="A920">
        <v>4426</v>
      </c>
    </row>
    <row r="921" spans="1:1">
      <c r="A921">
        <v>4429</v>
      </c>
    </row>
    <row r="922" spans="1:1">
      <c r="A922">
        <v>4430</v>
      </c>
    </row>
    <row r="923" spans="1:1">
      <c r="A923">
        <v>4432</v>
      </c>
    </row>
    <row r="924" spans="1:1">
      <c r="A924">
        <v>4433</v>
      </c>
    </row>
    <row r="925" spans="1:1">
      <c r="A925">
        <v>4502</v>
      </c>
    </row>
    <row r="926" spans="1:1">
      <c r="A926">
        <v>4503</v>
      </c>
    </row>
    <row r="927" spans="1:1">
      <c r="A927">
        <v>4506</v>
      </c>
    </row>
    <row r="928" spans="1:1">
      <c r="A928">
        <v>4510</v>
      </c>
    </row>
    <row r="929" spans="1:1">
      <c r="A929">
        <v>4513</v>
      </c>
    </row>
    <row r="930" spans="1:1">
      <c r="A930">
        <v>4523</v>
      </c>
    </row>
    <row r="931" spans="1:1">
      <c r="A931">
        <v>4526</v>
      </c>
    </row>
    <row r="932" spans="1:1">
      <c r="A932">
        <v>4527</v>
      </c>
    </row>
    <row r="933" spans="1:1">
      <c r="A933">
        <v>4528</v>
      </c>
    </row>
    <row r="934" spans="1:1">
      <c r="A934">
        <v>4529</v>
      </c>
    </row>
    <row r="935" spans="1:1">
      <c r="A935">
        <v>4530</v>
      </c>
    </row>
    <row r="936" spans="1:1">
      <c r="A936">
        <v>4532</v>
      </c>
    </row>
    <row r="937" spans="1:1">
      <c r="A937">
        <v>4533</v>
      </c>
    </row>
    <row r="938" spans="1:1">
      <c r="A938">
        <v>4534</v>
      </c>
    </row>
    <row r="939" spans="1:1">
      <c r="A939">
        <v>4535</v>
      </c>
    </row>
    <row r="940" spans="1:1">
      <c r="A940">
        <v>4536</v>
      </c>
    </row>
    <row r="941" spans="1:1">
      <c r="A941">
        <v>4541</v>
      </c>
    </row>
    <row r="942" spans="1:1">
      <c r="A942">
        <v>4542</v>
      </c>
    </row>
    <row r="943" spans="1:1">
      <c r="A943">
        <v>4549</v>
      </c>
    </row>
    <row r="944" spans="1:1">
      <c r="A944">
        <v>4550</v>
      </c>
    </row>
    <row r="945" spans="1:1">
      <c r="A945">
        <v>4609</v>
      </c>
    </row>
    <row r="946" spans="1:1">
      <c r="A946">
        <v>4702</v>
      </c>
    </row>
    <row r="947" spans="1:1">
      <c r="A947">
        <v>4703</v>
      </c>
    </row>
    <row r="948" spans="1:1">
      <c r="A948">
        <v>4706</v>
      </c>
    </row>
    <row r="949" spans="1:1">
      <c r="A949">
        <v>4707</v>
      </c>
    </row>
    <row r="950" spans="1:1">
      <c r="A950">
        <v>4711</v>
      </c>
    </row>
    <row r="951" spans="1:1">
      <c r="A951">
        <v>4712</v>
      </c>
    </row>
    <row r="952" spans="1:1">
      <c r="A952">
        <v>4714</v>
      </c>
    </row>
    <row r="953" spans="1:1">
      <c r="A953">
        <v>4716</v>
      </c>
    </row>
    <row r="954" spans="1:1">
      <c r="A954">
        <v>4720</v>
      </c>
    </row>
    <row r="955" spans="1:1">
      <c r="A955">
        <v>4721</v>
      </c>
    </row>
    <row r="956" spans="1:1">
      <c r="A956">
        <v>4722</v>
      </c>
    </row>
    <row r="957" spans="1:1">
      <c r="A957">
        <v>4725</v>
      </c>
    </row>
    <row r="958" spans="1:1">
      <c r="A958">
        <v>4726</v>
      </c>
    </row>
    <row r="959" spans="1:1">
      <c r="A959">
        <v>4728</v>
      </c>
    </row>
    <row r="960" spans="1:1">
      <c r="A960">
        <v>4729</v>
      </c>
    </row>
    <row r="961" spans="1:1">
      <c r="A961">
        <v>4733</v>
      </c>
    </row>
    <row r="962" spans="1:1">
      <c r="A962">
        <v>4735</v>
      </c>
    </row>
    <row r="963" spans="1:1">
      <c r="A963">
        <v>4736</v>
      </c>
    </row>
    <row r="964" spans="1:1">
      <c r="A964">
        <v>4737</v>
      </c>
    </row>
    <row r="965" spans="1:1">
      <c r="A965">
        <v>4739</v>
      </c>
    </row>
    <row r="966" spans="1:1">
      <c r="A966">
        <v>4743</v>
      </c>
    </row>
    <row r="967" spans="1:1">
      <c r="A967">
        <v>4745</v>
      </c>
    </row>
    <row r="968" spans="1:1">
      <c r="A968">
        <v>4746</v>
      </c>
    </row>
    <row r="969" spans="1:1">
      <c r="A969">
        <v>4747</v>
      </c>
    </row>
    <row r="970" spans="1:1">
      <c r="A970">
        <v>4755</v>
      </c>
    </row>
    <row r="971" spans="1:1">
      <c r="A971">
        <v>4903</v>
      </c>
    </row>
    <row r="972" spans="1:1">
      <c r="A972">
        <v>4904</v>
      </c>
    </row>
    <row r="973" spans="1:1">
      <c r="A973">
        <v>4905</v>
      </c>
    </row>
    <row r="974" spans="1:1">
      <c r="A974">
        <v>4906</v>
      </c>
    </row>
    <row r="975" spans="1:1">
      <c r="A975">
        <v>4908</v>
      </c>
    </row>
    <row r="976" spans="1:1">
      <c r="A976">
        <v>4909</v>
      </c>
    </row>
    <row r="977" spans="1:1">
      <c r="A977">
        <v>4911</v>
      </c>
    </row>
    <row r="978" spans="1:1">
      <c r="A978">
        <v>4912</v>
      </c>
    </row>
    <row r="979" spans="1:1">
      <c r="A979">
        <v>4915</v>
      </c>
    </row>
    <row r="980" spans="1:1">
      <c r="A980">
        <v>4916</v>
      </c>
    </row>
    <row r="981" spans="1:1">
      <c r="A981">
        <v>4919</v>
      </c>
    </row>
    <row r="982" spans="1:1">
      <c r="A982">
        <v>4924</v>
      </c>
    </row>
    <row r="983" spans="1:1">
      <c r="A983">
        <v>4927</v>
      </c>
    </row>
    <row r="984" spans="1:1">
      <c r="A984">
        <v>4930</v>
      </c>
    </row>
    <row r="985" spans="1:1">
      <c r="A985">
        <v>4933</v>
      </c>
    </row>
    <row r="986" spans="1:1">
      <c r="A986">
        <v>4934</v>
      </c>
    </row>
    <row r="987" spans="1:1">
      <c r="A987">
        <v>4935</v>
      </c>
    </row>
    <row r="988" spans="1:1">
      <c r="A988">
        <v>4938</v>
      </c>
    </row>
    <row r="989" spans="1:1">
      <c r="A989">
        <v>4939</v>
      </c>
    </row>
    <row r="990" spans="1:1">
      <c r="A990">
        <v>4942</v>
      </c>
    </row>
    <row r="991" spans="1:1">
      <c r="A991">
        <v>4944</v>
      </c>
    </row>
    <row r="992" spans="1:1">
      <c r="A992">
        <v>4946</v>
      </c>
    </row>
    <row r="993" spans="1:1">
      <c r="A993">
        <v>4947</v>
      </c>
    </row>
    <row r="994" spans="1:1">
      <c r="A994">
        <v>4950</v>
      </c>
    </row>
    <row r="995" spans="1:1">
      <c r="A995">
        <v>4952</v>
      </c>
    </row>
    <row r="996" spans="1:1">
      <c r="A996">
        <v>4953</v>
      </c>
    </row>
    <row r="997" spans="1:1">
      <c r="A997">
        <v>4956</v>
      </c>
    </row>
    <row r="998" spans="1:1">
      <c r="A998">
        <v>4958</v>
      </c>
    </row>
    <row r="999" spans="1:1">
      <c r="A999">
        <v>4960</v>
      </c>
    </row>
    <row r="1000" spans="1:1">
      <c r="A1000">
        <v>4965</v>
      </c>
    </row>
    <row r="1001" spans="1:1">
      <c r="A1001">
        <v>4966</v>
      </c>
    </row>
    <row r="1002" spans="1:1">
      <c r="A1002">
        <v>4971</v>
      </c>
    </row>
    <row r="1003" spans="1:1">
      <c r="A1003">
        <v>4972</v>
      </c>
    </row>
    <row r="1004" spans="1:1">
      <c r="A1004">
        <v>4973</v>
      </c>
    </row>
    <row r="1005" spans="1:1">
      <c r="A1005">
        <v>4974</v>
      </c>
    </row>
    <row r="1006" spans="1:1">
      <c r="A1006">
        <v>4976</v>
      </c>
    </row>
    <row r="1007" spans="1:1">
      <c r="A1007">
        <v>4977</v>
      </c>
    </row>
    <row r="1008" spans="1:1">
      <c r="A1008">
        <v>4979</v>
      </c>
    </row>
    <row r="1009" spans="1:1">
      <c r="A1009">
        <v>4984</v>
      </c>
    </row>
    <row r="1010" spans="1:1">
      <c r="A1010">
        <v>4987</v>
      </c>
    </row>
    <row r="1011" spans="1:1">
      <c r="A1011">
        <v>4991</v>
      </c>
    </row>
    <row r="1012" spans="1:1">
      <c r="A1012">
        <v>4994</v>
      </c>
    </row>
    <row r="1013" spans="1:1">
      <c r="A1013">
        <v>4995</v>
      </c>
    </row>
    <row r="1014" spans="1:1">
      <c r="A1014">
        <v>4999</v>
      </c>
    </row>
    <row r="1015" spans="1:1">
      <c r="A1015">
        <v>5007</v>
      </c>
    </row>
    <row r="1016" spans="1:1">
      <c r="A1016">
        <v>5009</v>
      </c>
    </row>
    <row r="1017" spans="1:1">
      <c r="A1017">
        <v>5011</v>
      </c>
    </row>
    <row r="1018" spans="1:1">
      <c r="A1018">
        <v>5013</v>
      </c>
    </row>
    <row r="1019" spans="1:1">
      <c r="A1019">
        <v>5014</v>
      </c>
    </row>
    <row r="1020" spans="1:1">
      <c r="A1020">
        <v>5015</v>
      </c>
    </row>
    <row r="1021" spans="1:1">
      <c r="A1021">
        <v>5016</v>
      </c>
    </row>
    <row r="1022" spans="1:1">
      <c r="A1022">
        <v>5102</v>
      </c>
    </row>
    <row r="1023" spans="1:1">
      <c r="A1023">
        <v>5201</v>
      </c>
    </row>
    <row r="1024" spans="1:1">
      <c r="A1024">
        <v>5202</v>
      </c>
    </row>
    <row r="1025" spans="1:1">
      <c r="A1025">
        <v>5203</v>
      </c>
    </row>
    <row r="1026" spans="1:1">
      <c r="A1026">
        <v>5205</v>
      </c>
    </row>
    <row r="1027" spans="1:1">
      <c r="A1027">
        <v>5206</v>
      </c>
    </row>
    <row r="1028" spans="1:1">
      <c r="A1028">
        <v>5209</v>
      </c>
    </row>
    <row r="1029" spans="1:1">
      <c r="A1029">
        <v>5210</v>
      </c>
    </row>
    <row r="1030" spans="1:1">
      <c r="A1030">
        <v>5211</v>
      </c>
    </row>
    <row r="1031" spans="1:1">
      <c r="A1031">
        <v>5212</v>
      </c>
    </row>
    <row r="1032" spans="1:1">
      <c r="A1032">
        <v>5213</v>
      </c>
    </row>
    <row r="1033" spans="1:1">
      <c r="A1033">
        <v>5215</v>
      </c>
    </row>
    <row r="1034" spans="1:1">
      <c r="A1034">
        <v>5225</v>
      </c>
    </row>
    <row r="1035" spans="1:1">
      <c r="A1035">
        <v>5227</v>
      </c>
    </row>
    <row r="1036" spans="1:1">
      <c r="A1036">
        <v>5230</v>
      </c>
    </row>
    <row r="1037" spans="1:1">
      <c r="A1037">
        <v>5234</v>
      </c>
    </row>
    <row r="1038" spans="1:1">
      <c r="A1038">
        <v>5243</v>
      </c>
    </row>
    <row r="1039" spans="1:1">
      <c r="A1039">
        <v>5251</v>
      </c>
    </row>
    <row r="1040" spans="1:1">
      <c r="A1040">
        <v>5259</v>
      </c>
    </row>
    <row r="1041" spans="1:1">
      <c r="A1041">
        <v>5263</v>
      </c>
    </row>
    <row r="1042" spans="1:1">
      <c r="A1042">
        <v>5264</v>
      </c>
    </row>
    <row r="1043" spans="1:1">
      <c r="A1043">
        <v>5266</v>
      </c>
    </row>
    <row r="1044" spans="1:1">
      <c r="A1044">
        <v>5269</v>
      </c>
    </row>
    <row r="1045" spans="1:1">
      <c r="A1045">
        <v>5272</v>
      </c>
    </row>
    <row r="1046" spans="1:1">
      <c r="A1046">
        <v>5274</v>
      </c>
    </row>
    <row r="1047" spans="1:1">
      <c r="A1047">
        <v>5276</v>
      </c>
    </row>
    <row r="1048" spans="1:1">
      <c r="A1048">
        <v>5278</v>
      </c>
    </row>
    <row r="1049" spans="1:1">
      <c r="A1049">
        <v>5284</v>
      </c>
    </row>
    <row r="1050" spans="1:1">
      <c r="A1050">
        <v>5285</v>
      </c>
    </row>
    <row r="1051" spans="1:1">
      <c r="A1051">
        <v>5287</v>
      </c>
    </row>
    <row r="1052" spans="1:1">
      <c r="A1052">
        <v>5288</v>
      </c>
    </row>
    <row r="1053" spans="1:1">
      <c r="A1053">
        <v>5289</v>
      </c>
    </row>
    <row r="1054" spans="1:1">
      <c r="A1054">
        <v>5291</v>
      </c>
    </row>
    <row r="1055" spans="1:1">
      <c r="A1055">
        <v>5301</v>
      </c>
    </row>
    <row r="1056" spans="1:1">
      <c r="A1056">
        <v>5302</v>
      </c>
    </row>
    <row r="1057" spans="1:1">
      <c r="A1057">
        <v>5304</v>
      </c>
    </row>
    <row r="1058" spans="1:1">
      <c r="A1058">
        <v>5305</v>
      </c>
    </row>
    <row r="1059" spans="1:1">
      <c r="A1059">
        <v>5306</v>
      </c>
    </row>
    <row r="1060" spans="1:1">
      <c r="A1060">
        <v>5309</v>
      </c>
    </row>
    <row r="1061" spans="1:1">
      <c r="A1061">
        <v>5310</v>
      </c>
    </row>
    <row r="1062" spans="1:1">
      <c r="A1062">
        <v>5312</v>
      </c>
    </row>
    <row r="1063" spans="1:1">
      <c r="A1063">
        <v>5314</v>
      </c>
    </row>
    <row r="1064" spans="1:1">
      <c r="A1064">
        <v>5315</v>
      </c>
    </row>
    <row r="1065" spans="1:1">
      <c r="A1065">
        <v>5317</v>
      </c>
    </row>
    <row r="1066" spans="1:1">
      <c r="A1066">
        <v>5321</v>
      </c>
    </row>
    <row r="1067" spans="1:1">
      <c r="A1067">
        <v>5324</v>
      </c>
    </row>
    <row r="1068" spans="1:1">
      <c r="A1068">
        <v>5328</v>
      </c>
    </row>
    <row r="1069" spans="1:1">
      <c r="A1069">
        <v>5340</v>
      </c>
    </row>
    <row r="1070" spans="1:1">
      <c r="A1070">
        <v>5344</v>
      </c>
    </row>
    <row r="1071" spans="1:1">
      <c r="A1071">
        <v>5345</v>
      </c>
    </row>
    <row r="1072" spans="1:1">
      <c r="A1072">
        <v>5347</v>
      </c>
    </row>
    <row r="1073" spans="1:1">
      <c r="A1073">
        <v>5348</v>
      </c>
    </row>
    <row r="1074" spans="1:1">
      <c r="A1074">
        <v>5349</v>
      </c>
    </row>
    <row r="1075" spans="1:1">
      <c r="A1075">
        <v>5351</v>
      </c>
    </row>
    <row r="1076" spans="1:1">
      <c r="A1076">
        <v>5353</v>
      </c>
    </row>
    <row r="1077" spans="1:1">
      <c r="A1077">
        <v>5355</v>
      </c>
    </row>
    <row r="1078" spans="1:1">
      <c r="A1078">
        <v>5356</v>
      </c>
    </row>
    <row r="1079" spans="1:1">
      <c r="A1079">
        <v>5364</v>
      </c>
    </row>
    <row r="1080" spans="1:1">
      <c r="A1080">
        <v>5371</v>
      </c>
    </row>
    <row r="1081" spans="1:1">
      <c r="A1081">
        <v>5381</v>
      </c>
    </row>
    <row r="1082" spans="1:1">
      <c r="A1082">
        <v>5383</v>
      </c>
    </row>
    <row r="1083" spans="1:1">
      <c r="A1083">
        <v>5384</v>
      </c>
    </row>
    <row r="1084" spans="1:1">
      <c r="A1084">
        <v>5386</v>
      </c>
    </row>
    <row r="1085" spans="1:1">
      <c r="A1085">
        <v>5388</v>
      </c>
    </row>
    <row r="1086" spans="1:1">
      <c r="A1086">
        <v>5392</v>
      </c>
    </row>
    <row r="1087" spans="1:1">
      <c r="A1087">
        <v>5395</v>
      </c>
    </row>
    <row r="1088" spans="1:1">
      <c r="A1088">
        <v>5398</v>
      </c>
    </row>
    <row r="1089" spans="1:1">
      <c r="A1089">
        <v>5403</v>
      </c>
    </row>
    <row r="1090" spans="1:1">
      <c r="A1090">
        <v>5410</v>
      </c>
    </row>
    <row r="1091" spans="1:1">
      <c r="A1091">
        <v>5425</v>
      </c>
    </row>
    <row r="1092" spans="1:1">
      <c r="A1092">
        <v>5426</v>
      </c>
    </row>
    <row r="1093" spans="1:1">
      <c r="A1093">
        <v>5432</v>
      </c>
    </row>
    <row r="1094" spans="1:1">
      <c r="A1094">
        <v>5434</v>
      </c>
    </row>
    <row r="1095" spans="1:1">
      <c r="A1095">
        <v>5438</v>
      </c>
    </row>
    <row r="1096" spans="1:1">
      <c r="A1096">
        <v>5439</v>
      </c>
    </row>
    <row r="1097" spans="1:1">
      <c r="A1097">
        <v>5443</v>
      </c>
    </row>
    <row r="1098" spans="1:1">
      <c r="A1098">
        <v>5450</v>
      </c>
    </row>
    <row r="1099" spans="1:1">
      <c r="A1099">
        <v>5452</v>
      </c>
    </row>
    <row r="1100" spans="1:1">
      <c r="A1100">
        <v>5455</v>
      </c>
    </row>
    <row r="1101" spans="1:1">
      <c r="A1101">
        <v>5457</v>
      </c>
    </row>
    <row r="1102" spans="1:1">
      <c r="A1102">
        <v>5460</v>
      </c>
    </row>
    <row r="1103" spans="1:1">
      <c r="A1103">
        <v>5464</v>
      </c>
    </row>
    <row r="1104" spans="1:1">
      <c r="A1104">
        <v>5465</v>
      </c>
    </row>
    <row r="1105" spans="1:1">
      <c r="A1105">
        <v>5466</v>
      </c>
    </row>
    <row r="1106" spans="1:1">
      <c r="A1106">
        <v>5468</v>
      </c>
    </row>
    <row r="1107" spans="1:1">
      <c r="A1107">
        <v>5469</v>
      </c>
    </row>
    <row r="1108" spans="1:1">
      <c r="A1108">
        <v>5471</v>
      </c>
    </row>
    <row r="1109" spans="1:1">
      <c r="A1109">
        <v>5474</v>
      </c>
    </row>
    <row r="1110" spans="1:1">
      <c r="A1110">
        <v>5475</v>
      </c>
    </row>
    <row r="1111" spans="1:1">
      <c r="A1111">
        <v>5478</v>
      </c>
    </row>
    <row r="1112" spans="1:1">
      <c r="A1112">
        <v>5480</v>
      </c>
    </row>
    <row r="1113" spans="1:1">
      <c r="A1113">
        <v>5481</v>
      </c>
    </row>
    <row r="1114" spans="1:1">
      <c r="A1114">
        <v>5483</v>
      </c>
    </row>
    <row r="1115" spans="1:1">
      <c r="A1115">
        <v>5484</v>
      </c>
    </row>
    <row r="1116" spans="1:1">
      <c r="A1116">
        <v>5487</v>
      </c>
    </row>
    <row r="1117" spans="1:1">
      <c r="A1117">
        <v>5488</v>
      </c>
    </row>
    <row r="1118" spans="1:1">
      <c r="A1118">
        <v>5489</v>
      </c>
    </row>
    <row r="1119" spans="1:1">
      <c r="A1119">
        <v>5490</v>
      </c>
    </row>
    <row r="1120" spans="1:1">
      <c r="A1120">
        <v>5491</v>
      </c>
    </row>
    <row r="1121" spans="1:1">
      <c r="A1121">
        <v>5493</v>
      </c>
    </row>
    <row r="1122" spans="1:1">
      <c r="A1122">
        <v>5498</v>
      </c>
    </row>
    <row r="1123" spans="1:1">
      <c r="A1123">
        <v>5505</v>
      </c>
    </row>
    <row r="1124" spans="1:1">
      <c r="A1124">
        <v>5508</v>
      </c>
    </row>
    <row r="1125" spans="1:1">
      <c r="A1125">
        <v>5511</v>
      </c>
    </row>
    <row r="1126" spans="1:1">
      <c r="A1126">
        <v>5512</v>
      </c>
    </row>
    <row r="1127" spans="1:1">
      <c r="A1127">
        <v>5514</v>
      </c>
    </row>
    <row r="1128" spans="1:1">
      <c r="A1128">
        <v>5515</v>
      </c>
    </row>
    <row r="1129" spans="1:1">
      <c r="A1129">
        <v>5516</v>
      </c>
    </row>
    <row r="1130" spans="1:1">
      <c r="A1130">
        <v>5519</v>
      </c>
    </row>
    <row r="1131" spans="1:1">
      <c r="A1131">
        <v>5520</v>
      </c>
    </row>
    <row r="1132" spans="1:1">
      <c r="A1132">
        <v>5521</v>
      </c>
    </row>
    <row r="1133" spans="1:1">
      <c r="A1133">
        <v>5522</v>
      </c>
    </row>
    <row r="1134" spans="1:1">
      <c r="A1134">
        <v>5523</v>
      </c>
    </row>
    <row r="1135" spans="1:1">
      <c r="A1135">
        <v>5525</v>
      </c>
    </row>
    <row r="1136" spans="1:1">
      <c r="A1136">
        <v>5529</v>
      </c>
    </row>
    <row r="1137" spans="1:1">
      <c r="A1137">
        <v>5530</v>
      </c>
    </row>
    <row r="1138" spans="1:1">
      <c r="A1138">
        <v>5531</v>
      </c>
    </row>
    <row r="1139" spans="1:1">
      <c r="A1139">
        <v>5533</v>
      </c>
    </row>
    <row r="1140" spans="1:1">
      <c r="A1140">
        <v>5534</v>
      </c>
    </row>
    <row r="1141" spans="1:1">
      <c r="A1141">
        <v>5536</v>
      </c>
    </row>
    <row r="1142" spans="1:1">
      <c r="A1142">
        <v>5538</v>
      </c>
    </row>
    <row r="1143" spans="1:1">
      <c r="A1143">
        <v>5601</v>
      </c>
    </row>
    <row r="1144" spans="1:1">
      <c r="A1144">
        <v>5603</v>
      </c>
    </row>
    <row r="1145" spans="1:1">
      <c r="A1145">
        <v>5604</v>
      </c>
    </row>
    <row r="1146" spans="1:1">
      <c r="A1146">
        <v>5607</v>
      </c>
    </row>
    <row r="1147" spans="1:1">
      <c r="A1147">
        <v>5608</v>
      </c>
    </row>
    <row r="1148" spans="1:1">
      <c r="A1148">
        <v>5609</v>
      </c>
    </row>
    <row r="1149" spans="1:1">
      <c r="A1149">
        <v>5701</v>
      </c>
    </row>
    <row r="1150" spans="1:1">
      <c r="A1150">
        <v>5703</v>
      </c>
    </row>
    <row r="1151" spans="1:1">
      <c r="A1151">
        <v>5704</v>
      </c>
    </row>
    <row r="1152" spans="1:1">
      <c r="A1152">
        <v>5706</v>
      </c>
    </row>
    <row r="1153" spans="1:1">
      <c r="A1153">
        <v>5820</v>
      </c>
    </row>
    <row r="1154" spans="1:1">
      <c r="A1154">
        <v>5871</v>
      </c>
    </row>
    <row r="1155" spans="1:1">
      <c r="A1155">
        <v>5878</v>
      </c>
    </row>
    <row r="1156" spans="1:1">
      <c r="A1156">
        <v>5880</v>
      </c>
    </row>
    <row r="1157" spans="1:1">
      <c r="A1157">
        <v>5902</v>
      </c>
    </row>
    <row r="1158" spans="1:1">
      <c r="A1158">
        <v>5903</v>
      </c>
    </row>
    <row r="1159" spans="1:1">
      <c r="A1159">
        <v>5904</v>
      </c>
    </row>
    <row r="1160" spans="1:1">
      <c r="A1160">
        <v>5905</v>
      </c>
    </row>
    <row r="1161" spans="1:1">
      <c r="A1161">
        <v>5906</v>
      </c>
    </row>
    <row r="1162" spans="1:1">
      <c r="A1162">
        <v>5907</v>
      </c>
    </row>
    <row r="1163" spans="1:1">
      <c r="A1163">
        <v>6005</v>
      </c>
    </row>
    <row r="1164" spans="1:1">
      <c r="A1164">
        <v>6015</v>
      </c>
    </row>
    <row r="1165" spans="1:1">
      <c r="A1165">
        <v>6016</v>
      </c>
    </row>
    <row r="1166" spans="1:1">
      <c r="A1166">
        <v>6020</v>
      </c>
    </row>
    <row r="1167" spans="1:1">
      <c r="A1167">
        <v>6021</v>
      </c>
    </row>
    <row r="1168" spans="1:1">
      <c r="A1168">
        <v>6022</v>
      </c>
    </row>
    <row r="1169" spans="1:1">
      <c r="A1169">
        <v>6023</v>
      </c>
    </row>
    <row r="1170" spans="1:1">
      <c r="A1170">
        <v>6024</v>
      </c>
    </row>
    <row r="1171" spans="1:1">
      <c r="A1171">
        <v>6101</v>
      </c>
    </row>
    <row r="1172" spans="1:1">
      <c r="A1172">
        <v>6103</v>
      </c>
    </row>
    <row r="1173" spans="1:1">
      <c r="A1173">
        <v>6104</v>
      </c>
    </row>
    <row r="1174" spans="1:1">
      <c r="A1174">
        <v>6105</v>
      </c>
    </row>
    <row r="1175" spans="1:1">
      <c r="A1175">
        <v>6107</v>
      </c>
    </row>
    <row r="1176" spans="1:1">
      <c r="A1176">
        <v>6108</v>
      </c>
    </row>
    <row r="1177" spans="1:1">
      <c r="A1177">
        <v>6109</v>
      </c>
    </row>
    <row r="1178" spans="1:1">
      <c r="A1178">
        <v>6111</v>
      </c>
    </row>
    <row r="1179" spans="1:1">
      <c r="A1179">
        <v>6112</v>
      </c>
    </row>
    <row r="1180" spans="1:1">
      <c r="A1180">
        <v>6113</v>
      </c>
    </row>
    <row r="1181" spans="1:1">
      <c r="A1181">
        <v>6114</v>
      </c>
    </row>
    <row r="1182" spans="1:1">
      <c r="A1182">
        <v>6115</v>
      </c>
    </row>
    <row r="1183" spans="1:1">
      <c r="A1183">
        <v>6116</v>
      </c>
    </row>
    <row r="1184" spans="1:1">
      <c r="A1184">
        <v>6117</v>
      </c>
    </row>
    <row r="1185" spans="1:1">
      <c r="A1185">
        <v>6118</v>
      </c>
    </row>
    <row r="1186" spans="1:1">
      <c r="A1186">
        <v>6120</v>
      </c>
    </row>
    <row r="1187" spans="1:1">
      <c r="A1187">
        <v>6121</v>
      </c>
    </row>
    <row r="1188" spans="1:1">
      <c r="A1188">
        <v>6122</v>
      </c>
    </row>
    <row r="1189" spans="1:1">
      <c r="A1189">
        <v>6123</v>
      </c>
    </row>
    <row r="1190" spans="1:1">
      <c r="A1190">
        <v>6124</v>
      </c>
    </row>
    <row r="1191" spans="1:1">
      <c r="A1191">
        <v>6125</v>
      </c>
    </row>
    <row r="1192" spans="1:1">
      <c r="A1192">
        <v>6126</v>
      </c>
    </row>
    <row r="1193" spans="1:1">
      <c r="A1193">
        <v>6127</v>
      </c>
    </row>
    <row r="1194" spans="1:1">
      <c r="A1194">
        <v>6128</v>
      </c>
    </row>
    <row r="1195" spans="1:1">
      <c r="A1195">
        <v>6129</v>
      </c>
    </row>
    <row r="1196" spans="1:1">
      <c r="A1196">
        <v>6130</v>
      </c>
    </row>
    <row r="1197" spans="1:1">
      <c r="A1197">
        <v>6131</v>
      </c>
    </row>
    <row r="1198" spans="1:1">
      <c r="A1198">
        <v>6133</v>
      </c>
    </row>
    <row r="1199" spans="1:1">
      <c r="A1199">
        <v>6134</v>
      </c>
    </row>
    <row r="1200" spans="1:1">
      <c r="A1200">
        <v>6135</v>
      </c>
    </row>
    <row r="1201" spans="1:1">
      <c r="A1201">
        <v>6136</v>
      </c>
    </row>
    <row r="1202" spans="1:1">
      <c r="A1202">
        <v>6138</v>
      </c>
    </row>
    <row r="1203" spans="1:1">
      <c r="A1203">
        <v>6139</v>
      </c>
    </row>
    <row r="1204" spans="1:1">
      <c r="A1204">
        <v>6140</v>
      </c>
    </row>
    <row r="1205" spans="1:1">
      <c r="A1205">
        <v>6141</v>
      </c>
    </row>
    <row r="1206" spans="1:1">
      <c r="A1206">
        <v>6142</v>
      </c>
    </row>
    <row r="1207" spans="1:1">
      <c r="A1207">
        <v>6143</v>
      </c>
    </row>
    <row r="1208" spans="1:1">
      <c r="A1208">
        <v>6144</v>
      </c>
    </row>
    <row r="1209" spans="1:1">
      <c r="A1209">
        <v>6145</v>
      </c>
    </row>
    <row r="1210" spans="1:1">
      <c r="A1210">
        <v>6146</v>
      </c>
    </row>
    <row r="1211" spans="1:1">
      <c r="A1211">
        <v>6147</v>
      </c>
    </row>
    <row r="1212" spans="1:1">
      <c r="A1212">
        <v>6148</v>
      </c>
    </row>
    <row r="1213" spans="1:1">
      <c r="A1213">
        <v>6150</v>
      </c>
    </row>
    <row r="1214" spans="1:1">
      <c r="A1214">
        <v>6151</v>
      </c>
    </row>
    <row r="1215" spans="1:1">
      <c r="A1215">
        <v>6152</v>
      </c>
    </row>
    <row r="1216" spans="1:1">
      <c r="A1216">
        <v>6153</v>
      </c>
    </row>
    <row r="1217" spans="1:1">
      <c r="A1217">
        <v>6154</v>
      </c>
    </row>
    <row r="1218" spans="1:1">
      <c r="A1218">
        <v>6155</v>
      </c>
    </row>
    <row r="1219" spans="1:1">
      <c r="A1219">
        <v>6156</v>
      </c>
    </row>
    <row r="1220" spans="1:1">
      <c r="A1220">
        <v>6158</v>
      </c>
    </row>
    <row r="1221" spans="1:1">
      <c r="A1221">
        <v>6160</v>
      </c>
    </row>
    <row r="1222" spans="1:1">
      <c r="A1222">
        <v>6161</v>
      </c>
    </row>
    <row r="1223" spans="1:1">
      <c r="A1223">
        <v>6163</v>
      </c>
    </row>
    <row r="1224" spans="1:1">
      <c r="A1224">
        <v>6164</v>
      </c>
    </row>
    <row r="1225" spans="1:1">
      <c r="A1225">
        <v>6165</v>
      </c>
    </row>
    <row r="1226" spans="1:1">
      <c r="A1226">
        <v>6166</v>
      </c>
    </row>
    <row r="1227" spans="1:1">
      <c r="A1227">
        <v>6167</v>
      </c>
    </row>
    <row r="1228" spans="1:1">
      <c r="A1228">
        <v>6168</v>
      </c>
    </row>
    <row r="1229" spans="1:1">
      <c r="A1229">
        <v>6169</v>
      </c>
    </row>
    <row r="1230" spans="1:1">
      <c r="A1230">
        <v>6170</v>
      </c>
    </row>
    <row r="1231" spans="1:1">
      <c r="A1231">
        <v>6171</v>
      </c>
    </row>
    <row r="1232" spans="1:1">
      <c r="A1232">
        <v>6172</v>
      </c>
    </row>
    <row r="1233" spans="1:1">
      <c r="A1233">
        <v>6173</v>
      </c>
    </row>
    <row r="1234" spans="1:1">
      <c r="A1234">
        <v>6174</v>
      </c>
    </row>
    <row r="1235" spans="1:1">
      <c r="A1235">
        <v>6175</v>
      </c>
    </row>
    <row r="1236" spans="1:1">
      <c r="A1236">
        <v>6176</v>
      </c>
    </row>
    <row r="1237" spans="1:1">
      <c r="A1237">
        <v>6177</v>
      </c>
    </row>
    <row r="1238" spans="1:1">
      <c r="A1238">
        <v>6179</v>
      </c>
    </row>
    <row r="1239" spans="1:1">
      <c r="A1239">
        <v>6180</v>
      </c>
    </row>
    <row r="1240" spans="1:1">
      <c r="A1240">
        <v>6182</v>
      </c>
    </row>
    <row r="1241" spans="1:1">
      <c r="A1241">
        <v>6183</v>
      </c>
    </row>
    <row r="1242" spans="1:1">
      <c r="A1242">
        <v>6184</v>
      </c>
    </row>
    <row r="1243" spans="1:1">
      <c r="A1243">
        <v>6185</v>
      </c>
    </row>
    <row r="1244" spans="1:1">
      <c r="A1244">
        <v>6186</v>
      </c>
    </row>
    <row r="1245" spans="1:1">
      <c r="A1245">
        <v>6187</v>
      </c>
    </row>
    <row r="1246" spans="1:1">
      <c r="A1246">
        <v>6188</v>
      </c>
    </row>
    <row r="1247" spans="1:1">
      <c r="A1247">
        <v>6189</v>
      </c>
    </row>
    <row r="1248" spans="1:1">
      <c r="A1248">
        <v>6190</v>
      </c>
    </row>
    <row r="1249" spans="1:1">
      <c r="A1249">
        <v>6191</v>
      </c>
    </row>
    <row r="1250" spans="1:1">
      <c r="A1250">
        <v>6192</v>
      </c>
    </row>
    <row r="1251" spans="1:1">
      <c r="A1251">
        <v>6194</v>
      </c>
    </row>
    <row r="1252" spans="1:1">
      <c r="A1252">
        <v>6195</v>
      </c>
    </row>
    <row r="1253" spans="1:1">
      <c r="A1253">
        <v>6196</v>
      </c>
    </row>
    <row r="1254" spans="1:1">
      <c r="A1254">
        <v>6197</v>
      </c>
    </row>
    <row r="1255" spans="1:1">
      <c r="A1255">
        <v>6198</v>
      </c>
    </row>
    <row r="1256" spans="1:1">
      <c r="A1256">
        <v>6199</v>
      </c>
    </row>
    <row r="1257" spans="1:1">
      <c r="A1257">
        <v>6201</v>
      </c>
    </row>
    <row r="1258" spans="1:1">
      <c r="A1258">
        <v>6202</v>
      </c>
    </row>
    <row r="1259" spans="1:1">
      <c r="A1259">
        <v>6203</v>
      </c>
    </row>
    <row r="1260" spans="1:1">
      <c r="A1260">
        <v>6204</v>
      </c>
    </row>
    <row r="1261" spans="1:1">
      <c r="A1261">
        <v>6205</v>
      </c>
    </row>
    <row r="1262" spans="1:1">
      <c r="A1262">
        <v>6206</v>
      </c>
    </row>
    <row r="1263" spans="1:1">
      <c r="A1263">
        <v>6207</v>
      </c>
    </row>
    <row r="1264" spans="1:1">
      <c r="A1264">
        <v>6208</v>
      </c>
    </row>
    <row r="1265" spans="1:1">
      <c r="A1265">
        <v>6209</v>
      </c>
    </row>
    <row r="1266" spans="1:1">
      <c r="A1266">
        <v>6210</v>
      </c>
    </row>
    <row r="1267" spans="1:1">
      <c r="A1267">
        <v>6211</v>
      </c>
    </row>
    <row r="1268" spans="1:1">
      <c r="A1268">
        <v>6212</v>
      </c>
    </row>
    <row r="1269" spans="1:1">
      <c r="A1269">
        <v>6213</v>
      </c>
    </row>
    <row r="1270" spans="1:1">
      <c r="A1270">
        <v>6214</v>
      </c>
    </row>
    <row r="1271" spans="1:1">
      <c r="A1271">
        <v>6215</v>
      </c>
    </row>
    <row r="1272" spans="1:1">
      <c r="A1272">
        <v>6216</v>
      </c>
    </row>
    <row r="1273" spans="1:1">
      <c r="A1273">
        <v>6217</v>
      </c>
    </row>
    <row r="1274" spans="1:1">
      <c r="A1274">
        <v>6218</v>
      </c>
    </row>
    <row r="1275" spans="1:1">
      <c r="A1275">
        <v>6219</v>
      </c>
    </row>
    <row r="1276" spans="1:1">
      <c r="A1276">
        <v>6220</v>
      </c>
    </row>
    <row r="1277" spans="1:1">
      <c r="A1277">
        <v>6221</v>
      </c>
    </row>
    <row r="1278" spans="1:1">
      <c r="A1278">
        <v>6222</v>
      </c>
    </row>
    <row r="1279" spans="1:1">
      <c r="A1279">
        <v>6223</v>
      </c>
    </row>
    <row r="1280" spans="1:1">
      <c r="A1280">
        <v>6224</v>
      </c>
    </row>
    <row r="1281" spans="1:1">
      <c r="A1281">
        <v>6225</v>
      </c>
    </row>
    <row r="1282" spans="1:1">
      <c r="A1282">
        <v>6226</v>
      </c>
    </row>
    <row r="1283" spans="1:1">
      <c r="A1283">
        <v>6227</v>
      </c>
    </row>
    <row r="1284" spans="1:1">
      <c r="A1284">
        <v>6228</v>
      </c>
    </row>
    <row r="1285" spans="1:1">
      <c r="A1285">
        <v>6229</v>
      </c>
    </row>
    <row r="1286" spans="1:1">
      <c r="A1286">
        <v>6230</v>
      </c>
    </row>
    <row r="1287" spans="1:1">
      <c r="A1287">
        <v>6231</v>
      </c>
    </row>
    <row r="1288" spans="1:1">
      <c r="A1288">
        <v>6233</v>
      </c>
    </row>
    <row r="1289" spans="1:1">
      <c r="A1289">
        <v>6234</v>
      </c>
    </row>
    <row r="1290" spans="1:1">
      <c r="A1290">
        <v>6235</v>
      </c>
    </row>
    <row r="1291" spans="1:1">
      <c r="A1291">
        <v>6236</v>
      </c>
    </row>
    <row r="1292" spans="1:1">
      <c r="A1292">
        <v>6237</v>
      </c>
    </row>
    <row r="1293" spans="1:1">
      <c r="A1293">
        <v>6238</v>
      </c>
    </row>
    <row r="1294" spans="1:1">
      <c r="A1294">
        <v>6239</v>
      </c>
    </row>
    <row r="1295" spans="1:1">
      <c r="A1295">
        <v>6240</v>
      </c>
    </row>
    <row r="1296" spans="1:1">
      <c r="A1296">
        <v>6241</v>
      </c>
    </row>
    <row r="1297" spans="1:1">
      <c r="A1297">
        <v>6243</v>
      </c>
    </row>
    <row r="1298" spans="1:1">
      <c r="A1298">
        <v>6244</v>
      </c>
    </row>
    <row r="1299" spans="1:1">
      <c r="A1299">
        <v>6245</v>
      </c>
    </row>
    <row r="1300" spans="1:1">
      <c r="A1300">
        <v>6246</v>
      </c>
    </row>
    <row r="1301" spans="1:1">
      <c r="A1301">
        <v>6247</v>
      </c>
    </row>
    <row r="1302" spans="1:1">
      <c r="A1302">
        <v>6248</v>
      </c>
    </row>
    <row r="1303" spans="1:1">
      <c r="A1303">
        <v>6250</v>
      </c>
    </row>
    <row r="1304" spans="1:1">
      <c r="A1304">
        <v>6251</v>
      </c>
    </row>
    <row r="1305" spans="1:1">
      <c r="A1305">
        <v>6257</v>
      </c>
    </row>
    <row r="1306" spans="1:1">
      <c r="A1306">
        <v>6259</v>
      </c>
    </row>
    <row r="1307" spans="1:1">
      <c r="A1307">
        <v>6261</v>
      </c>
    </row>
    <row r="1308" spans="1:1">
      <c r="A1308">
        <v>6263</v>
      </c>
    </row>
    <row r="1309" spans="1:1">
      <c r="A1309">
        <v>6264</v>
      </c>
    </row>
    <row r="1310" spans="1:1">
      <c r="A1310">
        <v>6265</v>
      </c>
    </row>
    <row r="1311" spans="1:1">
      <c r="A1311">
        <v>6266</v>
      </c>
    </row>
    <row r="1312" spans="1:1">
      <c r="A1312">
        <v>6269</v>
      </c>
    </row>
    <row r="1313" spans="1:1">
      <c r="A1313">
        <v>6270</v>
      </c>
    </row>
    <row r="1314" spans="1:1">
      <c r="A1314">
        <v>6271</v>
      </c>
    </row>
    <row r="1315" spans="1:1">
      <c r="A1315">
        <v>6274</v>
      </c>
    </row>
    <row r="1316" spans="1:1">
      <c r="A1316">
        <v>6275</v>
      </c>
    </row>
    <row r="1317" spans="1:1">
      <c r="A1317">
        <v>6276</v>
      </c>
    </row>
    <row r="1318" spans="1:1">
      <c r="A1318">
        <v>6277</v>
      </c>
    </row>
    <row r="1319" spans="1:1">
      <c r="A1319">
        <v>6278</v>
      </c>
    </row>
    <row r="1320" spans="1:1">
      <c r="A1320">
        <v>6279</v>
      </c>
    </row>
    <row r="1321" spans="1:1">
      <c r="A1321">
        <v>6281</v>
      </c>
    </row>
    <row r="1322" spans="1:1">
      <c r="A1322">
        <v>6282</v>
      </c>
    </row>
    <row r="1323" spans="1:1">
      <c r="A1323">
        <v>6283</v>
      </c>
    </row>
    <row r="1324" spans="1:1">
      <c r="A1324">
        <v>6284</v>
      </c>
    </row>
    <row r="1325" spans="1:1">
      <c r="A1325">
        <v>6285</v>
      </c>
    </row>
    <row r="1326" spans="1:1">
      <c r="A1326">
        <v>6286</v>
      </c>
    </row>
    <row r="1327" spans="1:1">
      <c r="A1327">
        <v>6287</v>
      </c>
    </row>
    <row r="1328" spans="1:1">
      <c r="A1328">
        <v>6289</v>
      </c>
    </row>
    <row r="1329" spans="1:1">
      <c r="A1329">
        <v>6290</v>
      </c>
    </row>
    <row r="1330" spans="1:1">
      <c r="A1330">
        <v>6291</v>
      </c>
    </row>
    <row r="1331" spans="1:1">
      <c r="A1331">
        <v>6292</v>
      </c>
    </row>
    <row r="1332" spans="1:1">
      <c r="A1332">
        <v>6294</v>
      </c>
    </row>
    <row r="1333" spans="1:1">
      <c r="A1333">
        <v>6298</v>
      </c>
    </row>
    <row r="1334" spans="1:1">
      <c r="A1334">
        <v>6404</v>
      </c>
    </row>
    <row r="1335" spans="1:1">
      <c r="A1335">
        <v>6405</v>
      </c>
    </row>
    <row r="1336" spans="1:1">
      <c r="A1336">
        <v>6409</v>
      </c>
    </row>
    <row r="1337" spans="1:1">
      <c r="A1337">
        <v>6411</v>
      </c>
    </row>
    <row r="1338" spans="1:1">
      <c r="A1338">
        <v>6412</v>
      </c>
    </row>
    <row r="1339" spans="1:1">
      <c r="A1339">
        <v>6414</v>
      </c>
    </row>
    <row r="1340" spans="1:1">
      <c r="A1340">
        <v>6415</v>
      </c>
    </row>
    <row r="1341" spans="1:1">
      <c r="A1341">
        <v>6419</v>
      </c>
    </row>
    <row r="1342" spans="1:1">
      <c r="A1342">
        <v>6422</v>
      </c>
    </row>
    <row r="1343" spans="1:1">
      <c r="A1343">
        <v>6426</v>
      </c>
    </row>
    <row r="1344" spans="1:1">
      <c r="A1344">
        <v>6431</v>
      </c>
    </row>
    <row r="1345" spans="1:1">
      <c r="A1345">
        <v>6449</v>
      </c>
    </row>
    <row r="1346" spans="1:1">
      <c r="A1346">
        <v>6451</v>
      </c>
    </row>
    <row r="1347" spans="1:1">
      <c r="A1347">
        <v>6452</v>
      </c>
    </row>
    <row r="1348" spans="1:1">
      <c r="A1348">
        <v>6504</v>
      </c>
    </row>
    <row r="1349" spans="1:1">
      <c r="A1349">
        <v>6505</v>
      </c>
    </row>
    <row r="1350" spans="1:1">
      <c r="A1350">
        <v>6506</v>
      </c>
    </row>
    <row r="1351" spans="1:1">
      <c r="A1351">
        <v>6508</v>
      </c>
    </row>
    <row r="1352" spans="1:1">
      <c r="A1352">
        <v>6509</v>
      </c>
    </row>
    <row r="1353" spans="1:1">
      <c r="A1353">
        <v>6603</v>
      </c>
    </row>
    <row r="1354" spans="1:1">
      <c r="A1354">
        <v>6605</v>
      </c>
    </row>
    <row r="1355" spans="1:1">
      <c r="A1355">
        <v>6609</v>
      </c>
    </row>
    <row r="1356" spans="1:1">
      <c r="A1356">
        <v>6702</v>
      </c>
    </row>
    <row r="1357" spans="1:1">
      <c r="A1357">
        <v>6803</v>
      </c>
    </row>
    <row r="1358" spans="1:1">
      <c r="A1358">
        <v>8011</v>
      </c>
    </row>
    <row r="1359" spans="1:1">
      <c r="A1359">
        <v>8016</v>
      </c>
    </row>
    <row r="1360" spans="1:1">
      <c r="A1360">
        <v>8021</v>
      </c>
    </row>
    <row r="1361" spans="1:1">
      <c r="A1361">
        <v>8024</v>
      </c>
    </row>
    <row r="1362" spans="1:1">
      <c r="A1362">
        <v>8032</v>
      </c>
    </row>
    <row r="1363" spans="1:1">
      <c r="A1363">
        <v>8033</v>
      </c>
    </row>
    <row r="1364" spans="1:1">
      <c r="A1364">
        <v>8034</v>
      </c>
    </row>
    <row r="1365" spans="1:1">
      <c r="A1365">
        <v>8038</v>
      </c>
    </row>
    <row r="1366" spans="1:1">
      <c r="A1366">
        <v>8039</v>
      </c>
    </row>
    <row r="1367" spans="1:1">
      <c r="A1367">
        <v>8040</v>
      </c>
    </row>
    <row r="1368" spans="1:1">
      <c r="A1368">
        <v>8042</v>
      </c>
    </row>
    <row r="1369" spans="1:1">
      <c r="A1369">
        <v>8043</v>
      </c>
    </row>
    <row r="1370" spans="1:1">
      <c r="A1370">
        <v>8044</v>
      </c>
    </row>
    <row r="1371" spans="1:1">
      <c r="A1371">
        <v>8046</v>
      </c>
    </row>
    <row r="1372" spans="1:1">
      <c r="A1372">
        <v>8047</v>
      </c>
    </row>
    <row r="1373" spans="1:1">
      <c r="A1373">
        <v>8048</v>
      </c>
    </row>
    <row r="1374" spans="1:1">
      <c r="A1374">
        <v>8049</v>
      </c>
    </row>
    <row r="1375" spans="1:1">
      <c r="A1375">
        <v>8050</v>
      </c>
    </row>
    <row r="1376" spans="1:1">
      <c r="A1376">
        <v>8053</v>
      </c>
    </row>
    <row r="1377" spans="1:1">
      <c r="A1377">
        <v>8054</v>
      </c>
    </row>
    <row r="1378" spans="1:1">
      <c r="A1378">
        <v>8059</v>
      </c>
    </row>
    <row r="1379" spans="1:1">
      <c r="A1379">
        <v>8064</v>
      </c>
    </row>
    <row r="1380" spans="1:1">
      <c r="A1380">
        <v>8066</v>
      </c>
    </row>
    <row r="1381" spans="1:1">
      <c r="A1381">
        <v>8067</v>
      </c>
    </row>
    <row r="1382" spans="1:1">
      <c r="A1382">
        <v>8068</v>
      </c>
    </row>
    <row r="1383" spans="1:1">
      <c r="A1383">
        <v>8069</v>
      </c>
    </row>
    <row r="1384" spans="1:1">
      <c r="A1384">
        <v>8070</v>
      </c>
    </row>
    <row r="1385" spans="1:1">
      <c r="A1385">
        <v>8071</v>
      </c>
    </row>
    <row r="1386" spans="1:1">
      <c r="A1386">
        <v>8072</v>
      </c>
    </row>
    <row r="1387" spans="1:1">
      <c r="A1387">
        <v>8074</v>
      </c>
    </row>
    <row r="1388" spans="1:1">
      <c r="A1388">
        <v>8076</v>
      </c>
    </row>
    <row r="1389" spans="1:1">
      <c r="A1389">
        <v>8077</v>
      </c>
    </row>
    <row r="1390" spans="1:1">
      <c r="A1390">
        <v>8079</v>
      </c>
    </row>
    <row r="1391" spans="1:1">
      <c r="A1391">
        <v>8080</v>
      </c>
    </row>
    <row r="1392" spans="1:1">
      <c r="A1392">
        <v>8081</v>
      </c>
    </row>
    <row r="1393" spans="1:1">
      <c r="A1393">
        <v>8082</v>
      </c>
    </row>
    <row r="1394" spans="1:1">
      <c r="A1394">
        <v>8083</v>
      </c>
    </row>
    <row r="1395" spans="1:1">
      <c r="A1395">
        <v>8084</v>
      </c>
    </row>
    <row r="1396" spans="1:1">
      <c r="A1396">
        <v>8085</v>
      </c>
    </row>
    <row r="1397" spans="1:1">
      <c r="A1397">
        <v>8086</v>
      </c>
    </row>
    <row r="1398" spans="1:1">
      <c r="A1398">
        <v>8087</v>
      </c>
    </row>
    <row r="1399" spans="1:1">
      <c r="A1399">
        <v>8088</v>
      </c>
    </row>
    <row r="1400" spans="1:1">
      <c r="A1400">
        <v>8091</v>
      </c>
    </row>
    <row r="1401" spans="1:1">
      <c r="A1401">
        <v>8092</v>
      </c>
    </row>
    <row r="1402" spans="1:1">
      <c r="A1402">
        <v>8093</v>
      </c>
    </row>
    <row r="1403" spans="1:1">
      <c r="A1403">
        <v>8096</v>
      </c>
    </row>
    <row r="1404" spans="1:1">
      <c r="A1404">
        <v>8097</v>
      </c>
    </row>
    <row r="1405" spans="1:1">
      <c r="A1405">
        <v>8099</v>
      </c>
    </row>
    <row r="1406" spans="1:1">
      <c r="A1406">
        <v>8101</v>
      </c>
    </row>
    <row r="1407" spans="1:1">
      <c r="A1407">
        <v>8103</v>
      </c>
    </row>
    <row r="1408" spans="1:1">
      <c r="A1408">
        <v>8105</v>
      </c>
    </row>
    <row r="1409" spans="1:1">
      <c r="A1409">
        <v>8107</v>
      </c>
    </row>
    <row r="1410" spans="1:1">
      <c r="A1410">
        <v>8109</v>
      </c>
    </row>
    <row r="1411" spans="1:1">
      <c r="A1411">
        <v>8110</v>
      </c>
    </row>
    <row r="1412" spans="1:1">
      <c r="A1412">
        <v>8111</v>
      </c>
    </row>
    <row r="1413" spans="1:1">
      <c r="A1413">
        <v>8112</v>
      </c>
    </row>
    <row r="1414" spans="1:1">
      <c r="A1414">
        <v>8114</v>
      </c>
    </row>
    <row r="1415" spans="1:1">
      <c r="A1415">
        <v>8121</v>
      </c>
    </row>
    <row r="1416" spans="1:1">
      <c r="A1416">
        <v>8131</v>
      </c>
    </row>
    <row r="1417" spans="1:1">
      <c r="A1417">
        <v>8147</v>
      </c>
    </row>
    <row r="1418" spans="1:1">
      <c r="A1418">
        <v>8150</v>
      </c>
    </row>
    <row r="1419" spans="1:1">
      <c r="A1419">
        <v>8155</v>
      </c>
    </row>
    <row r="1420" spans="1:1">
      <c r="A1420">
        <v>8163</v>
      </c>
    </row>
    <row r="1421" spans="1:1">
      <c r="A1421">
        <v>8171</v>
      </c>
    </row>
    <row r="1422" spans="1:1">
      <c r="A1422">
        <v>8176</v>
      </c>
    </row>
    <row r="1423" spans="1:1">
      <c r="A1423">
        <v>8182</v>
      </c>
    </row>
    <row r="1424" spans="1:1">
      <c r="A1424">
        <v>8183</v>
      </c>
    </row>
    <row r="1425" spans="1:1">
      <c r="A1425">
        <v>8201</v>
      </c>
    </row>
    <row r="1426" spans="1:1">
      <c r="A1426">
        <v>8210</v>
      </c>
    </row>
    <row r="1427" spans="1:1">
      <c r="A1427">
        <v>8213</v>
      </c>
    </row>
    <row r="1428" spans="1:1">
      <c r="A1428">
        <v>8215</v>
      </c>
    </row>
    <row r="1429" spans="1:1">
      <c r="A1429">
        <v>8222</v>
      </c>
    </row>
    <row r="1430" spans="1:1">
      <c r="A1430">
        <v>8234</v>
      </c>
    </row>
    <row r="1431" spans="1:1">
      <c r="A1431">
        <v>8240</v>
      </c>
    </row>
    <row r="1432" spans="1:1">
      <c r="A1432">
        <v>8249</v>
      </c>
    </row>
    <row r="1433" spans="1:1">
      <c r="A1433">
        <v>8255</v>
      </c>
    </row>
    <row r="1434" spans="1:1">
      <c r="A1434">
        <v>8261</v>
      </c>
    </row>
    <row r="1435" spans="1:1">
      <c r="A1435">
        <v>8266</v>
      </c>
    </row>
    <row r="1436" spans="1:1">
      <c r="A1436">
        <v>8271</v>
      </c>
    </row>
    <row r="1437" spans="1:1">
      <c r="A1437">
        <v>8277</v>
      </c>
    </row>
    <row r="1438" spans="1:1">
      <c r="A1438">
        <v>8287</v>
      </c>
    </row>
    <row r="1439" spans="1:1">
      <c r="A1439">
        <v>8289</v>
      </c>
    </row>
    <row r="1440" spans="1:1">
      <c r="A1440">
        <v>8291</v>
      </c>
    </row>
    <row r="1441" spans="1:1">
      <c r="A1441">
        <v>8299</v>
      </c>
    </row>
    <row r="1442" spans="1:1">
      <c r="A1442">
        <v>8341</v>
      </c>
    </row>
    <row r="1443" spans="1:1">
      <c r="A1443">
        <v>8349</v>
      </c>
    </row>
    <row r="1444" spans="1:1">
      <c r="A1444">
        <v>8354</v>
      </c>
    </row>
    <row r="1445" spans="1:1">
      <c r="A1445">
        <v>8358</v>
      </c>
    </row>
    <row r="1446" spans="1:1">
      <c r="A1446">
        <v>8374</v>
      </c>
    </row>
    <row r="1447" spans="1:1">
      <c r="A1447">
        <v>8383</v>
      </c>
    </row>
    <row r="1448" spans="1:1">
      <c r="A1448">
        <v>8390</v>
      </c>
    </row>
    <row r="1449" spans="1:1">
      <c r="A1449">
        <v>8401</v>
      </c>
    </row>
    <row r="1450" spans="1:1">
      <c r="A1450">
        <v>8403</v>
      </c>
    </row>
    <row r="1451" spans="1:1">
      <c r="A1451">
        <v>8404</v>
      </c>
    </row>
    <row r="1452" spans="1:1">
      <c r="A1452">
        <v>8406</v>
      </c>
    </row>
    <row r="1453" spans="1:1">
      <c r="A1453">
        <v>8409</v>
      </c>
    </row>
    <row r="1454" spans="1:1">
      <c r="A1454">
        <v>8410</v>
      </c>
    </row>
    <row r="1455" spans="1:1">
      <c r="A1455">
        <v>8411</v>
      </c>
    </row>
    <row r="1456" spans="1:1">
      <c r="A1456">
        <v>8416</v>
      </c>
    </row>
    <row r="1457" spans="1:1">
      <c r="A1457">
        <v>8418</v>
      </c>
    </row>
    <row r="1458" spans="1:1">
      <c r="A1458">
        <v>8420</v>
      </c>
    </row>
    <row r="1459" spans="1:1">
      <c r="A1459">
        <v>8421</v>
      </c>
    </row>
    <row r="1460" spans="1:1">
      <c r="A1460">
        <v>8422</v>
      </c>
    </row>
    <row r="1461" spans="1:1">
      <c r="A1461">
        <v>8423</v>
      </c>
    </row>
    <row r="1462" spans="1:1">
      <c r="A1462">
        <v>8424</v>
      </c>
    </row>
    <row r="1463" spans="1:1">
      <c r="A1463">
        <v>8426</v>
      </c>
    </row>
    <row r="1464" spans="1:1">
      <c r="A1464">
        <v>8427</v>
      </c>
    </row>
    <row r="1465" spans="1:1">
      <c r="A1465">
        <v>8429</v>
      </c>
    </row>
    <row r="1466" spans="1:1">
      <c r="A1466">
        <v>8431</v>
      </c>
    </row>
    <row r="1467" spans="1:1">
      <c r="A1467">
        <v>8432</v>
      </c>
    </row>
    <row r="1468" spans="1:1">
      <c r="A1468">
        <v>8433</v>
      </c>
    </row>
    <row r="1469" spans="1:1">
      <c r="A1469">
        <v>8435</v>
      </c>
    </row>
    <row r="1470" spans="1:1">
      <c r="A1470">
        <v>8436</v>
      </c>
    </row>
    <row r="1471" spans="1:1">
      <c r="A1471">
        <v>8443</v>
      </c>
    </row>
    <row r="1472" spans="1:1">
      <c r="A1472">
        <v>8446</v>
      </c>
    </row>
    <row r="1473" spans="1:1">
      <c r="A1473">
        <v>8450</v>
      </c>
    </row>
    <row r="1474" spans="1:1">
      <c r="A1474">
        <v>8454</v>
      </c>
    </row>
    <row r="1475" spans="1:1">
      <c r="A1475">
        <v>8905</v>
      </c>
    </row>
    <row r="1476" spans="1:1">
      <c r="A1476">
        <v>8906</v>
      </c>
    </row>
    <row r="1477" spans="1:1">
      <c r="A1477">
        <v>8908</v>
      </c>
    </row>
    <row r="1478" spans="1:1">
      <c r="A1478">
        <v>8913</v>
      </c>
    </row>
    <row r="1479" spans="1:1">
      <c r="A1479">
        <v>8916</v>
      </c>
    </row>
    <row r="1480" spans="1:1">
      <c r="A1480">
        <v>8917</v>
      </c>
    </row>
    <row r="1481" spans="1:1">
      <c r="A1481">
        <v>8921</v>
      </c>
    </row>
    <row r="1482" spans="1:1">
      <c r="A1482">
        <v>8923</v>
      </c>
    </row>
    <row r="1483" spans="1:1">
      <c r="A1483">
        <v>8924</v>
      </c>
    </row>
    <row r="1484" spans="1:1">
      <c r="A1484">
        <v>8925</v>
      </c>
    </row>
    <row r="1485" spans="1:1">
      <c r="A1485">
        <v>8926</v>
      </c>
    </row>
    <row r="1486" spans="1:1">
      <c r="A1486">
        <v>8927</v>
      </c>
    </row>
    <row r="1487" spans="1:1">
      <c r="A1487">
        <v>8928</v>
      </c>
    </row>
    <row r="1488" spans="1:1">
      <c r="A1488">
        <v>8929</v>
      </c>
    </row>
    <row r="1489" spans="1:1">
      <c r="A1489">
        <v>8930</v>
      </c>
    </row>
    <row r="1490" spans="1:1">
      <c r="A1490">
        <v>8931</v>
      </c>
    </row>
    <row r="1491" spans="1:1">
      <c r="A1491">
        <v>8932</v>
      </c>
    </row>
    <row r="1492" spans="1:1">
      <c r="A1492">
        <v>8933</v>
      </c>
    </row>
    <row r="1493" spans="1:1">
      <c r="A1493">
        <v>8934</v>
      </c>
    </row>
    <row r="1494" spans="1:1">
      <c r="A1494">
        <v>8935</v>
      </c>
    </row>
    <row r="1495" spans="1:1">
      <c r="A1495">
        <v>8936</v>
      </c>
    </row>
    <row r="1496" spans="1:1">
      <c r="A1496">
        <v>8937</v>
      </c>
    </row>
    <row r="1497" spans="1:1">
      <c r="A1497">
        <v>8938</v>
      </c>
    </row>
    <row r="1498" spans="1:1">
      <c r="A1498">
        <v>8940</v>
      </c>
    </row>
    <row r="1499" spans="1:1">
      <c r="A1499">
        <v>8941</v>
      </c>
    </row>
    <row r="1500" spans="1:1">
      <c r="A1500">
        <v>8942</v>
      </c>
    </row>
    <row r="1501" spans="1:1">
      <c r="A1501">
        <v>8996</v>
      </c>
    </row>
    <row r="1502" spans="1:1">
      <c r="A1502">
        <v>9802</v>
      </c>
    </row>
    <row r="1503" spans="1:1">
      <c r="A1503">
        <v>9902</v>
      </c>
    </row>
    <row r="1504" spans="1:1">
      <c r="A1504">
        <v>9904</v>
      </c>
    </row>
    <row r="1505" spans="1:1">
      <c r="A1505">
        <v>9905</v>
      </c>
    </row>
    <row r="1506" spans="1:1">
      <c r="A1506">
        <v>9906</v>
      </c>
    </row>
    <row r="1507" spans="1:1">
      <c r="A1507">
        <v>9907</v>
      </c>
    </row>
    <row r="1508" spans="1:1">
      <c r="A1508">
        <v>9908</v>
      </c>
    </row>
    <row r="1509" spans="1:1">
      <c r="A1509">
        <v>9910</v>
      </c>
    </row>
    <row r="1510" spans="1:1">
      <c r="A1510">
        <v>9911</v>
      </c>
    </row>
    <row r="1511" spans="1:1">
      <c r="A1511">
        <v>9912</v>
      </c>
    </row>
    <row r="1512" spans="1:1">
      <c r="A1512">
        <v>9914</v>
      </c>
    </row>
    <row r="1513" spans="1:1">
      <c r="A1513">
        <v>9917</v>
      </c>
    </row>
    <row r="1514" spans="1:1">
      <c r="A1514">
        <v>9918</v>
      </c>
    </row>
    <row r="1515" spans="1:1">
      <c r="A1515">
        <v>9919</v>
      </c>
    </row>
    <row r="1516" spans="1:1">
      <c r="A1516">
        <v>9921</v>
      </c>
    </row>
    <row r="1517" spans="1:1">
      <c r="A1517">
        <v>9924</v>
      </c>
    </row>
    <row r="1518" spans="1:1">
      <c r="A1518">
        <v>9925</v>
      </c>
    </row>
    <row r="1519" spans="1:1">
      <c r="A1519">
        <v>9926</v>
      </c>
    </row>
    <row r="1520" spans="1:1">
      <c r="A1520">
        <v>9927</v>
      </c>
    </row>
    <row r="1521" spans="1:1">
      <c r="A1521">
        <v>9928</v>
      </c>
    </row>
    <row r="1522" spans="1:1">
      <c r="A1522">
        <v>9929</v>
      </c>
    </row>
    <row r="1523" spans="1:1">
      <c r="A1523">
        <v>9930</v>
      </c>
    </row>
    <row r="1524" spans="1:1">
      <c r="A1524">
        <v>9931</v>
      </c>
    </row>
    <row r="1525" spans="1:1">
      <c r="A1525">
        <v>9933</v>
      </c>
    </row>
    <row r="1526" spans="1:1">
      <c r="A1526">
        <v>9934</v>
      </c>
    </row>
    <row r="1527" spans="1:1">
      <c r="A1527">
        <v>9935</v>
      </c>
    </row>
    <row r="1528" spans="1:1">
      <c r="A1528">
        <v>9937</v>
      </c>
    </row>
    <row r="1529" spans="1:1">
      <c r="A1529">
        <v>9938</v>
      </c>
    </row>
    <row r="1530" spans="1:1">
      <c r="A1530">
        <v>9939</v>
      </c>
    </row>
    <row r="1531" spans="1:1">
      <c r="A1531">
        <v>9940</v>
      </c>
    </row>
    <row r="1532" spans="1:1">
      <c r="A1532">
        <v>9941</v>
      </c>
    </row>
    <row r="1533" spans="1:1">
      <c r="A1533">
        <v>9942</v>
      </c>
    </row>
    <row r="1534" spans="1:1">
      <c r="A1534">
        <v>9943</v>
      </c>
    </row>
    <row r="1535" spans="1:1">
      <c r="A1535">
        <v>9944</v>
      </c>
    </row>
    <row r="1536" spans="1:1">
      <c r="A1536">
        <v>9945</v>
      </c>
    </row>
    <row r="1537" spans="1:1">
      <c r="A1537">
        <v>9946</v>
      </c>
    </row>
    <row r="1538" spans="1:1">
      <c r="A1538">
        <v>9949</v>
      </c>
    </row>
    <row r="1539" spans="1:1">
      <c r="A1539">
        <v>9950</v>
      </c>
    </row>
    <row r="1540" spans="1:1">
      <c r="A1540">
        <v>9951</v>
      </c>
    </row>
    <row r="1541" spans="1:1">
      <c r="A1541">
        <v>9955</v>
      </c>
    </row>
    <row r="1542" spans="1:1">
      <c r="A1542">
        <v>9958</v>
      </c>
    </row>
    <row r="1543" spans="1:1">
      <c r="A1543">
        <v>9960</v>
      </c>
    </row>
    <row r="1544" spans="1:1">
      <c r="A1544">
        <v>9962</v>
      </c>
    </row>
  </sheetData>
  <autoFilter ref="A1:AC1544"/>
  <phoneticPr fontId="2" type="noConversion"/>
  <pageMargins left="0.7" right="0.7" top="0.75" bottom="0.75" header="0.3" footer="0.3"/>
  <pageSetup paperSize="9" orientation="portrait" r:id="rId1"/>
  <legacyDrawing r:id="rId2"/>
  <controls>
    <control shapeId="5121" r:id="rId3" name="CommandButton1"/>
    <control shapeId="5122" r:id="rId4" name="CommandButton2"/>
    <control shapeId="5123" r:id="rId5" name="CommandButton3"/>
  </controls>
</worksheet>
</file>

<file path=xl/worksheets/sheet14.xml><?xml version="1.0" encoding="utf-8"?>
<worksheet xmlns="http://schemas.openxmlformats.org/spreadsheetml/2006/main" xmlns:r="http://schemas.openxmlformats.org/officeDocument/2006/relationships">
  <sheetPr codeName="工作表4"/>
  <dimension ref="A1:I1514"/>
  <sheetViews>
    <sheetView workbookViewId="0">
      <pane xSplit="7" ySplit="1" topLeftCell="H2" activePane="bottomRight" state="frozen"/>
      <selection pane="topRight" activeCell="H1" sqref="H1"/>
      <selection pane="bottomLeft" activeCell="A2" sqref="A2"/>
      <selection pane="bottomRight" activeCell="K8" sqref="K8"/>
    </sheetView>
  </sheetViews>
  <sheetFormatPr defaultRowHeight="16.5"/>
  <cols>
    <col min="8" max="8" width="5.5" bestFit="1" customWidth="1"/>
  </cols>
  <sheetData>
    <row r="1" spans="1:9" s="267" customFormat="1" ht="26.25" customHeight="1">
      <c r="A1" s="267" t="s">
        <v>207</v>
      </c>
      <c r="B1" s="267" t="s">
        <v>1911</v>
      </c>
      <c r="C1" s="267" t="s">
        <v>1912</v>
      </c>
      <c r="D1" s="267" t="s">
        <v>1913</v>
      </c>
      <c r="E1" s="267" t="s">
        <v>1914</v>
      </c>
      <c r="F1" s="267" t="s">
        <v>1915</v>
      </c>
      <c r="G1" s="267" t="s">
        <v>1916</v>
      </c>
      <c r="H1" s="268" t="s">
        <v>1935</v>
      </c>
      <c r="I1" s="267" t="s">
        <v>1977</v>
      </c>
    </row>
    <row r="2" spans="1:9">
      <c r="A2">
        <v>1101</v>
      </c>
      <c r="C2">
        <v>0</v>
      </c>
      <c r="D2">
        <v>0</v>
      </c>
      <c r="E2">
        <v>0</v>
      </c>
      <c r="F2">
        <v>1</v>
      </c>
      <c r="G2">
        <v>0</v>
      </c>
      <c r="H2">
        <f>SUM(C2:G2)</f>
        <v>1</v>
      </c>
    </row>
    <row r="3" spans="1:9">
      <c r="A3">
        <v>1102</v>
      </c>
      <c r="C3">
        <v>0</v>
      </c>
      <c r="D3">
        <v>0</v>
      </c>
      <c r="E3">
        <v>0</v>
      </c>
      <c r="F3">
        <v>1</v>
      </c>
      <c r="G3">
        <v>0</v>
      </c>
      <c r="H3">
        <f t="shared" ref="H3:H66" si="0">SUM(C3:G3)</f>
        <v>1</v>
      </c>
    </row>
    <row r="4" spans="1:9">
      <c r="A4">
        <v>1103</v>
      </c>
      <c r="C4">
        <v>0</v>
      </c>
      <c r="D4">
        <v>0</v>
      </c>
      <c r="E4">
        <v>0</v>
      </c>
      <c r="F4">
        <v>1</v>
      </c>
      <c r="G4">
        <v>0</v>
      </c>
      <c r="H4">
        <f t="shared" si="0"/>
        <v>1</v>
      </c>
    </row>
    <row r="5" spans="1:9">
      <c r="A5">
        <v>1104</v>
      </c>
      <c r="C5">
        <v>0</v>
      </c>
      <c r="D5">
        <v>0</v>
      </c>
      <c r="E5">
        <v>1</v>
      </c>
      <c r="F5">
        <v>1</v>
      </c>
      <c r="G5">
        <v>0</v>
      </c>
      <c r="H5">
        <f t="shared" si="0"/>
        <v>2</v>
      </c>
    </row>
    <row r="6" spans="1:9">
      <c r="A6">
        <v>1108</v>
      </c>
      <c r="C6">
        <v>0</v>
      </c>
      <c r="D6">
        <v>1</v>
      </c>
      <c r="E6">
        <v>0</v>
      </c>
      <c r="F6">
        <v>1</v>
      </c>
      <c r="G6">
        <v>0</v>
      </c>
      <c r="H6">
        <f t="shared" si="0"/>
        <v>2</v>
      </c>
    </row>
    <row r="7" spans="1:9">
      <c r="A7">
        <v>1109</v>
      </c>
      <c r="C7">
        <v>0</v>
      </c>
      <c r="D7">
        <v>0</v>
      </c>
      <c r="E7">
        <v>1</v>
      </c>
      <c r="F7">
        <v>1</v>
      </c>
      <c r="G7">
        <v>0</v>
      </c>
      <c r="H7">
        <f t="shared" si="0"/>
        <v>2</v>
      </c>
    </row>
    <row r="8" spans="1:9">
      <c r="A8">
        <v>1110</v>
      </c>
      <c r="C8">
        <v>0</v>
      </c>
      <c r="D8">
        <v>1</v>
      </c>
      <c r="E8">
        <v>0</v>
      </c>
      <c r="F8">
        <v>1</v>
      </c>
      <c r="G8">
        <v>0</v>
      </c>
      <c r="H8">
        <f t="shared" si="0"/>
        <v>2</v>
      </c>
    </row>
    <row r="9" spans="1:9">
      <c r="A9">
        <v>1201</v>
      </c>
      <c r="C9">
        <v>0</v>
      </c>
      <c r="D9">
        <v>0</v>
      </c>
      <c r="E9">
        <v>0</v>
      </c>
      <c r="F9">
        <v>0</v>
      </c>
      <c r="G9">
        <v>0</v>
      </c>
      <c r="H9">
        <f t="shared" si="0"/>
        <v>0</v>
      </c>
    </row>
    <row r="10" spans="1:9">
      <c r="A10">
        <v>1203</v>
      </c>
      <c r="C10">
        <v>0</v>
      </c>
      <c r="D10">
        <v>1</v>
      </c>
      <c r="E10">
        <v>2</v>
      </c>
      <c r="F10">
        <v>1</v>
      </c>
      <c r="G10">
        <v>1</v>
      </c>
      <c r="H10">
        <f t="shared" si="0"/>
        <v>5</v>
      </c>
    </row>
    <row r="11" spans="1:9">
      <c r="A11">
        <v>1210</v>
      </c>
      <c r="C11">
        <v>0</v>
      </c>
      <c r="D11">
        <v>1</v>
      </c>
      <c r="E11">
        <v>1</v>
      </c>
      <c r="F11">
        <v>0</v>
      </c>
      <c r="G11">
        <v>0</v>
      </c>
      <c r="H11">
        <f t="shared" si="0"/>
        <v>2</v>
      </c>
    </row>
    <row r="12" spans="1:9">
      <c r="A12">
        <v>1213</v>
      </c>
      <c r="C12">
        <v>1</v>
      </c>
      <c r="D12">
        <v>1</v>
      </c>
      <c r="E12">
        <v>2</v>
      </c>
      <c r="F12">
        <v>0</v>
      </c>
      <c r="G12">
        <v>0</v>
      </c>
      <c r="H12">
        <f t="shared" si="0"/>
        <v>4</v>
      </c>
    </row>
    <row r="13" spans="1:9">
      <c r="A13">
        <v>1215</v>
      </c>
      <c r="C13">
        <v>0</v>
      </c>
      <c r="D13">
        <v>1</v>
      </c>
      <c r="E13">
        <v>1</v>
      </c>
      <c r="F13">
        <v>1</v>
      </c>
      <c r="G13">
        <v>0</v>
      </c>
      <c r="H13">
        <f t="shared" si="0"/>
        <v>3</v>
      </c>
    </row>
    <row r="14" spans="1:9">
      <c r="A14">
        <v>1216</v>
      </c>
      <c r="C14">
        <v>0</v>
      </c>
      <c r="D14">
        <v>1</v>
      </c>
      <c r="E14">
        <v>2</v>
      </c>
      <c r="F14">
        <v>1</v>
      </c>
      <c r="G14">
        <v>0</v>
      </c>
      <c r="H14">
        <f t="shared" si="0"/>
        <v>4</v>
      </c>
    </row>
    <row r="15" spans="1:9">
      <c r="A15">
        <v>1217</v>
      </c>
      <c r="C15">
        <v>1</v>
      </c>
      <c r="D15">
        <v>1</v>
      </c>
      <c r="E15">
        <v>0</v>
      </c>
      <c r="F15">
        <v>0</v>
      </c>
      <c r="G15">
        <v>0</v>
      </c>
      <c r="H15">
        <f t="shared" si="0"/>
        <v>2</v>
      </c>
    </row>
    <row r="16" spans="1:9">
      <c r="A16">
        <v>1218</v>
      </c>
      <c r="C16">
        <v>1</v>
      </c>
      <c r="D16">
        <v>1</v>
      </c>
      <c r="E16">
        <v>1</v>
      </c>
      <c r="F16">
        <v>0</v>
      </c>
      <c r="G16">
        <v>0</v>
      </c>
      <c r="H16">
        <f t="shared" si="0"/>
        <v>3</v>
      </c>
    </row>
    <row r="17" spans="1:8">
      <c r="A17">
        <v>1219</v>
      </c>
      <c r="C17">
        <v>0</v>
      </c>
      <c r="D17">
        <v>1</v>
      </c>
      <c r="E17">
        <v>1</v>
      </c>
      <c r="F17">
        <v>0</v>
      </c>
      <c r="G17">
        <v>0</v>
      </c>
      <c r="H17">
        <f t="shared" si="0"/>
        <v>2</v>
      </c>
    </row>
    <row r="18" spans="1:8">
      <c r="A18">
        <v>1220</v>
      </c>
      <c r="C18">
        <v>1</v>
      </c>
      <c r="D18">
        <v>1</v>
      </c>
      <c r="E18">
        <v>0</v>
      </c>
      <c r="F18">
        <v>0</v>
      </c>
      <c r="G18">
        <v>0</v>
      </c>
      <c r="H18">
        <f t="shared" si="0"/>
        <v>2</v>
      </c>
    </row>
    <row r="19" spans="1:8">
      <c r="A19">
        <v>1225</v>
      </c>
      <c r="C19">
        <v>0</v>
      </c>
      <c r="D19">
        <v>1</v>
      </c>
      <c r="E19">
        <v>0</v>
      </c>
      <c r="F19">
        <v>0</v>
      </c>
      <c r="G19">
        <v>0</v>
      </c>
      <c r="H19">
        <f t="shared" si="0"/>
        <v>1</v>
      </c>
    </row>
    <row r="20" spans="1:8">
      <c r="A20">
        <v>1227</v>
      </c>
      <c r="C20">
        <v>0</v>
      </c>
      <c r="D20">
        <v>1</v>
      </c>
      <c r="E20">
        <v>2</v>
      </c>
      <c r="F20">
        <v>1</v>
      </c>
      <c r="G20">
        <v>0</v>
      </c>
      <c r="H20">
        <f t="shared" si="0"/>
        <v>4</v>
      </c>
    </row>
    <row r="21" spans="1:8">
      <c r="A21">
        <v>1229</v>
      </c>
      <c r="C21">
        <v>0</v>
      </c>
      <c r="D21">
        <v>0</v>
      </c>
      <c r="E21">
        <v>0</v>
      </c>
      <c r="F21">
        <v>1</v>
      </c>
      <c r="G21">
        <v>0</v>
      </c>
      <c r="H21">
        <f t="shared" si="0"/>
        <v>1</v>
      </c>
    </row>
    <row r="22" spans="1:8">
      <c r="A22">
        <v>1231</v>
      </c>
      <c r="C22">
        <v>0</v>
      </c>
      <c r="D22">
        <v>1</v>
      </c>
      <c r="E22">
        <v>0</v>
      </c>
      <c r="F22">
        <v>0</v>
      </c>
      <c r="G22">
        <v>0</v>
      </c>
      <c r="H22">
        <f t="shared" si="0"/>
        <v>1</v>
      </c>
    </row>
    <row r="23" spans="1:8">
      <c r="A23">
        <v>1232</v>
      </c>
      <c r="C23">
        <v>0</v>
      </c>
      <c r="D23">
        <v>1</v>
      </c>
      <c r="E23">
        <v>1</v>
      </c>
      <c r="F23">
        <v>1</v>
      </c>
      <c r="G23">
        <v>0</v>
      </c>
      <c r="H23">
        <f t="shared" si="0"/>
        <v>3</v>
      </c>
    </row>
    <row r="24" spans="1:8">
      <c r="A24">
        <v>1233</v>
      </c>
      <c r="C24">
        <v>0</v>
      </c>
      <c r="D24">
        <v>1</v>
      </c>
      <c r="E24">
        <v>1</v>
      </c>
      <c r="F24">
        <v>1</v>
      </c>
      <c r="G24">
        <v>0</v>
      </c>
      <c r="H24">
        <f t="shared" si="0"/>
        <v>3</v>
      </c>
    </row>
    <row r="25" spans="1:8">
      <c r="A25">
        <v>1234</v>
      </c>
      <c r="C25">
        <v>1</v>
      </c>
      <c r="D25">
        <v>1</v>
      </c>
      <c r="E25">
        <v>2</v>
      </c>
      <c r="F25">
        <v>1</v>
      </c>
      <c r="G25">
        <v>0</v>
      </c>
      <c r="H25">
        <f t="shared" si="0"/>
        <v>5</v>
      </c>
    </row>
    <row r="26" spans="1:8">
      <c r="A26">
        <v>1235</v>
      </c>
      <c r="C26">
        <v>0</v>
      </c>
      <c r="D26">
        <v>1</v>
      </c>
      <c r="E26">
        <v>1</v>
      </c>
      <c r="F26">
        <v>1</v>
      </c>
      <c r="G26">
        <v>0</v>
      </c>
      <c r="H26">
        <f t="shared" si="0"/>
        <v>3</v>
      </c>
    </row>
    <row r="27" spans="1:8">
      <c r="A27">
        <v>1236</v>
      </c>
      <c r="C27">
        <v>0</v>
      </c>
      <c r="D27">
        <v>1</v>
      </c>
      <c r="E27">
        <v>0</v>
      </c>
      <c r="F27">
        <v>0</v>
      </c>
      <c r="G27">
        <v>0</v>
      </c>
      <c r="H27">
        <f t="shared" si="0"/>
        <v>1</v>
      </c>
    </row>
    <row r="28" spans="1:8">
      <c r="A28">
        <v>1256</v>
      </c>
      <c r="C28">
        <v>0</v>
      </c>
      <c r="D28">
        <v>0</v>
      </c>
      <c r="E28">
        <v>0</v>
      </c>
      <c r="F28">
        <v>1</v>
      </c>
      <c r="G28">
        <v>0</v>
      </c>
      <c r="H28">
        <f t="shared" si="0"/>
        <v>1</v>
      </c>
    </row>
    <row r="29" spans="1:8">
      <c r="A29">
        <v>1258</v>
      </c>
      <c r="C29">
        <v>1</v>
      </c>
      <c r="D29">
        <v>1</v>
      </c>
      <c r="E29">
        <v>2</v>
      </c>
      <c r="F29">
        <v>1</v>
      </c>
      <c r="G29">
        <v>1</v>
      </c>
      <c r="H29">
        <f t="shared" si="0"/>
        <v>6</v>
      </c>
    </row>
    <row r="30" spans="1:8">
      <c r="A30">
        <v>1259</v>
      </c>
      <c r="C30">
        <v>1</v>
      </c>
      <c r="D30">
        <v>1</v>
      </c>
      <c r="E30">
        <v>0</v>
      </c>
      <c r="F30">
        <v>1</v>
      </c>
      <c r="G30">
        <v>0</v>
      </c>
      <c r="H30">
        <f t="shared" si="0"/>
        <v>3</v>
      </c>
    </row>
    <row r="31" spans="1:8">
      <c r="A31">
        <v>1262</v>
      </c>
      <c r="C31">
        <v>0</v>
      </c>
      <c r="D31">
        <v>1</v>
      </c>
      <c r="E31">
        <v>1</v>
      </c>
      <c r="F31">
        <v>1</v>
      </c>
      <c r="G31">
        <v>0</v>
      </c>
      <c r="H31">
        <f t="shared" si="0"/>
        <v>3</v>
      </c>
    </row>
    <row r="32" spans="1:8">
      <c r="A32">
        <v>1264</v>
      </c>
      <c r="C32">
        <v>0</v>
      </c>
      <c r="D32">
        <v>1</v>
      </c>
      <c r="E32">
        <v>0</v>
      </c>
      <c r="F32">
        <v>1</v>
      </c>
      <c r="G32">
        <v>0</v>
      </c>
      <c r="H32">
        <f t="shared" si="0"/>
        <v>2</v>
      </c>
    </row>
    <row r="33" spans="1:8">
      <c r="A33">
        <v>1301</v>
      </c>
      <c r="C33">
        <v>0</v>
      </c>
      <c r="D33">
        <v>1</v>
      </c>
      <c r="E33">
        <v>0</v>
      </c>
      <c r="F33">
        <v>1</v>
      </c>
      <c r="G33">
        <v>0</v>
      </c>
      <c r="H33">
        <f t="shared" si="0"/>
        <v>2</v>
      </c>
    </row>
    <row r="34" spans="1:8">
      <c r="A34">
        <v>1303</v>
      </c>
      <c r="C34">
        <v>0</v>
      </c>
      <c r="D34">
        <v>1</v>
      </c>
      <c r="E34">
        <v>0</v>
      </c>
      <c r="F34">
        <v>1</v>
      </c>
      <c r="G34">
        <v>0</v>
      </c>
      <c r="H34">
        <f t="shared" si="0"/>
        <v>2</v>
      </c>
    </row>
    <row r="35" spans="1:8">
      <c r="A35">
        <v>1304</v>
      </c>
      <c r="C35">
        <v>0</v>
      </c>
      <c r="D35">
        <v>0</v>
      </c>
      <c r="E35">
        <v>0</v>
      </c>
      <c r="F35">
        <v>1</v>
      </c>
      <c r="G35">
        <v>0</v>
      </c>
      <c r="H35">
        <f t="shared" si="0"/>
        <v>1</v>
      </c>
    </row>
    <row r="36" spans="1:8">
      <c r="A36">
        <v>1305</v>
      </c>
      <c r="C36">
        <v>0</v>
      </c>
      <c r="D36">
        <v>1</v>
      </c>
      <c r="E36">
        <v>0</v>
      </c>
      <c r="F36">
        <v>1</v>
      </c>
      <c r="G36">
        <v>0</v>
      </c>
      <c r="H36">
        <f t="shared" si="0"/>
        <v>2</v>
      </c>
    </row>
    <row r="37" spans="1:8">
      <c r="A37">
        <v>1307</v>
      </c>
      <c r="C37">
        <v>1</v>
      </c>
      <c r="D37">
        <v>1</v>
      </c>
      <c r="E37">
        <v>2</v>
      </c>
      <c r="F37">
        <v>1</v>
      </c>
      <c r="G37">
        <v>0</v>
      </c>
      <c r="H37">
        <f t="shared" si="0"/>
        <v>5</v>
      </c>
    </row>
    <row r="38" spans="1:8">
      <c r="A38">
        <v>1308</v>
      </c>
      <c r="C38">
        <v>0</v>
      </c>
      <c r="D38">
        <v>0</v>
      </c>
      <c r="E38">
        <v>0</v>
      </c>
      <c r="F38">
        <v>1</v>
      </c>
      <c r="G38">
        <v>0</v>
      </c>
      <c r="H38">
        <f t="shared" si="0"/>
        <v>1</v>
      </c>
    </row>
    <row r="39" spans="1:8">
      <c r="A39">
        <v>1309</v>
      </c>
      <c r="C39">
        <v>0</v>
      </c>
      <c r="D39">
        <v>0</v>
      </c>
      <c r="E39">
        <v>0</v>
      </c>
      <c r="F39">
        <v>0</v>
      </c>
      <c r="G39">
        <v>0</v>
      </c>
      <c r="H39">
        <f t="shared" si="0"/>
        <v>0</v>
      </c>
    </row>
    <row r="40" spans="1:8">
      <c r="A40">
        <v>1310</v>
      </c>
      <c r="C40">
        <v>0</v>
      </c>
      <c r="D40">
        <v>1</v>
      </c>
      <c r="E40">
        <v>0</v>
      </c>
      <c r="F40">
        <v>1</v>
      </c>
      <c r="G40">
        <v>0</v>
      </c>
      <c r="H40">
        <f t="shared" si="0"/>
        <v>2</v>
      </c>
    </row>
    <row r="41" spans="1:8">
      <c r="A41">
        <v>1312</v>
      </c>
      <c r="C41">
        <v>0</v>
      </c>
      <c r="D41">
        <v>1</v>
      </c>
      <c r="E41">
        <v>0</v>
      </c>
      <c r="F41">
        <v>1</v>
      </c>
      <c r="G41">
        <v>0</v>
      </c>
      <c r="H41">
        <f t="shared" si="0"/>
        <v>2</v>
      </c>
    </row>
    <row r="42" spans="1:8">
      <c r="A42">
        <v>1313</v>
      </c>
      <c r="C42">
        <v>0</v>
      </c>
      <c r="D42">
        <v>0</v>
      </c>
      <c r="E42">
        <v>0</v>
      </c>
      <c r="F42">
        <v>0</v>
      </c>
      <c r="G42">
        <v>0</v>
      </c>
      <c r="H42">
        <f t="shared" si="0"/>
        <v>0</v>
      </c>
    </row>
    <row r="43" spans="1:8">
      <c r="A43">
        <v>1314</v>
      </c>
      <c r="C43">
        <v>0</v>
      </c>
      <c r="D43">
        <v>1</v>
      </c>
      <c r="E43">
        <v>1</v>
      </c>
      <c r="F43">
        <v>0</v>
      </c>
      <c r="G43">
        <v>0</v>
      </c>
      <c r="H43">
        <f t="shared" si="0"/>
        <v>2</v>
      </c>
    </row>
    <row r="44" spans="1:8">
      <c r="A44">
        <v>1315</v>
      </c>
      <c r="C44">
        <v>1</v>
      </c>
      <c r="D44">
        <v>1</v>
      </c>
      <c r="E44">
        <v>1</v>
      </c>
      <c r="F44">
        <v>1</v>
      </c>
      <c r="G44">
        <v>0</v>
      </c>
      <c r="H44">
        <f t="shared" si="0"/>
        <v>4</v>
      </c>
    </row>
    <row r="45" spans="1:8">
      <c r="A45">
        <v>1316</v>
      </c>
      <c r="C45">
        <v>0</v>
      </c>
      <c r="D45">
        <v>1</v>
      </c>
      <c r="E45">
        <v>0</v>
      </c>
      <c r="F45">
        <v>0</v>
      </c>
      <c r="G45">
        <v>0</v>
      </c>
      <c r="H45">
        <f t="shared" si="0"/>
        <v>1</v>
      </c>
    </row>
    <row r="46" spans="1:8">
      <c r="A46">
        <v>1319</v>
      </c>
      <c r="C46">
        <v>1</v>
      </c>
      <c r="D46">
        <v>1</v>
      </c>
      <c r="E46">
        <v>0</v>
      </c>
      <c r="F46">
        <v>1</v>
      </c>
      <c r="G46">
        <v>0</v>
      </c>
      <c r="H46">
        <f t="shared" si="0"/>
        <v>3</v>
      </c>
    </row>
    <row r="47" spans="1:8">
      <c r="A47">
        <v>1321</v>
      </c>
      <c r="C47">
        <v>0</v>
      </c>
      <c r="D47">
        <v>1</v>
      </c>
      <c r="E47">
        <v>2</v>
      </c>
      <c r="F47">
        <v>1</v>
      </c>
      <c r="G47">
        <v>0</v>
      </c>
      <c r="H47">
        <f t="shared" si="0"/>
        <v>4</v>
      </c>
    </row>
    <row r="48" spans="1:8">
      <c r="A48">
        <v>1323</v>
      </c>
      <c r="C48">
        <v>0</v>
      </c>
      <c r="D48">
        <v>1</v>
      </c>
      <c r="E48">
        <v>0</v>
      </c>
      <c r="F48">
        <v>1</v>
      </c>
      <c r="G48">
        <v>0</v>
      </c>
      <c r="H48">
        <f t="shared" si="0"/>
        <v>2</v>
      </c>
    </row>
    <row r="49" spans="1:8">
      <c r="A49">
        <v>1324</v>
      </c>
      <c r="C49">
        <v>1</v>
      </c>
      <c r="D49">
        <v>1</v>
      </c>
      <c r="E49">
        <v>0</v>
      </c>
      <c r="F49">
        <v>0</v>
      </c>
      <c r="G49">
        <v>0</v>
      </c>
      <c r="H49">
        <f t="shared" si="0"/>
        <v>2</v>
      </c>
    </row>
    <row r="50" spans="1:8">
      <c r="A50">
        <v>1325</v>
      </c>
      <c r="C50">
        <v>1</v>
      </c>
      <c r="D50">
        <v>1</v>
      </c>
      <c r="E50">
        <v>0</v>
      </c>
      <c r="F50">
        <v>1</v>
      </c>
      <c r="G50">
        <v>0</v>
      </c>
      <c r="H50">
        <f t="shared" si="0"/>
        <v>3</v>
      </c>
    </row>
    <row r="51" spans="1:8">
      <c r="A51">
        <v>1326</v>
      </c>
      <c r="C51">
        <v>0</v>
      </c>
      <c r="D51">
        <v>1</v>
      </c>
      <c r="E51">
        <v>0</v>
      </c>
      <c r="F51">
        <v>1</v>
      </c>
      <c r="G51">
        <v>0</v>
      </c>
      <c r="H51">
        <f t="shared" si="0"/>
        <v>2</v>
      </c>
    </row>
    <row r="52" spans="1:8">
      <c r="A52">
        <v>1333</v>
      </c>
      <c r="C52">
        <v>0</v>
      </c>
      <c r="D52">
        <v>1</v>
      </c>
      <c r="E52">
        <v>1</v>
      </c>
      <c r="F52">
        <v>1</v>
      </c>
      <c r="G52">
        <v>0</v>
      </c>
      <c r="H52">
        <f t="shared" si="0"/>
        <v>3</v>
      </c>
    </row>
    <row r="53" spans="1:8">
      <c r="A53">
        <v>1336</v>
      </c>
      <c r="C53">
        <v>0</v>
      </c>
      <c r="D53">
        <v>1</v>
      </c>
      <c r="E53">
        <v>1</v>
      </c>
      <c r="F53">
        <v>0</v>
      </c>
      <c r="G53">
        <v>0</v>
      </c>
      <c r="H53">
        <f t="shared" si="0"/>
        <v>2</v>
      </c>
    </row>
    <row r="54" spans="1:8">
      <c r="A54">
        <v>1337</v>
      </c>
      <c r="C54">
        <v>0</v>
      </c>
      <c r="D54">
        <v>1</v>
      </c>
      <c r="E54">
        <v>1</v>
      </c>
      <c r="F54">
        <v>1</v>
      </c>
      <c r="G54">
        <v>0</v>
      </c>
      <c r="H54">
        <f t="shared" si="0"/>
        <v>3</v>
      </c>
    </row>
    <row r="55" spans="1:8">
      <c r="A55">
        <v>1338</v>
      </c>
      <c r="C55">
        <v>0</v>
      </c>
      <c r="D55">
        <v>1</v>
      </c>
      <c r="E55">
        <v>0</v>
      </c>
      <c r="F55">
        <v>1</v>
      </c>
      <c r="G55">
        <v>0</v>
      </c>
      <c r="H55">
        <f t="shared" si="0"/>
        <v>2</v>
      </c>
    </row>
    <row r="56" spans="1:8">
      <c r="A56">
        <v>1339</v>
      </c>
      <c r="C56">
        <v>1</v>
      </c>
      <c r="D56">
        <v>1</v>
      </c>
      <c r="E56">
        <v>0</v>
      </c>
      <c r="F56">
        <v>0</v>
      </c>
      <c r="G56">
        <v>1</v>
      </c>
      <c r="H56">
        <f t="shared" si="0"/>
        <v>3</v>
      </c>
    </row>
    <row r="57" spans="1:8">
      <c r="A57">
        <v>1340</v>
      </c>
      <c r="C57">
        <v>0</v>
      </c>
      <c r="D57">
        <v>1</v>
      </c>
      <c r="E57">
        <v>0</v>
      </c>
      <c r="F57">
        <v>1</v>
      </c>
      <c r="G57">
        <v>0</v>
      </c>
      <c r="H57">
        <f t="shared" si="0"/>
        <v>2</v>
      </c>
    </row>
    <row r="58" spans="1:8">
      <c r="A58">
        <v>1402</v>
      </c>
      <c r="C58">
        <v>0</v>
      </c>
      <c r="D58">
        <v>0</v>
      </c>
      <c r="E58">
        <v>0</v>
      </c>
      <c r="F58">
        <v>1</v>
      </c>
      <c r="G58">
        <v>0</v>
      </c>
      <c r="H58">
        <f t="shared" si="0"/>
        <v>1</v>
      </c>
    </row>
    <row r="59" spans="1:8">
      <c r="A59">
        <v>1410</v>
      </c>
      <c r="C59">
        <v>0</v>
      </c>
      <c r="D59">
        <v>1</v>
      </c>
      <c r="E59">
        <v>0</v>
      </c>
      <c r="F59">
        <v>1</v>
      </c>
      <c r="G59">
        <v>0</v>
      </c>
      <c r="H59">
        <f t="shared" si="0"/>
        <v>2</v>
      </c>
    </row>
    <row r="60" spans="1:8">
      <c r="A60">
        <v>1413</v>
      </c>
      <c r="C60">
        <v>0</v>
      </c>
      <c r="D60">
        <v>1</v>
      </c>
      <c r="E60">
        <v>0</v>
      </c>
      <c r="F60">
        <v>1</v>
      </c>
      <c r="G60">
        <v>0</v>
      </c>
      <c r="H60">
        <f t="shared" si="0"/>
        <v>2</v>
      </c>
    </row>
    <row r="61" spans="1:8">
      <c r="A61">
        <v>1414</v>
      </c>
      <c r="C61">
        <v>0</v>
      </c>
      <c r="D61">
        <v>1</v>
      </c>
      <c r="E61">
        <v>0</v>
      </c>
      <c r="F61">
        <v>1</v>
      </c>
      <c r="G61">
        <v>0</v>
      </c>
      <c r="H61">
        <f t="shared" si="0"/>
        <v>2</v>
      </c>
    </row>
    <row r="62" spans="1:8">
      <c r="A62">
        <v>1416</v>
      </c>
      <c r="C62">
        <v>0</v>
      </c>
      <c r="D62">
        <v>0</v>
      </c>
      <c r="E62">
        <v>0</v>
      </c>
      <c r="F62">
        <v>0</v>
      </c>
      <c r="G62">
        <v>0</v>
      </c>
      <c r="H62">
        <f t="shared" si="0"/>
        <v>0</v>
      </c>
    </row>
    <row r="63" spans="1:8">
      <c r="A63">
        <v>1417</v>
      </c>
      <c r="C63">
        <v>0</v>
      </c>
      <c r="D63">
        <v>0</v>
      </c>
      <c r="E63">
        <v>1</v>
      </c>
      <c r="F63">
        <v>0</v>
      </c>
      <c r="G63">
        <v>0</v>
      </c>
      <c r="H63">
        <f t="shared" si="0"/>
        <v>1</v>
      </c>
    </row>
    <row r="64" spans="1:8">
      <c r="A64">
        <v>1418</v>
      </c>
      <c r="C64">
        <v>0</v>
      </c>
      <c r="D64">
        <v>1</v>
      </c>
      <c r="E64">
        <v>0</v>
      </c>
      <c r="F64">
        <v>0</v>
      </c>
      <c r="G64">
        <v>0</v>
      </c>
      <c r="H64">
        <f t="shared" si="0"/>
        <v>1</v>
      </c>
    </row>
    <row r="65" spans="1:8">
      <c r="A65">
        <v>1419</v>
      </c>
      <c r="C65">
        <v>1</v>
      </c>
      <c r="D65">
        <v>1</v>
      </c>
      <c r="E65">
        <v>0</v>
      </c>
      <c r="F65">
        <v>0</v>
      </c>
      <c r="G65">
        <v>0</v>
      </c>
      <c r="H65">
        <f t="shared" si="0"/>
        <v>2</v>
      </c>
    </row>
    <row r="66" spans="1:8">
      <c r="A66">
        <v>1423</v>
      </c>
      <c r="C66">
        <v>0</v>
      </c>
      <c r="D66">
        <v>0</v>
      </c>
      <c r="E66">
        <v>0</v>
      </c>
      <c r="F66">
        <v>0</v>
      </c>
      <c r="G66">
        <v>1</v>
      </c>
      <c r="H66">
        <f t="shared" si="0"/>
        <v>1</v>
      </c>
    </row>
    <row r="67" spans="1:8">
      <c r="A67">
        <v>1432</v>
      </c>
      <c r="C67">
        <v>0</v>
      </c>
      <c r="D67">
        <v>0</v>
      </c>
      <c r="E67">
        <v>1</v>
      </c>
      <c r="F67">
        <v>1</v>
      </c>
      <c r="G67">
        <v>0</v>
      </c>
      <c r="H67">
        <f t="shared" ref="H67:H130" si="1">SUM(C67:G67)</f>
        <v>2</v>
      </c>
    </row>
    <row r="68" spans="1:8">
      <c r="A68">
        <v>1434</v>
      </c>
      <c r="C68">
        <v>0</v>
      </c>
      <c r="D68">
        <v>1</v>
      </c>
      <c r="E68">
        <v>0</v>
      </c>
      <c r="F68">
        <v>1</v>
      </c>
      <c r="G68">
        <v>0</v>
      </c>
      <c r="H68">
        <f t="shared" si="1"/>
        <v>2</v>
      </c>
    </row>
    <row r="69" spans="1:8">
      <c r="A69">
        <v>1435</v>
      </c>
      <c r="C69">
        <v>1</v>
      </c>
      <c r="D69">
        <v>1</v>
      </c>
      <c r="E69">
        <v>1</v>
      </c>
      <c r="F69">
        <v>2</v>
      </c>
      <c r="G69">
        <v>0</v>
      </c>
      <c r="H69">
        <f t="shared" si="1"/>
        <v>5</v>
      </c>
    </row>
    <row r="70" spans="1:8">
      <c r="A70">
        <v>1436</v>
      </c>
      <c r="C70">
        <v>0</v>
      </c>
      <c r="D70">
        <v>1</v>
      </c>
      <c r="E70">
        <v>1</v>
      </c>
      <c r="F70">
        <v>0</v>
      </c>
      <c r="G70">
        <v>0</v>
      </c>
      <c r="H70">
        <f t="shared" si="1"/>
        <v>2</v>
      </c>
    </row>
    <row r="71" spans="1:8">
      <c r="A71">
        <v>1437</v>
      </c>
      <c r="C71">
        <v>0</v>
      </c>
      <c r="D71">
        <v>1</v>
      </c>
      <c r="E71">
        <v>2</v>
      </c>
      <c r="F71">
        <v>1</v>
      </c>
      <c r="G71">
        <v>0</v>
      </c>
      <c r="H71">
        <f t="shared" si="1"/>
        <v>4</v>
      </c>
    </row>
    <row r="72" spans="1:8">
      <c r="A72">
        <v>1438</v>
      </c>
      <c r="C72">
        <v>0</v>
      </c>
      <c r="D72">
        <v>1</v>
      </c>
      <c r="E72">
        <v>2</v>
      </c>
      <c r="F72">
        <v>1</v>
      </c>
      <c r="G72">
        <v>0</v>
      </c>
      <c r="H72">
        <f t="shared" si="1"/>
        <v>4</v>
      </c>
    </row>
    <row r="73" spans="1:8">
      <c r="A73">
        <v>1439</v>
      </c>
      <c r="C73">
        <v>0</v>
      </c>
      <c r="D73">
        <v>0</v>
      </c>
      <c r="E73">
        <v>0</v>
      </c>
      <c r="F73">
        <v>0</v>
      </c>
      <c r="G73">
        <v>0</v>
      </c>
      <c r="H73">
        <f t="shared" si="1"/>
        <v>0</v>
      </c>
    </row>
    <row r="74" spans="1:8">
      <c r="A74">
        <v>1440</v>
      </c>
      <c r="C74">
        <v>0</v>
      </c>
      <c r="D74">
        <v>1</v>
      </c>
      <c r="E74">
        <v>0</v>
      </c>
      <c r="F74">
        <v>0</v>
      </c>
      <c r="G74">
        <v>0</v>
      </c>
      <c r="H74">
        <f t="shared" si="1"/>
        <v>1</v>
      </c>
    </row>
    <row r="75" spans="1:8">
      <c r="A75">
        <v>1441</v>
      </c>
      <c r="C75">
        <v>0</v>
      </c>
      <c r="D75">
        <v>1</v>
      </c>
      <c r="E75">
        <v>0</v>
      </c>
      <c r="F75">
        <v>1</v>
      </c>
      <c r="G75">
        <v>0</v>
      </c>
      <c r="H75">
        <f t="shared" si="1"/>
        <v>2</v>
      </c>
    </row>
    <row r="76" spans="1:8">
      <c r="A76">
        <v>1442</v>
      </c>
      <c r="C76">
        <v>0</v>
      </c>
      <c r="D76">
        <v>0</v>
      </c>
      <c r="E76">
        <v>0</v>
      </c>
      <c r="F76">
        <v>0</v>
      </c>
      <c r="G76">
        <v>0</v>
      </c>
      <c r="H76">
        <f t="shared" si="1"/>
        <v>0</v>
      </c>
    </row>
    <row r="77" spans="1:8">
      <c r="A77">
        <v>1443</v>
      </c>
      <c r="C77">
        <v>0</v>
      </c>
      <c r="D77">
        <v>1</v>
      </c>
      <c r="E77">
        <v>0</v>
      </c>
      <c r="F77">
        <v>0</v>
      </c>
      <c r="G77">
        <v>0</v>
      </c>
      <c r="H77">
        <f t="shared" si="1"/>
        <v>1</v>
      </c>
    </row>
    <row r="78" spans="1:8">
      <c r="A78">
        <v>1444</v>
      </c>
      <c r="C78">
        <v>0</v>
      </c>
      <c r="D78">
        <v>1</v>
      </c>
      <c r="E78">
        <v>0</v>
      </c>
      <c r="F78">
        <v>1</v>
      </c>
      <c r="G78">
        <v>0</v>
      </c>
      <c r="H78">
        <f t="shared" si="1"/>
        <v>2</v>
      </c>
    </row>
    <row r="79" spans="1:8">
      <c r="A79">
        <v>1445</v>
      </c>
      <c r="C79">
        <v>1</v>
      </c>
      <c r="D79">
        <v>1</v>
      </c>
      <c r="E79">
        <v>0</v>
      </c>
      <c r="F79">
        <v>0</v>
      </c>
      <c r="G79">
        <v>0</v>
      </c>
      <c r="H79">
        <f t="shared" si="1"/>
        <v>2</v>
      </c>
    </row>
    <row r="80" spans="1:8">
      <c r="A80">
        <v>1446</v>
      </c>
      <c r="C80">
        <v>0</v>
      </c>
      <c r="D80">
        <v>1</v>
      </c>
      <c r="E80">
        <v>2</v>
      </c>
      <c r="F80">
        <v>1</v>
      </c>
      <c r="G80">
        <v>0</v>
      </c>
      <c r="H80">
        <f t="shared" si="1"/>
        <v>4</v>
      </c>
    </row>
    <row r="81" spans="1:8">
      <c r="A81">
        <v>1447</v>
      </c>
      <c r="C81">
        <v>0</v>
      </c>
      <c r="D81">
        <v>0</v>
      </c>
      <c r="E81">
        <v>0</v>
      </c>
      <c r="F81">
        <v>1</v>
      </c>
      <c r="G81">
        <v>0</v>
      </c>
      <c r="H81">
        <f t="shared" si="1"/>
        <v>1</v>
      </c>
    </row>
    <row r="82" spans="1:8">
      <c r="A82">
        <v>1449</v>
      </c>
      <c r="C82">
        <v>0</v>
      </c>
      <c r="D82">
        <v>1</v>
      </c>
      <c r="E82">
        <v>0</v>
      </c>
      <c r="F82">
        <v>0</v>
      </c>
      <c r="G82">
        <v>0</v>
      </c>
      <c r="H82">
        <f t="shared" si="1"/>
        <v>1</v>
      </c>
    </row>
    <row r="83" spans="1:8">
      <c r="A83">
        <v>1451</v>
      </c>
      <c r="C83">
        <v>1</v>
      </c>
      <c r="D83">
        <v>1</v>
      </c>
      <c r="E83">
        <v>0</v>
      </c>
      <c r="F83">
        <v>1</v>
      </c>
      <c r="G83">
        <v>0</v>
      </c>
      <c r="H83">
        <f t="shared" si="1"/>
        <v>3</v>
      </c>
    </row>
    <row r="84" spans="1:8">
      <c r="A84">
        <v>1452</v>
      </c>
      <c r="C84">
        <v>0</v>
      </c>
      <c r="D84">
        <v>1</v>
      </c>
      <c r="E84">
        <v>0</v>
      </c>
      <c r="F84">
        <v>1</v>
      </c>
      <c r="G84">
        <v>0</v>
      </c>
      <c r="H84">
        <f t="shared" si="1"/>
        <v>2</v>
      </c>
    </row>
    <row r="85" spans="1:8">
      <c r="A85">
        <v>1453</v>
      </c>
      <c r="C85">
        <v>0</v>
      </c>
      <c r="D85">
        <v>0</v>
      </c>
      <c r="E85">
        <v>0</v>
      </c>
      <c r="F85">
        <v>0</v>
      </c>
      <c r="G85">
        <v>0</v>
      </c>
      <c r="H85">
        <f t="shared" si="1"/>
        <v>0</v>
      </c>
    </row>
    <row r="86" spans="1:8">
      <c r="A86">
        <v>1454</v>
      </c>
      <c r="C86">
        <v>0</v>
      </c>
      <c r="D86">
        <v>0</v>
      </c>
      <c r="E86">
        <v>0</v>
      </c>
      <c r="F86">
        <v>1</v>
      </c>
      <c r="G86">
        <v>0</v>
      </c>
      <c r="H86">
        <f t="shared" si="1"/>
        <v>1</v>
      </c>
    </row>
    <row r="87" spans="1:8">
      <c r="A87">
        <v>1455</v>
      </c>
      <c r="C87">
        <v>0</v>
      </c>
      <c r="D87">
        <v>0</v>
      </c>
      <c r="E87">
        <v>0</v>
      </c>
      <c r="F87">
        <v>0</v>
      </c>
      <c r="G87">
        <v>0</v>
      </c>
      <c r="H87">
        <f t="shared" si="1"/>
        <v>0</v>
      </c>
    </row>
    <row r="88" spans="1:8">
      <c r="A88">
        <v>1456</v>
      </c>
      <c r="C88">
        <v>1</v>
      </c>
      <c r="D88">
        <v>1</v>
      </c>
      <c r="E88">
        <v>0</v>
      </c>
      <c r="F88">
        <v>1</v>
      </c>
      <c r="G88">
        <v>0</v>
      </c>
      <c r="H88">
        <f t="shared" si="1"/>
        <v>3</v>
      </c>
    </row>
    <row r="89" spans="1:8">
      <c r="A89">
        <v>1457</v>
      </c>
      <c r="C89">
        <v>0</v>
      </c>
      <c r="D89">
        <v>1</v>
      </c>
      <c r="E89">
        <v>0</v>
      </c>
      <c r="F89">
        <v>0</v>
      </c>
      <c r="G89">
        <v>1</v>
      </c>
      <c r="H89">
        <f t="shared" si="1"/>
        <v>2</v>
      </c>
    </row>
    <row r="90" spans="1:8">
      <c r="A90">
        <v>1459</v>
      </c>
      <c r="C90">
        <v>0</v>
      </c>
      <c r="D90">
        <v>0</v>
      </c>
      <c r="E90">
        <v>0</v>
      </c>
      <c r="F90">
        <v>1</v>
      </c>
      <c r="G90">
        <v>0</v>
      </c>
      <c r="H90">
        <f t="shared" si="1"/>
        <v>1</v>
      </c>
    </row>
    <row r="91" spans="1:8">
      <c r="A91">
        <v>1460</v>
      </c>
      <c r="C91">
        <v>0</v>
      </c>
      <c r="D91">
        <v>1</v>
      </c>
      <c r="E91">
        <v>1</v>
      </c>
      <c r="F91">
        <v>1</v>
      </c>
      <c r="G91">
        <v>0</v>
      </c>
      <c r="H91">
        <f t="shared" si="1"/>
        <v>3</v>
      </c>
    </row>
    <row r="92" spans="1:8">
      <c r="A92">
        <v>1463</v>
      </c>
      <c r="C92">
        <v>0</v>
      </c>
      <c r="D92">
        <v>1</v>
      </c>
      <c r="E92">
        <v>0</v>
      </c>
      <c r="F92">
        <v>1</v>
      </c>
      <c r="G92">
        <v>0</v>
      </c>
      <c r="H92">
        <f t="shared" si="1"/>
        <v>2</v>
      </c>
    </row>
    <row r="93" spans="1:8">
      <c r="A93">
        <v>1464</v>
      </c>
      <c r="C93">
        <v>0</v>
      </c>
      <c r="D93">
        <v>1</v>
      </c>
      <c r="E93">
        <v>0</v>
      </c>
      <c r="F93">
        <v>0</v>
      </c>
      <c r="G93">
        <v>0</v>
      </c>
      <c r="H93">
        <f t="shared" si="1"/>
        <v>1</v>
      </c>
    </row>
    <row r="94" spans="1:8">
      <c r="A94">
        <v>1465</v>
      </c>
      <c r="C94">
        <v>1</v>
      </c>
      <c r="D94">
        <v>1</v>
      </c>
      <c r="E94">
        <v>1</v>
      </c>
      <c r="F94">
        <v>0</v>
      </c>
      <c r="G94">
        <v>0</v>
      </c>
      <c r="H94">
        <f t="shared" si="1"/>
        <v>3</v>
      </c>
    </row>
    <row r="95" spans="1:8">
      <c r="A95">
        <v>1466</v>
      </c>
      <c r="C95">
        <v>0</v>
      </c>
      <c r="D95">
        <v>1</v>
      </c>
      <c r="E95">
        <v>0</v>
      </c>
      <c r="F95">
        <v>0</v>
      </c>
      <c r="G95">
        <v>0</v>
      </c>
      <c r="H95">
        <f t="shared" si="1"/>
        <v>1</v>
      </c>
    </row>
    <row r="96" spans="1:8">
      <c r="A96">
        <v>1467</v>
      </c>
      <c r="C96">
        <v>0</v>
      </c>
      <c r="D96">
        <v>1</v>
      </c>
      <c r="E96">
        <v>0</v>
      </c>
      <c r="F96">
        <v>0</v>
      </c>
      <c r="G96">
        <v>0</v>
      </c>
      <c r="H96">
        <f t="shared" si="1"/>
        <v>1</v>
      </c>
    </row>
    <row r="97" spans="1:8">
      <c r="A97">
        <v>1468</v>
      </c>
      <c r="C97">
        <v>0</v>
      </c>
      <c r="D97">
        <v>0</v>
      </c>
      <c r="E97">
        <v>0</v>
      </c>
      <c r="F97">
        <v>1</v>
      </c>
      <c r="G97">
        <v>0</v>
      </c>
      <c r="H97">
        <f t="shared" si="1"/>
        <v>1</v>
      </c>
    </row>
    <row r="98" spans="1:8">
      <c r="A98">
        <v>1469</v>
      </c>
      <c r="C98">
        <v>0</v>
      </c>
      <c r="D98">
        <v>0</v>
      </c>
      <c r="E98">
        <v>0</v>
      </c>
      <c r="F98">
        <v>1</v>
      </c>
      <c r="G98">
        <v>0</v>
      </c>
      <c r="H98">
        <f t="shared" si="1"/>
        <v>1</v>
      </c>
    </row>
    <row r="99" spans="1:8">
      <c r="A99">
        <v>1470</v>
      </c>
      <c r="C99">
        <v>0</v>
      </c>
      <c r="D99">
        <v>1</v>
      </c>
      <c r="E99">
        <v>0</v>
      </c>
      <c r="F99">
        <v>1</v>
      </c>
      <c r="G99">
        <v>0</v>
      </c>
      <c r="H99">
        <f t="shared" si="1"/>
        <v>2</v>
      </c>
    </row>
    <row r="100" spans="1:8">
      <c r="A100">
        <v>1471</v>
      </c>
      <c r="C100">
        <v>0</v>
      </c>
      <c r="D100">
        <v>1</v>
      </c>
      <c r="E100">
        <v>0</v>
      </c>
      <c r="F100">
        <v>0</v>
      </c>
      <c r="G100">
        <v>0</v>
      </c>
      <c r="H100">
        <f t="shared" si="1"/>
        <v>1</v>
      </c>
    </row>
    <row r="101" spans="1:8">
      <c r="A101">
        <v>1472</v>
      </c>
      <c r="C101">
        <v>0</v>
      </c>
      <c r="D101">
        <v>0</v>
      </c>
      <c r="E101">
        <v>0</v>
      </c>
      <c r="F101">
        <v>0</v>
      </c>
      <c r="G101">
        <v>0</v>
      </c>
      <c r="H101">
        <f t="shared" si="1"/>
        <v>0</v>
      </c>
    </row>
    <row r="102" spans="1:8">
      <c r="A102">
        <v>1473</v>
      </c>
      <c r="C102">
        <v>0</v>
      </c>
      <c r="D102">
        <v>1</v>
      </c>
      <c r="E102">
        <v>2</v>
      </c>
      <c r="F102">
        <v>1</v>
      </c>
      <c r="G102">
        <v>0</v>
      </c>
      <c r="H102">
        <f t="shared" si="1"/>
        <v>4</v>
      </c>
    </row>
    <row r="103" spans="1:8">
      <c r="A103">
        <v>1474</v>
      </c>
      <c r="C103">
        <v>1</v>
      </c>
      <c r="D103">
        <v>1</v>
      </c>
      <c r="E103">
        <v>0</v>
      </c>
      <c r="F103">
        <v>1</v>
      </c>
      <c r="G103">
        <v>0</v>
      </c>
      <c r="H103">
        <f t="shared" si="1"/>
        <v>3</v>
      </c>
    </row>
    <row r="104" spans="1:8">
      <c r="A104">
        <v>1475</v>
      </c>
      <c r="C104">
        <v>0</v>
      </c>
      <c r="D104">
        <v>1</v>
      </c>
      <c r="E104">
        <v>0</v>
      </c>
      <c r="F104">
        <v>0</v>
      </c>
      <c r="G104">
        <v>0</v>
      </c>
      <c r="H104">
        <f t="shared" si="1"/>
        <v>1</v>
      </c>
    </row>
    <row r="105" spans="1:8">
      <c r="A105">
        <v>1476</v>
      </c>
      <c r="C105">
        <v>1</v>
      </c>
      <c r="D105">
        <v>1</v>
      </c>
      <c r="E105">
        <v>0</v>
      </c>
      <c r="F105">
        <v>1</v>
      </c>
      <c r="G105">
        <v>0</v>
      </c>
      <c r="H105">
        <f t="shared" si="1"/>
        <v>3</v>
      </c>
    </row>
    <row r="106" spans="1:8">
      <c r="A106">
        <v>1477</v>
      </c>
      <c r="C106">
        <v>0</v>
      </c>
      <c r="D106">
        <v>1</v>
      </c>
      <c r="E106">
        <v>2</v>
      </c>
      <c r="F106">
        <v>1</v>
      </c>
      <c r="G106">
        <v>0</v>
      </c>
      <c r="H106">
        <f t="shared" si="1"/>
        <v>4</v>
      </c>
    </row>
    <row r="107" spans="1:8">
      <c r="A107">
        <v>1503</v>
      </c>
      <c r="C107">
        <v>0</v>
      </c>
      <c r="D107">
        <v>1</v>
      </c>
      <c r="E107">
        <v>1</v>
      </c>
      <c r="F107">
        <v>0</v>
      </c>
      <c r="G107">
        <v>0</v>
      </c>
      <c r="H107">
        <f t="shared" si="1"/>
        <v>2</v>
      </c>
    </row>
    <row r="108" spans="1:8">
      <c r="A108">
        <v>1504</v>
      </c>
      <c r="C108">
        <v>0</v>
      </c>
      <c r="D108">
        <v>1</v>
      </c>
      <c r="E108">
        <v>0</v>
      </c>
      <c r="F108">
        <v>1</v>
      </c>
      <c r="G108">
        <v>0</v>
      </c>
      <c r="H108">
        <f t="shared" si="1"/>
        <v>2</v>
      </c>
    </row>
    <row r="109" spans="1:8">
      <c r="A109">
        <v>1506</v>
      </c>
      <c r="C109">
        <v>1</v>
      </c>
      <c r="D109">
        <v>1</v>
      </c>
      <c r="E109">
        <v>0</v>
      </c>
      <c r="F109">
        <v>1</v>
      </c>
      <c r="G109">
        <v>0</v>
      </c>
      <c r="H109">
        <f t="shared" si="1"/>
        <v>3</v>
      </c>
    </row>
    <row r="110" spans="1:8">
      <c r="A110">
        <v>1507</v>
      </c>
      <c r="C110">
        <v>0</v>
      </c>
      <c r="D110">
        <v>1</v>
      </c>
      <c r="E110">
        <v>1</v>
      </c>
      <c r="F110">
        <v>0</v>
      </c>
      <c r="G110">
        <v>0</v>
      </c>
      <c r="H110">
        <f t="shared" si="1"/>
        <v>2</v>
      </c>
    </row>
    <row r="111" spans="1:8">
      <c r="A111">
        <v>1512</v>
      </c>
      <c r="C111">
        <v>1</v>
      </c>
      <c r="D111">
        <v>1</v>
      </c>
      <c r="E111">
        <v>2</v>
      </c>
      <c r="F111">
        <v>1</v>
      </c>
      <c r="G111">
        <v>0</v>
      </c>
      <c r="H111">
        <f t="shared" si="1"/>
        <v>5</v>
      </c>
    </row>
    <row r="112" spans="1:8">
      <c r="A112">
        <v>1513</v>
      </c>
      <c r="C112">
        <v>1</v>
      </c>
      <c r="D112">
        <v>1</v>
      </c>
      <c r="E112">
        <v>0</v>
      </c>
      <c r="F112">
        <v>0</v>
      </c>
      <c r="G112">
        <v>0</v>
      </c>
      <c r="H112">
        <f t="shared" si="1"/>
        <v>2</v>
      </c>
    </row>
    <row r="113" spans="1:8">
      <c r="A113">
        <v>1514</v>
      </c>
      <c r="C113">
        <v>1</v>
      </c>
      <c r="D113">
        <v>1</v>
      </c>
      <c r="E113">
        <v>0</v>
      </c>
      <c r="F113">
        <v>1</v>
      </c>
      <c r="G113">
        <v>0</v>
      </c>
      <c r="H113">
        <f t="shared" si="1"/>
        <v>3</v>
      </c>
    </row>
    <row r="114" spans="1:8">
      <c r="A114">
        <v>1515</v>
      </c>
      <c r="C114">
        <v>1</v>
      </c>
      <c r="D114">
        <v>1</v>
      </c>
      <c r="E114">
        <v>2</v>
      </c>
      <c r="F114">
        <v>1</v>
      </c>
      <c r="G114">
        <v>0</v>
      </c>
      <c r="H114">
        <f t="shared" si="1"/>
        <v>5</v>
      </c>
    </row>
    <row r="115" spans="1:8">
      <c r="A115">
        <v>1516</v>
      </c>
      <c r="C115">
        <v>0</v>
      </c>
      <c r="D115">
        <v>1</v>
      </c>
      <c r="E115">
        <v>1</v>
      </c>
      <c r="F115">
        <v>0</v>
      </c>
      <c r="G115">
        <v>0</v>
      </c>
      <c r="H115">
        <f t="shared" si="1"/>
        <v>2</v>
      </c>
    </row>
    <row r="116" spans="1:8">
      <c r="A116">
        <v>1517</v>
      </c>
      <c r="C116">
        <v>0</v>
      </c>
      <c r="D116">
        <v>1</v>
      </c>
      <c r="E116">
        <v>0</v>
      </c>
      <c r="F116">
        <v>1</v>
      </c>
      <c r="G116">
        <v>0</v>
      </c>
      <c r="H116">
        <f t="shared" si="1"/>
        <v>2</v>
      </c>
    </row>
    <row r="117" spans="1:8">
      <c r="A117">
        <v>1519</v>
      </c>
      <c r="C117">
        <v>0</v>
      </c>
      <c r="D117">
        <v>0</v>
      </c>
      <c r="E117">
        <v>0</v>
      </c>
      <c r="F117">
        <v>0</v>
      </c>
      <c r="G117">
        <v>0</v>
      </c>
      <c r="H117">
        <f t="shared" si="1"/>
        <v>0</v>
      </c>
    </row>
    <row r="118" spans="1:8">
      <c r="A118">
        <v>1521</v>
      </c>
      <c r="C118">
        <v>0</v>
      </c>
      <c r="D118">
        <v>1</v>
      </c>
      <c r="E118">
        <v>0</v>
      </c>
      <c r="F118">
        <v>1</v>
      </c>
      <c r="G118">
        <v>0</v>
      </c>
      <c r="H118">
        <f t="shared" si="1"/>
        <v>2</v>
      </c>
    </row>
    <row r="119" spans="1:8">
      <c r="A119">
        <v>1522</v>
      </c>
      <c r="C119">
        <v>1</v>
      </c>
      <c r="D119">
        <v>1</v>
      </c>
      <c r="E119">
        <v>0</v>
      </c>
      <c r="F119">
        <v>1</v>
      </c>
      <c r="G119">
        <v>0</v>
      </c>
      <c r="H119">
        <f t="shared" si="1"/>
        <v>3</v>
      </c>
    </row>
    <row r="120" spans="1:8">
      <c r="A120">
        <v>1524</v>
      </c>
      <c r="C120">
        <v>1</v>
      </c>
      <c r="D120">
        <v>1</v>
      </c>
      <c r="E120">
        <v>2</v>
      </c>
      <c r="F120">
        <v>1</v>
      </c>
      <c r="G120">
        <v>0</v>
      </c>
      <c r="H120">
        <f t="shared" si="1"/>
        <v>5</v>
      </c>
    </row>
    <row r="121" spans="1:8">
      <c r="A121">
        <v>1525</v>
      </c>
      <c r="C121">
        <v>0</v>
      </c>
      <c r="D121">
        <v>1</v>
      </c>
      <c r="E121">
        <v>0</v>
      </c>
      <c r="F121">
        <v>0</v>
      </c>
      <c r="G121">
        <v>0</v>
      </c>
      <c r="H121">
        <f t="shared" si="1"/>
        <v>1</v>
      </c>
    </row>
    <row r="122" spans="1:8">
      <c r="A122">
        <v>1526</v>
      </c>
      <c r="C122">
        <v>1</v>
      </c>
      <c r="D122">
        <v>1</v>
      </c>
      <c r="E122">
        <v>0</v>
      </c>
      <c r="F122">
        <v>0</v>
      </c>
      <c r="G122">
        <v>1</v>
      </c>
      <c r="H122">
        <f t="shared" si="1"/>
        <v>3</v>
      </c>
    </row>
    <row r="123" spans="1:8">
      <c r="A123">
        <v>1527</v>
      </c>
      <c r="C123">
        <v>1</v>
      </c>
      <c r="D123">
        <v>1</v>
      </c>
      <c r="E123">
        <v>0</v>
      </c>
      <c r="F123">
        <v>0</v>
      </c>
      <c r="G123">
        <v>1</v>
      </c>
      <c r="H123">
        <f t="shared" si="1"/>
        <v>3</v>
      </c>
    </row>
    <row r="124" spans="1:8">
      <c r="A124">
        <v>1528</v>
      </c>
      <c r="C124">
        <v>0</v>
      </c>
      <c r="D124">
        <v>1</v>
      </c>
      <c r="E124">
        <v>0</v>
      </c>
      <c r="F124">
        <v>0</v>
      </c>
      <c r="G124">
        <v>0</v>
      </c>
      <c r="H124">
        <f t="shared" si="1"/>
        <v>1</v>
      </c>
    </row>
    <row r="125" spans="1:8">
      <c r="A125">
        <v>1529</v>
      </c>
      <c r="C125">
        <v>0</v>
      </c>
      <c r="D125">
        <v>0</v>
      </c>
      <c r="E125">
        <v>0</v>
      </c>
      <c r="F125">
        <v>0</v>
      </c>
      <c r="G125">
        <v>0</v>
      </c>
      <c r="H125">
        <f t="shared" si="1"/>
        <v>0</v>
      </c>
    </row>
    <row r="126" spans="1:8">
      <c r="A126">
        <v>1530</v>
      </c>
      <c r="C126">
        <v>1</v>
      </c>
      <c r="D126">
        <v>1</v>
      </c>
      <c r="E126">
        <v>0</v>
      </c>
      <c r="F126">
        <v>0</v>
      </c>
      <c r="G126">
        <v>0</v>
      </c>
      <c r="H126">
        <f t="shared" si="1"/>
        <v>2</v>
      </c>
    </row>
    <row r="127" spans="1:8">
      <c r="A127">
        <v>1531</v>
      </c>
      <c r="C127">
        <v>1</v>
      </c>
      <c r="D127">
        <v>1</v>
      </c>
      <c r="E127">
        <v>1</v>
      </c>
      <c r="F127">
        <v>0</v>
      </c>
      <c r="G127">
        <v>0</v>
      </c>
      <c r="H127">
        <f t="shared" si="1"/>
        <v>3</v>
      </c>
    </row>
    <row r="128" spans="1:8">
      <c r="A128">
        <v>1532</v>
      </c>
      <c r="C128">
        <v>0</v>
      </c>
      <c r="D128">
        <v>1</v>
      </c>
      <c r="E128">
        <v>2</v>
      </c>
      <c r="F128">
        <v>1</v>
      </c>
      <c r="G128">
        <v>0</v>
      </c>
      <c r="H128">
        <f t="shared" si="1"/>
        <v>4</v>
      </c>
    </row>
    <row r="129" spans="1:8">
      <c r="A129">
        <v>1533</v>
      </c>
      <c r="C129">
        <v>1</v>
      </c>
      <c r="D129">
        <v>1</v>
      </c>
      <c r="E129">
        <v>0</v>
      </c>
      <c r="F129">
        <v>1</v>
      </c>
      <c r="G129">
        <v>0</v>
      </c>
      <c r="H129">
        <f t="shared" si="1"/>
        <v>3</v>
      </c>
    </row>
    <row r="130" spans="1:8">
      <c r="A130">
        <v>1535</v>
      </c>
      <c r="C130">
        <v>0</v>
      </c>
      <c r="D130">
        <v>1</v>
      </c>
      <c r="E130">
        <v>0</v>
      </c>
      <c r="F130">
        <v>0</v>
      </c>
      <c r="G130">
        <v>0</v>
      </c>
      <c r="H130">
        <f t="shared" si="1"/>
        <v>1</v>
      </c>
    </row>
    <row r="131" spans="1:8">
      <c r="A131">
        <v>1536</v>
      </c>
      <c r="C131">
        <v>1</v>
      </c>
      <c r="D131">
        <v>1</v>
      </c>
      <c r="E131">
        <v>0</v>
      </c>
      <c r="F131">
        <v>1</v>
      </c>
      <c r="G131">
        <v>1</v>
      </c>
      <c r="H131">
        <f t="shared" ref="H131:H194" si="2">SUM(C131:G131)</f>
        <v>4</v>
      </c>
    </row>
    <row r="132" spans="1:8">
      <c r="A132">
        <v>1537</v>
      </c>
      <c r="C132">
        <v>1</v>
      </c>
      <c r="D132">
        <v>1</v>
      </c>
      <c r="E132">
        <v>0</v>
      </c>
      <c r="F132">
        <v>1</v>
      </c>
      <c r="G132">
        <v>1</v>
      </c>
      <c r="H132">
        <f t="shared" si="2"/>
        <v>4</v>
      </c>
    </row>
    <row r="133" spans="1:8">
      <c r="A133">
        <v>1538</v>
      </c>
      <c r="C133">
        <v>1</v>
      </c>
      <c r="D133">
        <v>1</v>
      </c>
      <c r="E133">
        <v>0</v>
      </c>
      <c r="F133">
        <v>0</v>
      </c>
      <c r="G133">
        <v>0</v>
      </c>
      <c r="H133">
        <f t="shared" si="2"/>
        <v>2</v>
      </c>
    </row>
    <row r="134" spans="1:8">
      <c r="A134">
        <v>1539</v>
      </c>
      <c r="C134">
        <v>1</v>
      </c>
      <c r="D134">
        <v>1</v>
      </c>
      <c r="E134">
        <v>1</v>
      </c>
      <c r="F134">
        <v>1</v>
      </c>
      <c r="G134">
        <v>0</v>
      </c>
      <c r="H134">
        <f t="shared" si="2"/>
        <v>4</v>
      </c>
    </row>
    <row r="135" spans="1:8">
      <c r="A135">
        <v>1540</v>
      </c>
      <c r="C135">
        <v>0</v>
      </c>
      <c r="D135">
        <v>1</v>
      </c>
      <c r="E135">
        <v>0</v>
      </c>
      <c r="F135">
        <v>0</v>
      </c>
      <c r="G135">
        <v>0</v>
      </c>
      <c r="H135">
        <f t="shared" si="2"/>
        <v>1</v>
      </c>
    </row>
    <row r="136" spans="1:8">
      <c r="A136">
        <v>1541</v>
      </c>
      <c r="C136">
        <v>1</v>
      </c>
      <c r="D136">
        <v>1</v>
      </c>
      <c r="E136">
        <v>2</v>
      </c>
      <c r="F136">
        <v>0</v>
      </c>
      <c r="G136">
        <v>0</v>
      </c>
      <c r="H136">
        <f t="shared" si="2"/>
        <v>4</v>
      </c>
    </row>
    <row r="137" spans="1:8">
      <c r="A137">
        <v>1558</v>
      </c>
      <c r="C137">
        <v>1</v>
      </c>
      <c r="D137">
        <v>1</v>
      </c>
      <c r="E137">
        <v>1</v>
      </c>
      <c r="F137">
        <v>1</v>
      </c>
      <c r="G137">
        <v>0</v>
      </c>
      <c r="H137">
        <f t="shared" si="2"/>
        <v>4</v>
      </c>
    </row>
    <row r="138" spans="1:8">
      <c r="A138">
        <v>1560</v>
      </c>
      <c r="C138">
        <v>0</v>
      </c>
      <c r="D138">
        <v>1</v>
      </c>
      <c r="E138">
        <v>2</v>
      </c>
      <c r="F138">
        <v>1</v>
      </c>
      <c r="G138">
        <v>0</v>
      </c>
      <c r="H138">
        <f t="shared" si="2"/>
        <v>4</v>
      </c>
    </row>
    <row r="139" spans="1:8">
      <c r="A139">
        <v>1565</v>
      </c>
      <c r="C139">
        <v>1</v>
      </c>
      <c r="D139">
        <v>1</v>
      </c>
      <c r="E139">
        <v>2</v>
      </c>
      <c r="F139">
        <v>1</v>
      </c>
      <c r="G139">
        <v>0</v>
      </c>
      <c r="H139">
        <f t="shared" si="2"/>
        <v>5</v>
      </c>
    </row>
    <row r="140" spans="1:8">
      <c r="A140">
        <v>1566</v>
      </c>
      <c r="C140">
        <v>0</v>
      </c>
      <c r="D140">
        <v>1</v>
      </c>
      <c r="E140">
        <v>0</v>
      </c>
      <c r="F140">
        <v>1</v>
      </c>
      <c r="G140">
        <v>1</v>
      </c>
      <c r="H140">
        <f t="shared" si="2"/>
        <v>3</v>
      </c>
    </row>
    <row r="141" spans="1:8">
      <c r="A141">
        <v>1568</v>
      </c>
      <c r="C141">
        <v>1</v>
      </c>
      <c r="D141">
        <v>1</v>
      </c>
      <c r="E141">
        <v>0</v>
      </c>
      <c r="F141">
        <v>1</v>
      </c>
      <c r="G141">
        <v>0</v>
      </c>
      <c r="H141">
        <f t="shared" si="2"/>
        <v>3</v>
      </c>
    </row>
    <row r="142" spans="1:8">
      <c r="A142">
        <v>1569</v>
      </c>
      <c r="C142">
        <v>0</v>
      </c>
      <c r="D142">
        <v>1</v>
      </c>
      <c r="E142">
        <v>0</v>
      </c>
      <c r="F142">
        <v>0</v>
      </c>
      <c r="G142">
        <v>0</v>
      </c>
      <c r="H142">
        <f t="shared" si="2"/>
        <v>1</v>
      </c>
    </row>
    <row r="143" spans="1:8">
      <c r="A143">
        <v>1570</v>
      </c>
      <c r="C143">
        <v>1</v>
      </c>
      <c r="D143">
        <v>1</v>
      </c>
      <c r="E143">
        <v>2</v>
      </c>
      <c r="F143">
        <v>1</v>
      </c>
      <c r="G143">
        <v>0</v>
      </c>
      <c r="H143">
        <f t="shared" si="2"/>
        <v>5</v>
      </c>
    </row>
    <row r="144" spans="1:8">
      <c r="A144">
        <v>1580</v>
      </c>
      <c r="C144">
        <v>0</v>
      </c>
      <c r="D144">
        <v>1</v>
      </c>
      <c r="E144">
        <v>0</v>
      </c>
      <c r="F144">
        <v>0</v>
      </c>
      <c r="G144">
        <v>0</v>
      </c>
      <c r="H144">
        <f t="shared" si="2"/>
        <v>1</v>
      </c>
    </row>
    <row r="145" spans="1:8">
      <c r="A145">
        <v>1582</v>
      </c>
      <c r="C145">
        <v>1</v>
      </c>
      <c r="D145">
        <v>1</v>
      </c>
      <c r="E145">
        <v>0</v>
      </c>
      <c r="F145">
        <v>1</v>
      </c>
      <c r="G145">
        <v>0</v>
      </c>
      <c r="H145">
        <f t="shared" si="2"/>
        <v>3</v>
      </c>
    </row>
    <row r="146" spans="1:8">
      <c r="A146">
        <v>1583</v>
      </c>
      <c r="C146">
        <v>0</v>
      </c>
      <c r="D146">
        <v>1</v>
      </c>
      <c r="E146">
        <v>0</v>
      </c>
      <c r="F146">
        <v>0</v>
      </c>
      <c r="G146">
        <v>0</v>
      </c>
      <c r="H146">
        <f t="shared" si="2"/>
        <v>1</v>
      </c>
    </row>
    <row r="147" spans="1:8">
      <c r="A147">
        <v>1584</v>
      </c>
      <c r="C147">
        <v>0</v>
      </c>
      <c r="D147">
        <v>0</v>
      </c>
      <c r="E147">
        <v>0</v>
      </c>
      <c r="F147">
        <v>1</v>
      </c>
      <c r="G147">
        <v>0</v>
      </c>
      <c r="H147">
        <f t="shared" si="2"/>
        <v>1</v>
      </c>
    </row>
    <row r="148" spans="1:8">
      <c r="A148">
        <v>1586</v>
      </c>
      <c r="C148">
        <v>0</v>
      </c>
      <c r="D148">
        <v>0</v>
      </c>
      <c r="E148">
        <v>0</v>
      </c>
      <c r="F148">
        <v>0</v>
      </c>
      <c r="G148">
        <v>0</v>
      </c>
      <c r="H148">
        <f t="shared" si="2"/>
        <v>0</v>
      </c>
    </row>
    <row r="149" spans="1:8">
      <c r="A149">
        <v>1589</v>
      </c>
      <c r="C149">
        <v>1</v>
      </c>
      <c r="D149">
        <v>1</v>
      </c>
      <c r="E149">
        <v>0</v>
      </c>
      <c r="F149">
        <v>1</v>
      </c>
      <c r="G149">
        <v>1</v>
      </c>
      <c r="H149">
        <f t="shared" si="2"/>
        <v>4</v>
      </c>
    </row>
    <row r="150" spans="1:8">
      <c r="A150">
        <v>1590</v>
      </c>
      <c r="C150">
        <v>0</v>
      </c>
      <c r="D150">
        <v>0</v>
      </c>
      <c r="E150">
        <v>0</v>
      </c>
      <c r="F150">
        <v>1</v>
      </c>
      <c r="G150">
        <v>0</v>
      </c>
      <c r="H150">
        <f t="shared" si="2"/>
        <v>1</v>
      </c>
    </row>
    <row r="151" spans="1:8">
      <c r="A151">
        <v>1591</v>
      </c>
      <c r="C151">
        <v>0</v>
      </c>
      <c r="D151">
        <v>1</v>
      </c>
      <c r="E151">
        <v>0</v>
      </c>
      <c r="F151">
        <v>0</v>
      </c>
      <c r="G151">
        <v>0</v>
      </c>
      <c r="H151">
        <f t="shared" si="2"/>
        <v>1</v>
      </c>
    </row>
    <row r="152" spans="1:8">
      <c r="A152">
        <v>1592</v>
      </c>
      <c r="C152">
        <v>1</v>
      </c>
      <c r="D152">
        <v>1</v>
      </c>
      <c r="E152">
        <v>0</v>
      </c>
      <c r="F152">
        <v>1</v>
      </c>
      <c r="G152">
        <v>0</v>
      </c>
      <c r="H152">
        <f t="shared" si="2"/>
        <v>3</v>
      </c>
    </row>
    <row r="153" spans="1:8">
      <c r="A153">
        <v>1593</v>
      </c>
      <c r="C153">
        <v>1</v>
      </c>
      <c r="D153">
        <v>1</v>
      </c>
      <c r="E153">
        <v>0</v>
      </c>
      <c r="F153">
        <v>1</v>
      </c>
      <c r="G153">
        <v>0</v>
      </c>
      <c r="H153">
        <f t="shared" si="2"/>
        <v>3</v>
      </c>
    </row>
    <row r="154" spans="1:8">
      <c r="A154">
        <v>1595</v>
      </c>
      <c r="C154">
        <v>0</v>
      </c>
      <c r="D154">
        <v>1</v>
      </c>
      <c r="E154">
        <v>0</v>
      </c>
      <c r="F154">
        <v>1</v>
      </c>
      <c r="G154">
        <v>0</v>
      </c>
      <c r="H154">
        <f t="shared" si="2"/>
        <v>2</v>
      </c>
    </row>
    <row r="155" spans="1:8">
      <c r="A155">
        <v>1597</v>
      </c>
      <c r="C155">
        <v>1</v>
      </c>
      <c r="D155">
        <v>1</v>
      </c>
      <c r="E155">
        <v>0</v>
      </c>
      <c r="F155">
        <v>1</v>
      </c>
      <c r="G155">
        <v>0</v>
      </c>
      <c r="H155">
        <f t="shared" si="2"/>
        <v>3</v>
      </c>
    </row>
    <row r="156" spans="1:8">
      <c r="A156">
        <v>1599</v>
      </c>
      <c r="C156">
        <v>1</v>
      </c>
      <c r="D156">
        <v>1</v>
      </c>
      <c r="E156">
        <v>0</v>
      </c>
      <c r="F156">
        <v>1</v>
      </c>
      <c r="G156">
        <v>1</v>
      </c>
      <c r="H156">
        <f t="shared" si="2"/>
        <v>4</v>
      </c>
    </row>
    <row r="157" spans="1:8">
      <c r="A157">
        <v>1603</v>
      </c>
      <c r="C157">
        <v>0</v>
      </c>
      <c r="D157">
        <v>1</v>
      </c>
      <c r="E157">
        <v>0</v>
      </c>
      <c r="F157">
        <v>0</v>
      </c>
      <c r="G157">
        <v>0</v>
      </c>
      <c r="H157">
        <f t="shared" si="2"/>
        <v>1</v>
      </c>
    </row>
    <row r="158" spans="1:8">
      <c r="A158">
        <v>1604</v>
      </c>
      <c r="C158">
        <v>0</v>
      </c>
      <c r="D158">
        <v>0</v>
      </c>
      <c r="E158">
        <v>0</v>
      </c>
      <c r="F158">
        <v>1</v>
      </c>
      <c r="G158">
        <v>0</v>
      </c>
      <c r="H158">
        <f t="shared" si="2"/>
        <v>1</v>
      </c>
    </row>
    <row r="159" spans="1:8">
      <c r="A159">
        <v>1605</v>
      </c>
      <c r="C159">
        <v>0</v>
      </c>
      <c r="D159">
        <v>1</v>
      </c>
      <c r="E159">
        <v>0</v>
      </c>
      <c r="F159">
        <v>0</v>
      </c>
      <c r="G159">
        <v>0</v>
      </c>
      <c r="H159">
        <f t="shared" si="2"/>
        <v>1</v>
      </c>
    </row>
    <row r="160" spans="1:8">
      <c r="A160">
        <v>1608</v>
      </c>
      <c r="C160">
        <v>0</v>
      </c>
      <c r="D160">
        <v>0</v>
      </c>
      <c r="E160">
        <v>0</v>
      </c>
      <c r="F160">
        <v>1</v>
      </c>
      <c r="G160">
        <v>0</v>
      </c>
      <c r="H160">
        <f t="shared" si="2"/>
        <v>1</v>
      </c>
    </row>
    <row r="161" spans="1:8">
      <c r="A161">
        <v>1609</v>
      </c>
      <c r="C161">
        <v>0</v>
      </c>
      <c r="D161">
        <v>0</v>
      </c>
      <c r="E161">
        <v>0</v>
      </c>
      <c r="F161">
        <v>0</v>
      </c>
      <c r="G161">
        <v>0</v>
      </c>
      <c r="H161">
        <f t="shared" si="2"/>
        <v>0</v>
      </c>
    </row>
    <row r="162" spans="1:8">
      <c r="A162">
        <v>1611</v>
      </c>
      <c r="C162">
        <v>1</v>
      </c>
      <c r="D162">
        <v>1</v>
      </c>
      <c r="E162">
        <v>2</v>
      </c>
      <c r="F162">
        <v>1</v>
      </c>
      <c r="G162">
        <v>0</v>
      </c>
      <c r="H162">
        <f t="shared" si="2"/>
        <v>5</v>
      </c>
    </row>
    <row r="163" spans="1:8">
      <c r="A163">
        <v>1612</v>
      </c>
      <c r="C163">
        <v>0</v>
      </c>
      <c r="D163">
        <v>0</v>
      </c>
      <c r="E163">
        <v>0</v>
      </c>
      <c r="F163">
        <v>1</v>
      </c>
      <c r="G163">
        <v>0</v>
      </c>
      <c r="H163">
        <f t="shared" si="2"/>
        <v>1</v>
      </c>
    </row>
    <row r="164" spans="1:8">
      <c r="A164">
        <v>1613</v>
      </c>
      <c r="C164">
        <v>0</v>
      </c>
      <c r="D164">
        <v>0</v>
      </c>
      <c r="E164">
        <v>1</v>
      </c>
      <c r="F164">
        <v>0</v>
      </c>
      <c r="G164">
        <v>0</v>
      </c>
      <c r="H164">
        <f t="shared" si="2"/>
        <v>1</v>
      </c>
    </row>
    <row r="165" spans="1:8">
      <c r="A165">
        <v>1614</v>
      </c>
      <c r="C165">
        <v>0</v>
      </c>
      <c r="D165">
        <v>1</v>
      </c>
      <c r="E165">
        <v>0</v>
      </c>
      <c r="F165">
        <v>1</v>
      </c>
      <c r="G165">
        <v>0</v>
      </c>
      <c r="H165">
        <f t="shared" si="2"/>
        <v>2</v>
      </c>
    </row>
    <row r="166" spans="1:8">
      <c r="A166">
        <v>1615</v>
      </c>
      <c r="C166">
        <v>0</v>
      </c>
      <c r="D166">
        <v>1</v>
      </c>
      <c r="E166">
        <v>1</v>
      </c>
      <c r="F166">
        <v>0</v>
      </c>
      <c r="G166">
        <v>0</v>
      </c>
      <c r="H166">
        <f t="shared" si="2"/>
        <v>2</v>
      </c>
    </row>
    <row r="167" spans="1:8">
      <c r="A167">
        <v>1616</v>
      </c>
      <c r="C167">
        <v>0</v>
      </c>
      <c r="D167">
        <v>0</v>
      </c>
      <c r="E167">
        <v>1</v>
      </c>
      <c r="F167">
        <v>0</v>
      </c>
      <c r="G167">
        <v>0</v>
      </c>
      <c r="H167">
        <f t="shared" si="2"/>
        <v>1</v>
      </c>
    </row>
    <row r="168" spans="1:8">
      <c r="A168">
        <v>1617</v>
      </c>
      <c r="C168">
        <v>0</v>
      </c>
      <c r="D168">
        <v>1</v>
      </c>
      <c r="E168">
        <v>0</v>
      </c>
      <c r="F168">
        <v>1</v>
      </c>
      <c r="G168">
        <v>0</v>
      </c>
      <c r="H168">
        <f t="shared" si="2"/>
        <v>2</v>
      </c>
    </row>
    <row r="169" spans="1:8">
      <c r="A169">
        <v>1618</v>
      </c>
      <c r="C169">
        <v>0</v>
      </c>
      <c r="D169">
        <v>1</v>
      </c>
      <c r="E169">
        <v>2</v>
      </c>
      <c r="F169">
        <v>0</v>
      </c>
      <c r="G169">
        <v>0</v>
      </c>
      <c r="H169">
        <f t="shared" si="2"/>
        <v>3</v>
      </c>
    </row>
    <row r="170" spans="1:8">
      <c r="A170">
        <v>1626</v>
      </c>
      <c r="C170">
        <v>0</v>
      </c>
      <c r="D170">
        <v>0</v>
      </c>
      <c r="E170">
        <v>0</v>
      </c>
      <c r="F170">
        <v>0</v>
      </c>
      <c r="G170">
        <v>0</v>
      </c>
      <c r="H170">
        <f t="shared" si="2"/>
        <v>0</v>
      </c>
    </row>
    <row r="171" spans="1:8">
      <c r="A171">
        <v>1701</v>
      </c>
      <c r="C171">
        <v>0</v>
      </c>
      <c r="D171">
        <v>1</v>
      </c>
      <c r="E171">
        <v>1</v>
      </c>
      <c r="F171">
        <v>1</v>
      </c>
      <c r="G171">
        <v>0</v>
      </c>
      <c r="H171">
        <f t="shared" si="2"/>
        <v>3</v>
      </c>
    </row>
    <row r="172" spans="1:8">
      <c r="A172">
        <v>1702</v>
      </c>
      <c r="C172">
        <v>0</v>
      </c>
      <c r="D172">
        <v>0</v>
      </c>
      <c r="E172">
        <v>1</v>
      </c>
      <c r="F172">
        <v>1</v>
      </c>
      <c r="G172">
        <v>0</v>
      </c>
      <c r="H172">
        <f t="shared" si="2"/>
        <v>2</v>
      </c>
    </row>
    <row r="173" spans="1:8">
      <c r="A173">
        <v>1704</v>
      </c>
      <c r="C173">
        <v>1</v>
      </c>
      <c r="D173">
        <v>1</v>
      </c>
      <c r="E173">
        <v>2</v>
      </c>
      <c r="F173">
        <v>0</v>
      </c>
      <c r="G173">
        <v>0</v>
      </c>
      <c r="H173">
        <f t="shared" si="2"/>
        <v>4</v>
      </c>
    </row>
    <row r="174" spans="1:8">
      <c r="A174">
        <v>1707</v>
      </c>
      <c r="C174">
        <v>0</v>
      </c>
      <c r="D174">
        <v>1</v>
      </c>
      <c r="E174">
        <v>0</v>
      </c>
      <c r="F174">
        <v>0</v>
      </c>
      <c r="G174">
        <v>1</v>
      </c>
      <c r="H174">
        <f t="shared" si="2"/>
        <v>2</v>
      </c>
    </row>
    <row r="175" spans="1:8">
      <c r="A175">
        <v>1708</v>
      </c>
      <c r="C175">
        <v>1</v>
      </c>
      <c r="D175">
        <v>1</v>
      </c>
      <c r="E175">
        <v>1</v>
      </c>
      <c r="F175">
        <v>1</v>
      </c>
      <c r="G175">
        <v>0</v>
      </c>
      <c r="H175">
        <f t="shared" si="2"/>
        <v>4</v>
      </c>
    </row>
    <row r="176" spans="1:8">
      <c r="A176">
        <v>1709</v>
      </c>
      <c r="C176">
        <v>1</v>
      </c>
      <c r="D176">
        <v>1</v>
      </c>
      <c r="E176">
        <v>0</v>
      </c>
      <c r="F176">
        <v>0</v>
      </c>
      <c r="G176">
        <v>0</v>
      </c>
      <c r="H176">
        <f t="shared" si="2"/>
        <v>2</v>
      </c>
    </row>
    <row r="177" spans="1:8">
      <c r="A177">
        <v>1710</v>
      </c>
      <c r="C177">
        <v>0</v>
      </c>
      <c r="D177">
        <v>0</v>
      </c>
      <c r="E177">
        <v>0</v>
      </c>
      <c r="F177">
        <v>0</v>
      </c>
      <c r="G177">
        <v>0</v>
      </c>
      <c r="H177">
        <f t="shared" si="2"/>
        <v>0</v>
      </c>
    </row>
    <row r="178" spans="1:8">
      <c r="A178">
        <v>1711</v>
      </c>
      <c r="C178">
        <v>1</v>
      </c>
      <c r="D178">
        <v>1</v>
      </c>
      <c r="E178">
        <v>0</v>
      </c>
      <c r="F178">
        <v>1</v>
      </c>
      <c r="G178">
        <v>0</v>
      </c>
      <c r="H178">
        <f t="shared" si="2"/>
        <v>3</v>
      </c>
    </row>
    <row r="179" spans="1:8">
      <c r="A179">
        <v>1712</v>
      </c>
      <c r="C179">
        <v>0</v>
      </c>
      <c r="D179">
        <v>0</v>
      </c>
      <c r="E179">
        <v>1</v>
      </c>
      <c r="F179">
        <v>1</v>
      </c>
      <c r="G179">
        <v>0</v>
      </c>
      <c r="H179">
        <f t="shared" si="2"/>
        <v>2</v>
      </c>
    </row>
    <row r="180" spans="1:8">
      <c r="A180">
        <v>1713</v>
      </c>
      <c r="C180">
        <v>0</v>
      </c>
      <c r="D180">
        <v>1</v>
      </c>
      <c r="E180">
        <v>0</v>
      </c>
      <c r="F180">
        <v>0</v>
      </c>
      <c r="G180">
        <v>0</v>
      </c>
      <c r="H180">
        <f t="shared" si="2"/>
        <v>1</v>
      </c>
    </row>
    <row r="181" spans="1:8">
      <c r="A181">
        <v>1714</v>
      </c>
      <c r="C181">
        <v>0</v>
      </c>
      <c r="D181">
        <v>1</v>
      </c>
      <c r="E181">
        <v>0</v>
      </c>
      <c r="F181">
        <v>0</v>
      </c>
      <c r="G181">
        <v>0</v>
      </c>
      <c r="H181">
        <f t="shared" si="2"/>
        <v>1</v>
      </c>
    </row>
    <row r="182" spans="1:8">
      <c r="A182">
        <v>1715</v>
      </c>
      <c r="C182">
        <v>0</v>
      </c>
      <c r="D182">
        <v>1</v>
      </c>
      <c r="E182">
        <v>2</v>
      </c>
      <c r="F182">
        <v>1</v>
      </c>
      <c r="G182">
        <v>1</v>
      </c>
      <c r="H182">
        <f t="shared" si="2"/>
        <v>5</v>
      </c>
    </row>
    <row r="183" spans="1:8">
      <c r="A183">
        <v>1717</v>
      </c>
      <c r="C183">
        <v>1</v>
      </c>
      <c r="D183">
        <v>1</v>
      </c>
      <c r="E183">
        <v>0</v>
      </c>
      <c r="F183">
        <v>1</v>
      </c>
      <c r="G183">
        <v>0</v>
      </c>
      <c r="H183">
        <f t="shared" si="2"/>
        <v>3</v>
      </c>
    </row>
    <row r="184" spans="1:8">
      <c r="A184">
        <v>1720</v>
      </c>
      <c r="C184">
        <v>0</v>
      </c>
      <c r="D184">
        <v>1</v>
      </c>
      <c r="E184">
        <v>1</v>
      </c>
      <c r="F184">
        <v>1</v>
      </c>
      <c r="G184">
        <v>0</v>
      </c>
      <c r="H184">
        <f t="shared" si="2"/>
        <v>3</v>
      </c>
    </row>
    <row r="185" spans="1:8">
      <c r="A185">
        <v>1721</v>
      </c>
      <c r="C185">
        <v>1</v>
      </c>
      <c r="D185">
        <v>1</v>
      </c>
      <c r="E185">
        <v>0</v>
      </c>
      <c r="F185">
        <v>1</v>
      </c>
      <c r="G185">
        <v>0</v>
      </c>
      <c r="H185">
        <f t="shared" si="2"/>
        <v>3</v>
      </c>
    </row>
    <row r="186" spans="1:8">
      <c r="A186">
        <v>1722</v>
      </c>
      <c r="C186">
        <v>0</v>
      </c>
      <c r="D186">
        <v>1</v>
      </c>
      <c r="E186">
        <v>1</v>
      </c>
      <c r="F186">
        <v>1</v>
      </c>
      <c r="G186">
        <v>0</v>
      </c>
      <c r="H186">
        <f t="shared" si="2"/>
        <v>3</v>
      </c>
    </row>
    <row r="187" spans="1:8">
      <c r="A187">
        <v>1723</v>
      </c>
      <c r="C187">
        <v>0</v>
      </c>
      <c r="D187">
        <v>0</v>
      </c>
      <c r="E187">
        <v>0</v>
      </c>
      <c r="F187">
        <v>1</v>
      </c>
      <c r="G187">
        <v>0</v>
      </c>
      <c r="H187">
        <f t="shared" si="2"/>
        <v>1</v>
      </c>
    </row>
    <row r="188" spans="1:8">
      <c r="A188">
        <v>1724</v>
      </c>
      <c r="C188">
        <v>1</v>
      </c>
      <c r="D188">
        <v>1</v>
      </c>
      <c r="E188">
        <v>1</v>
      </c>
      <c r="F188">
        <v>1</v>
      </c>
      <c r="G188">
        <v>0</v>
      </c>
      <c r="H188">
        <f t="shared" si="2"/>
        <v>4</v>
      </c>
    </row>
    <row r="189" spans="1:8">
      <c r="A189">
        <v>1725</v>
      </c>
      <c r="C189">
        <v>0</v>
      </c>
      <c r="D189">
        <v>1</v>
      </c>
      <c r="E189">
        <v>1</v>
      </c>
      <c r="F189">
        <v>1</v>
      </c>
      <c r="G189">
        <v>0</v>
      </c>
      <c r="H189">
        <f t="shared" si="2"/>
        <v>3</v>
      </c>
    </row>
    <row r="190" spans="1:8">
      <c r="A190">
        <v>1726</v>
      </c>
      <c r="C190">
        <v>1</v>
      </c>
      <c r="D190">
        <v>1</v>
      </c>
      <c r="E190">
        <v>0</v>
      </c>
      <c r="F190">
        <v>1</v>
      </c>
      <c r="G190">
        <v>0</v>
      </c>
      <c r="H190">
        <f t="shared" si="2"/>
        <v>3</v>
      </c>
    </row>
    <row r="191" spans="1:8">
      <c r="A191">
        <v>1727</v>
      </c>
      <c r="C191">
        <v>0</v>
      </c>
      <c r="D191">
        <v>1</v>
      </c>
      <c r="E191">
        <v>0</v>
      </c>
      <c r="F191">
        <v>1</v>
      </c>
      <c r="G191">
        <v>0</v>
      </c>
      <c r="H191">
        <f t="shared" si="2"/>
        <v>2</v>
      </c>
    </row>
    <row r="192" spans="1:8">
      <c r="A192">
        <v>1729</v>
      </c>
      <c r="C192">
        <v>1</v>
      </c>
      <c r="D192">
        <v>1</v>
      </c>
      <c r="E192">
        <v>2</v>
      </c>
      <c r="F192">
        <v>0</v>
      </c>
      <c r="G192">
        <v>0</v>
      </c>
      <c r="H192">
        <f t="shared" si="2"/>
        <v>4</v>
      </c>
    </row>
    <row r="193" spans="1:8">
      <c r="A193">
        <v>1730</v>
      </c>
      <c r="C193">
        <v>1</v>
      </c>
      <c r="D193">
        <v>1</v>
      </c>
      <c r="E193">
        <v>2</v>
      </c>
      <c r="F193">
        <v>1</v>
      </c>
      <c r="G193">
        <v>1</v>
      </c>
      <c r="H193">
        <f t="shared" si="2"/>
        <v>6</v>
      </c>
    </row>
    <row r="194" spans="1:8">
      <c r="A194">
        <v>1731</v>
      </c>
      <c r="C194">
        <v>0</v>
      </c>
      <c r="D194">
        <v>1</v>
      </c>
      <c r="E194">
        <v>0</v>
      </c>
      <c r="F194">
        <v>1</v>
      </c>
      <c r="G194">
        <v>0</v>
      </c>
      <c r="H194">
        <f t="shared" si="2"/>
        <v>2</v>
      </c>
    </row>
    <row r="195" spans="1:8">
      <c r="A195">
        <v>1732</v>
      </c>
      <c r="C195">
        <v>1</v>
      </c>
      <c r="D195">
        <v>1</v>
      </c>
      <c r="E195">
        <v>0</v>
      </c>
      <c r="F195">
        <v>1</v>
      </c>
      <c r="G195">
        <v>0</v>
      </c>
      <c r="H195">
        <f t="shared" ref="H195:H258" si="3">SUM(C195:G195)</f>
        <v>3</v>
      </c>
    </row>
    <row r="196" spans="1:8">
      <c r="A196">
        <v>1733</v>
      </c>
      <c r="C196">
        <v>1</v>
      </c>
      <c r="D196">
        <v>1</v>
      </c>
      <c r="E196">
        <v>2</v>
      </c>
      <c r="F196">
        <v>0</v>
      </c>
      <c r="G196">
        <v>0</v>
      </c>
      <c r="H196">
        <f t="shared" si="3"/>
        <v>4</v>
      </c>
    </row>
    <row r="197" spans="1:8">
      <c r="A197">
        <v>1734</v>
      </c>
      <c r="C197">
        <v>0</v>
      </c>
      <c r="D197">
        <v>1</v>
      </c>
      <c r="E197">
        <v>0</v>
      </c>
      <c r="F197">
        <v>1</v>
      </c>
      <c r="G197">
        <v>0</v>
      </c>
      <c r="H197">
        <f t="shared" si="3"/>
        <v>2</v>
      </c>
    </row>
    <row r="198" spans="1:8">
      <c r="A198">
        <v>1735</v>
      </c>
      <c r="C198">
        <v>0</v>
      </c>
      <c r="D198">
        <v>1</v>
      </c>
      <c r="E198">
        <v>0</v>
      </c>
      <c r="F198">
        <v>1</v>
      </c>
      <c r="G198">
        <v>0</v>
      </c>
      <c r="H198">
        <f t="shared" si="3"/>
        <v>2</v>
      </c>
    </row>
    <row r="199" spans="1:8">
      <c r="A199">
        <v>1736</v>
      </c>
      <c r="C199">
        <v>0</v>
      </c>
      <c r="D199">
        <v>1</v>
      </c>
      <c r="E199">
        <v>0</v>
      </c>
      <c r="F199">
        <v>0</v>
      </c>
      <c r="G199">
        <v>0</v>
      </c>
      <c r="H199">
        <f t="shared" si="3"/>
        <v>1</v>
      </c>
    </row>
    <row r="200" spans="1:8">
      <c r="A200">
        <v>1737</v>
      </c>
      <c r="C200">
        <v>1</v>
      </c>
      <c r="D200">
        <v>1</v>
      </c>
      <c r="E200">
        <v>0</v>
      </c>
      <c r="F200">
        <v>1</v>
      </c>
      <c r="G200">
        <v>0</v>
      </c>
      <c r="H200">
        <f t="shared" si="3"/>
        <v>3</v>
      </c>
    </row>
    <row r="201" spans="1:8">
      <c r="A201">
        <v>1742</v>
      </c>
      <c r="C201">
        <v>0</v>
      </c>
      <c r="D201">
        <v>0</v>
      </c>
      <c r="E201">
        <v>0</v>
      </c>
      <c r="F201">
        <v>0</v>
      </c>
      <c r="G201">
        <v>0</v>
      </c>
      <c r="H201">
        <f t="shared" si="3"/>
        <v>0</v>
      </c>
    </row>
    <row r="202" spans="1:8">
      <c r="A202">
        <v>1752</v>
      </c>
      <c r="C202">
        <v>1</v>
      </c>
      <c r="D202">
        <v>1</v>
      </c>
      <c r="E202">
        <v>0</v>
      </c>
      <c r="F202">
        <v>1</v>
      </c>
      <c r="G202">
        <v>0</v>
      </c>
      <c r="H202">
        <f t="shared" si="3"/>
        <v>3</v>
      </c>
    </row>
    <row r="203" spans="1:8">
      <c r="A203">
        <v>1762</v>
      </c>
      <c r="C203">
        <v>0</v>
      </c>
      <c r="D203">
        <v>1</v>
      </c>
      <c r="E203">
        <v>0</v>
      </c>
      <c r="F203">
        <v>1</v>
      </c>
      <c r="G203">
        <v>0</v>
      </c>
      <c r="H203">
        <f t="shared" si="3"/>
        <v>2</v>
      </c>
    </row>
    <row r="204" spans="1:8">
      <c r="A204">
        <v>1773</v>
      </c>
      <c r="C204">
        <v>1</v>
      </c>
      <c r="D204">
        <v>1</v>
      </c>
      <c r="E204">
        <v>2</v>
      </c>
      <c r="F204">
        <v>1</v>
      </c>
      <c r="G204">
        <v>0</v>
      </c>
      <c r="H204">
        <f t="shared" si="3"/>
        <v>5</v>
      </c>
    </row>
    <row r="205" spans="1:8">
      <c r="A205">
        <v>1777</v>
      </c>
      <c r="C205">
        <v>1</v>
      </c>
      <c r="D205">
        <v>1</v>
      </c>
      <c r="E205">
        <v>1</v>
      </c>
      <c r="F205">
        <v>1</v>
      </c>
      <c r="G205">
        <v>1</v>
      </c>
      <c r="H205">
        <f t="shared" si="3"/>
        <v>5</v>
      </c>
    </row>
    <row r="206" spans="1:8">
      <c r="A206">
        <v>1781</v>
      </c>
      <c r="C206">
        <v>0</v>
      </c>
      <c r="D206">
        <v>1</v>
      </c>
      <c r="E206">
        <v>2</v>
      </c>
      <c r="F206">
        <v>1</v>
      </c>
      <c r="G206">
        <v>0</v>
      </c>
      <c r="H206">
        <f t="shared" si="3"/>
        <v>4</v>
      </c>
    </row>
    <row r="207" spans="1:8">
      <c r="A207">
        <v>1783</v>
      </c>
      <c r="C207">
        <v>0</v>
      </c>
      <c r="D207">
        <v>1</v>
      </c>
      <c r="E207">
        <v>0</v>
      </c>
      <c r="F207">
        <v>0</v>
      </c>
      <c r="G207">
        <v>1</v>
      </c>
      <c r="H207">
        <f t="shared" si="3"/>
        <v>2</v>
      </c>
    </row>
    <row r="208" spans="1:8">
      <c r="A208">
        <v>1784</v>
      </c>
      <c r="C208">
        <v>0</v>
      </c>
      <c r="D208">
        <v>0</v>
      </c>
      <c r="E208">
        <v>0</v>
      </c>
      <c r="F208">
        <v>0</v>
      </c>
      <c r="G208">
        <v>0</v>
      </c>
      <c r="H208">
        <f t="shared" si="3"/>
        <v>0</v>
      </c>
    </row>
    <row r="209" spans="1:8">
      <c r="A209">
        <v>1785</v>
      </c>
      <c r="C209">
        <v>0</v>
      </c>
      <c r="D209">
        <v>1</v>
      </c>
      <c r="E209">
        <v>0</v>
      </c>
      <c r="F209">
        <v>0</v>
      </c>
      <c r="G209">
        <v>0</v>
      </c>
      <c r="H209">
        <f t="shared" si="3"/>
        <v>1</v>
      </c>
    </row>
    <row r="210" spans="1:8">
      <c r="A210">
        <v>1786</v>
      </c>
      <c r="C210">
        <v>1</v>
      </c>
      <c r="D210">
        <v>1</v>
      </c>
      <c r="E210">
        <v>2</v>
      </c>
      <c r="F210">
        <v>1</v>
      </c>
      <c r="G210">
        <v>0</v>
      </c>
      <c r="H210">
        <f t="shared" si="3"/>
        <v>5</v>
      </c>
    </row>
    <row r="211" spans="1:8">
      <c r="A211">
        <v>1787</v>
      </c>
      <c r="C211">
        <v>1</v>
      </c>
      <c r="D211">
        <v>1</v>
      </c>
      <c r="E211">
        <v>1</v>
      </c>
      <c r="F211">
        <v>1</v>
      </c>
      <c r="G211">
        <v>1</v>
      </c>
      <c r="H211">
        <f t="shared" si="3"/>
        <v>5</v>
      </c>
    </row>
    <row r="212" spans="1:8">
      <c r="A212">
        <v>1788</v>
      </c>
      <c r="C212">
        <v>0</v>
      </c>
      <c r="D212">
        <v>0</v>
      </c>
      <c r="E212">
        <v>0</v>
      </c>
      <c r="F212">
        <v>1</v>
      </c>
      <c r="G212">
        <v>0</v>
      </c>
      <c r="H212">
        <f t="shared" si="3"/>
        <v>1</v>
      </c>
    </row>
    <row r="213" spans="1:8">
      <c r="A213">
        <v>1789</v>
      </c>
      <c r="C213">
        <v>1</v>
      </c>
      <c r="D213">
        <v>1</v>
      </c>
      <c r="E213">
        <v>1</v>
      </c>
      <c r="F213">
        <v>0</v>
      </c>
      <c r="G213">
        <v>0</v>
      </c>
      <c r="H213">
        <f t="shared" si="3"/>
        <v>3</v>
      </c>
    </row>
    <row r="214" spans="1:8">
      <c r="A214">
        <v>1795</v>
      </c>
      <c r="C214">
        <v>0</v>
      </c>
      <c r="D214">
        <v>1</v>
      </c>
      <c r="E214">
        <v>2</v>
      </c>
      <c r="F214">
        <v>1</v>
      </c>
      <c r="G214">
        <v>0</v>
      </c>
      <c r="H214">
        <f t="shared" si="3"/>
        <v>4</v>
      </c>
    </row>
    <row r="215" spans="1:8">
      <c r="A215">
        <v>1799</v>
      </c>
      <c r="C215">
        <v>1</v>
      </c>
      <c r="D215">
        <v>1</v>
      </c>
      <c r="E215">
        <v>0</v>
      </c>
      <c r="F215">
        <v>0</v>
      </c>
      <c r="G215">
        <v>1</v>
      </c>
      <c r="H215">
        <f t="shared" si="3"/>
        <v>3</v>
      </c>
    </row>
    <row r="216" spans="1:8">
      <c r="A216">
        <v>1802</v>
      </c>
      <c r="C216">
        <v>0</v>
      </c>
      <c r="D216">
        <v>0</v>
      </c>
      <c r="E216">
        <v>2</v>
      </c>
      <c r="F216">
        <v>1</v>
      </c>
      <c r="G216">
        <v>0</v>
      </c>
      <c r="H216">
        <f t="shared" si="3"/>
        <v>3</v>
      </c>
    </row>
    <row r="217" spans="1:8">
      <c r="A217">
        <v>1805</v>
      </c>
      <c r="C217">
        <v>1</v>
      </c>
      <c r="D217">
        <v>0</v>
      </c>
      <c r="E217">
        <v>0</v>
      </c>
      <c r="F217">
        <v>0</v>
      </c>
      <c r="G217">
        <v>0</v>
      </c>
      <c r="H217">
        <f t="shared" si="3"/>
        <v>1</v>
      </c>
    </row>
    <row r="218" spans="1:8">
      <c r="A218">
        <v>1806</v>
      </c>
      <c r="C218">
        <v>1</v>
      </c>
      <c r="D218">
        <v>1</v>
      </c>
      <c r="E218">
        <v>0</v>
      </c>
      <c r="F218">
        <v>1</v>
      </c>
      <c r="G218">
        <v>0</v>
      </c>
      <c r="H218">
        <f t="shared" si="3"/>
        <v>3</v>
      </c>
    </row>
    <row r="219" spans="1:8">
      <c r="A219">
        <v>1808</v>
      </c>
      <c r="C219">
        <v>1</v>
      </c>
      <c r="D219">
        <v>1</v>
      </c>
      <c r="E219">
        <v>2</v>
      </c>
      <c r="F219">
        <v>1</v>
      </c>
      <c r="G219">
        <v>1</v>
      </c>
      <c r="H219">
        <f t="shared" si="3"/>
        <v>6</v>
      </c>
    </row>
    <row r="220" spans="1:8">
      <c r="A220">
        <v>1809</v>
      </c>
      <c r="C220">
        <v>0</v>
      </c>
      <c r="D220">
        <v>1</v>
      </c>
      <c r="E220">
        <v>0</v>
      </c>
      <c r="F220">
        <v>0</v>
      </c>
      <c r="G220">
        <v>0</v>
      </c>
      <c r="H220">
        <f t="shared" si="3"/>
        <v>1</v>
      </c>
    </row>
    <row r="221" spans="1:8">
      <c r="A221">
        <v>1810</v>
      </c>
      <c r="C221">
        <v>0</v>
      </c>
      <c r="D221">
        <v>1</v>
      </c>
      <c r="E221">
        <v>0</v>
      </c>
      <c r="F221">
        <v>1</v>
      </c>
      <c r="G221">
        <v>0</v>
      </c>
      <c r="H221">
        <f t="shared" si="3"/>
        <v>2</v>
      </c>
    </row>
    <row r="222" spans="1:8">
      <c r="A222">
        <v>1813</v>
      </c>
      <c r="C222">
        <v>1</v>
      </c>
      <c r="D222">
        <v>1</v>
      </c>
      <c r="E222">
        <v>0</v>
      </c>
      <c r="F222">
        <v>1</v>
      </c>
      <c r="G222">
        <v>0</v>
      </c>
      <c r="H222">
        <f t="shared" si="3"/>
        <v>3</v>
      </c>
    </row>
    <row r="223" spans="1:8">
      <c r="A223">
        <v>1815</v>
      </c>
      <c r="C223">
        <v>1</v>
      </c>
      <c r="D223">
        <v>1</v>
      </c>
      <c r="E223">
        <v>0</v>
      </c>
      <c r="F223">
        <v>1</v>
      </c>
      <c r="G223">
        <v>0</v>
      </c>
      <c r="H223">
        <f t="shared" si="3"/>
        <v>3</v>
      </c>
    </row>
    <row r="224" spans="1:8">
      <c r="A224">
        <v>1817</v>
      </c>
      <c r="C224">
        <v>1</v>
      </c>
      <c r="D224">
        <v>1</v>
      </c>
      <c r="E224">
        <v>0</v>
      </c>
      <c r="F224">
        <v>1</v>
      </c>
      <c r="G224">
        <v>0</v>
      </c>
      <c r="H224">
        <f t="shared" si="3"/>
        <v>3</v>
      </c>
    </row>
    <row r="225" spans="1:8">
      <c r="A225">
        <v>1902</v>
      </c>
      <c r="C225">
        <v>1</v>
      </c>
      <c r="D225">
        <v>1</v>
      </c>
      <c r="E225">
        <v>0</v>
      </c>
      <c r="F225">
        <v>1</v>
      </c>
      <c r="G225">
        <v>0</v>
      </c>
      <c r="H225">
        <f t="shared" si="3"/>
        <v>3</v>
      </c>
    </row>
    <row r="226" spans="1:8">
      <c r="A226">
        <v>1903</v>
      </c>
      <c r="C226">
        <v>0</v>
      </c>
      <c r="D226">
        <v>1</v>
      </c>
      <c r="E226">
        <v>0</v>
      </c>
      <c r="F226">
        <v>1</v>
      </c>
      <c r="G226">
        <v>0</v>
      </c>
      <c r="H226">
        <f t="shared" si="3"/>
        <v>2</v>
      </c>
    </row>
    <row r="227" spans="1:8">
      <c r="A227">
        <v>1904</v>
      </c>
      <c r="C227">
        <v>0</v>
      </c>
      <c r="D227">
        <v>1</v>
      </c>
      <c r="E227">
        <v>0</v>
      </c>
      <c r="F227">
        <v>0</v>
      </c>
      <c r="G227">
        <v>0</v>
      </c>
      <c r="H227">
        <f t="shared" si="3"/>
        <v>1</v>
      </c>
    </row>
    <row r="228" spans="1:8">
      <c r="A228">
        <v>1905</v>
      </c>
      <c r="C228">
        <v>1</v>
      </c>
      <c r="D228">
        <v>1</v>
      </c>
      <c r="E228">
        <v>1</v>
      </c>
      <c r="F228">
        <v>1</v>
      </c>
      <c r="G228">
        <v>0</v>
      </c>
      <c r="H228">
        <f t="shared" si="3"/>
        <v>4</v>
      </c>
    </row>
    <row r="229" spans="1:8">
      <c r="A229">
        <v>1906</v>
      </c>
      <c r="C229">
        <v>0</v>
      </c>
      <c r="D229">
        <v>1</v>
      </c>
      <c r="E229">
        <v>1</v>
      </c>
      <c r="F229">
        <v>1</v>
      </c>
      <c r="G229">
        <v>0</v>
      </c>
      <c r="H229">
        <f t="shared" si="3"/>
        <v>3</v>
      </c>
    </row>
    <row r="230" spans="1:8">
      <c r="A230">
        <v>1907</v>
      </c>
      <c r="C230">
        <v>0</v>
      </c>
      <c r="D230">
        <v>1</v>
      </c>
      <c r="E230">
        <v>0</v>
      </c>
      <c r="F230">
        <v>1</v>
      </c>
      <c r="G230">
        <v>0</v>
      </c>
      <c r="H230">
        <f t="shared" si="3"/>
        <v>2</v>
      </c>
    </row>
    <row r="231" spans="1:8">
      <c r="A231">
        <v>1909</v>
      </c>
      <c r="C231">
        <v>0</v>
      </c>
      <c r="D231">
        <v>0</v>
      </c>
      <c r="E231">
        <v>1</v>
      </c>
      <c r="F231">
        <v>1</v>
      </c>
      <c r="G231">
        <v>0</v>
      </c>
      <c r="H231">
        <f t="shared" si="3"/>
        <v>2</v>
      </c>
    </row>
    <row r="232" spans="1:8">
      <c r="A232">
        <v>2002</v>
      </c>
      <c r="C232">
        <v>0</v>
      </c>
      <c r="D232">
        <v>0</v>
      </c>
      <c r="E232">
        <v>0</v>
      </c>
      <c r="F232">
        <v>1</v>
      </c>
      <c r="G232">
        <v>0</v>
      </c>
      <c r="H232">
        <f t="shared" si="3"/>
        <v>1</v>
      </c>
    </row>
    <row r="233" spans="1:8">
      <c r="A233">
        <v>2006</v>
      </c>
      <c r="C233">
        <v>0</v>
      </c>
      <c r="D233">
        <v>0</v>
      </c>
      <c r="E233">
        <v>0</v>
      </c>
      <c r="F233">
        <v>1</v>
      </c>
      <c r="G233">
        <v>0</v>
      </c>
      <c r="H233">
        <f t="shared" si="3"/>
        <v>1</v>
      </c>
    </row>
    <row r="234" spans="1:8">
      <c r="A234">
        <v>2007</v>
      </c>
      <c r="C234">
        <v>0</v>
      </c>
      <c r="D234">
        <v>0</v>
      </c>
      <c r="E234">
        <v>1</v>
      </c>
      <c r="F234">
        <v>0</v>
      </c>
      <c r="G234">
        <v>0</v>
      </c>
      <c r="H234">
        <f t="shared" si="3"/>
        <v>1</v>
      </c>
    </row>
    <row r="235" spans="1:8">
      <c r="A235">
        <v>2008</v>
      </c>
      <c r="C235">
        <v>0</v>
      </c>
      <c r="D235">
        <v>0</v>
      </c>
      <c r="E235">
        <v>0</v>
      </c>
      <c r="F235">
        <v>1</v>
      </c>
      <c r="G235">
        <v>0</v>
      </c>
      <c r="H235">
        <f t="shared" si="3"/>
        <v>1</v>
      </c>
    </row>
    <row r="236" spans="1:8">
      <c r="A236">
        <v>2009</v>
      </c>
      <c r="C236">
        <v>0</v>
      </c>
      <c r="D236">
        <v>0</v>
      </c>
      <c r="E236">
        <v>0</v>
      </c>
      <c r="F236">
        <v>1</v>
      </c>
      <c r="G236">
        <v>0</v>
      </c>
      <c r="H236">
        <f t="shared" si="3"/>
        <v>1</v>
      </c>
    </row>
    <row r="237" spans="1:8">
      <c r="A237">
        <v>2010</v>
      </c>
      <c r="C237">
        <v>0</v>
      </c>
      <c r="D237">
        <v>0</v>
      </c>
      <c r="E237">
        <v>0</v>
      </c>
      <c r="F237">
        <v>0</v>
      </c>
      <c r="G237">
        <v>0</v>
      </c>
      <c r="H237">
        <f t="shared" si="3"/>
        <v>0</v>
      </c>
    </row>
    <row r="238" spans="1:8">
      <c r="A238">
        <v>2012</v>
      </c>
      <c r="C238">
        <v>1</v>
      </c>
      <c r="D238">
        <v>1</v>
      </c>
      <c r="E238">
        <v>0</v>
      </c>
      <c r="F238">
        <v>1</v>
      </c>
      <c r="G238">
        <v>0</v>
      </c>
      <c r="H238">
        <f t="shared" si="3"/>
        <v>3</v>
      </c>
    </row>
    <row r="239" spans="1:8">
      <c r="A239">
        <v>2013</v>
      </c>
      <c r="C239">
        <v>0</v>
      </c>
      <c r="D239">
        <v>0</v>
      </c>
      <c r="E239">
        <v>0</v>
      </c>
      <c r="F239">
        <v>0</v>
      </c>
      <c r="G239">
        <v>0</v>
      </c>
      <c r="H239">
        <f t="shared" si="3"/>
        <v>0</v>
      </c>
    </row>
    <row r="240" spans="1:8">
      <c r="A240">
        <v>2014</v>
      </c>
      <c r="C240">
        <v>0</v>
      </c>
      <c r="D240">
        <v>1</v>
      </c>
      <c r="E240">
        <v>2</v>
      </c>
      <c r="F240">
        <v>1</v>
      </c>
      <c r="G240">
        <v>0</v>
      </c>
      <c r="H240">
        <f t="shared" si="3"/>
        <v>4</v>
      </c>
    </row>
    <row r="241" spans="1:8">
      <c r="A241">
        <v>2015</v>
      </c>
      <c r="C241">
        <v>0</v>
      </c>
      <c r="D241">
        <v>1</v>
      </c>
      <c r="E241">
        <v>1</v>
      </c>
      <c r="F241">
        <v>1</v>
      </c>
      <c r="G241">
        <v>0</v>
      </c>
      <c r="H241">
        <f t="shared" si="3"/>
        <v>3</v>
      </c>
    </row>
    <row r="242" spans="1:8">
      <c r="A242">
        <v>2017</v>
      </c>
      <c r="C242">
        <v>0</v>
      </c>
      <c r="D242">
        <v>0</v>
      </c>
      <c r="E242">
        <v>0</v>
      </c>
      <c r="F242">
        <v>1</v>
      </c>
      <c r="G242">
        <v>0</v>
      </c>
      <c r="H242">
        <f t="shared" si="3"/>
        <v>1</v>
      </c>
    </row>
    <row r="243" spans="1:8">
      <c r="A243">
        <v>2020</v>
      </c>
      <c r="C243">
        <v>0</v>
      </c>
      <c r="D243">
        <v>0</v>
      </c>
      <c r="E243">
        <v>0</v>
      </c>
      <c r="F243">
        <v>0</v>
      </c>
      <c r="G243">
        <v>0</v>
      </c>
      <c r="H243">
        <f t="shared" si="3"/>
        <v>0</v>
      </c>
    </row>
    <row r="244" spans="1:8">
      <c r="A244">
        <v>2022</v>
      </c>
      <c r="C244">
        <v>0</v>
      </c>
      <c r="D244">
        <v>0</v>
      </c>
      <c r="E244">
        <v>1</v>
      </c>
      <c r="F244">
        <v>0</v>
      </c>
      <c r="G244">
        <v>0</v>
      </c>
      <c r="H244">
        <f t="shared" si="3"/>
        <v>1</v>
      </c>
    </row>
    <row r="245" spans="1:8">
      <c r="A245">
        <v>2023</v>
      </c>
      <c r="C245">
        <v>0</v>
      </c>
      <c r="D245">
        <v>0</v>
      </c>
      <c r="E245">
        <v>0</v>
      </c>
      <c r="F245">
        <v>0</v>
      </c>
      <c r="G245">
        <v>0</v>
      </c>
      <c r="H245">
        <f t="shared" si="3"/>
        <v>0</v>
      </c>
    </row>
    <row r="246" spans="1:8">
      <c r="A246">
        <v>2024</v>
      </c>
      <c r="C246">
        <v>0</v>
      </c>
      <c r="D246">
        <v>1</v>
      </c>
      <c r="E246">
        <v>0</v>
      </c>
      <c r="F246">
        <v>1</v>
      </c>
      <c r="G246">
        <v>0</v>
      </c>
      <c r="H246">
        <f t="shared" si="3"/>
        <v>2</v>
      </c>
    </row>
    <row r="247" spans="1:8">
      <c r="A247">
        <v>2025</v>
      </c>
      <c r="C247">
        <v>0</v>
      </c>
      <c r="D247">
        <v>0</v>
      </c>
      <c r="E247">
        <v>1</v>
      </c>
      <c r="F247">
        <v>0</v>
      </c>
      <c r="G247">
        <v>0</v>
      </c>
      <c r="H247">
        <f t="shared" si="3"/>
        <v>1</v>
      </c>
    </row>
    <row r="248" spans="1:8">
      <c r="A248">
        <v>2027</v>
      </c>
      <c r="C248">
        <v>0</v>
      </c>
      <c r="D248">
        <v>0</v>
      </c>
      <c r="E248">
        <v>0</v>
      </c>
      <c r="F248">
        <v>1</v>
      </c>
      <c r="G248">
        <v>0</v>
      </c>
      <c r="H248">
        <f t="shared" si="3"/>
        <v>1</v>
      </c>
    </row>
    <row r="249" spans="1:8">
      <c r="A249">
        <v>2028</v>
      </c>
      <c r="C249">
        <v>0</v>
      </c>
      <c r="D249">
        <v>0</v>
      </c>
      <c r="E249">
        <v>0</v>
      </c>
      <c r="F249">
        <v>1</v>
      </c>
      <c r="G249">
        <v>0</v>
      </c>
      <c r="H249">
        <f t="shared" si="3"/>
        <v>1</v>
      </c>
    </row>
    <row r="250" spans="1:8">
      <c r="A250">
        <v>2029</v>
      </c>
      <c r="C250">
        <v>0</v>
      </c>
      <c r="D250">
        <v>0</v>
      </c>
      <c r="E250">
        <v>0</v>
      </c>
      <c r="F250">
        <v>1</v>
      </c>
      <c r="G250">
        <v>0</v>
      </c>
      <c r="H250">
        <f t="shared" si="3"/>
        <v>1</v>
      </c>
    </row>
    <row r="251" spans="1:8">
      <c r="A251">
        <v>2030</v>
      </c>
      <c r="C251">
        <v>0</v>
      </c>
      <c r="D251">
        <v>0</v>
      </c>
      <c r="E251">
        <v>1</v>
      </c>
      <c r="F251">
        <v>1</v>
      </c>
      <c r="G251">
        <v>0</v>
      </c>
      <c r="H251">
        <f t="shared" si="3"/>
        <v>2</v>
      </c>
    </row>
    <row r="252" spans="1:8">
      <c r="A252">
        <v>2031</v>
      </c>
      <c r="C252">
        <v>0</v>
      </c>
      <c r="D252">
        <v>0</v>
      </c>
      <c r="E252">
        <v>0</v>
      </c>
      <c r="F252">
        <v>0</v>
      </c>
      <c r="G252">
        <v>0</v>
      </c>
      <c r="H252">
        <f t="shared" si="3"/>
        <v>0</v>
      </c>
    </row>
    <row r="253" spans="1:8">
      <c r="A253">
        <v>2032</v>
      </c>
      <c r="C253">
        <v>0</v>
      </c>
      <c r="D253">
        <v>1</v>
      </c>
      <c r="E253">
        <v>1</v>
      </c>
      <c r="F253">
        <v>1</v>
      </c>
      <c r="G253">
        <v>0</v>
      </c>
      <c r="H253">
        <f t="shared" si="3"/>
        <v>3</v>
      </c>
    </row>
    <row r="254" spans="1:8">
      <c r="A254">
        <v>2033</v>
      </c>
      <c r="C254">
        <v>0</v>
      </c>
      <c r="D254">
        <v>1</v>
      </c>
      <c r="E254">
        <v>0</v>
      </c>
      <c r="F254">
        <v>0</v>
      </c>
      <c r="G254">
        <v>0</v>
      </c>
      <c r="H254">
        <f t="shared" si="3"/>
        <v>1</v>
      </c>
    </row>
    <row r="255" spans="1:8">
      <c r="A255">
        <v>2034</v>
      </c>
      <c r="C255">
        <v>0</v>
      </c>
      <c r="D255">
        <v>1</v>
      </c>
      <c r="E255">
        <v>1</v>
      </c>
      <c r="F255">
        <v>0</v>
      </c>
      <c r="G255">
        <v>0</v>
      </c>
      <c r="H255">
        <f t="shared" si="3"/>
        <v>2</v>
      </c>
    </row>
    <row r="256" spans="1:8">
      <c r="A256">
        <v>2035</v>
      </c>
      <c r="C256">
        <v>0</v>
      </c>
      <c r="D256">
        <v>0</v>
      </c>
      <c r="E256">
        <v>1</v>
      </c>
      <c r="F256">
        <v>1</v>
      </c>
      <c r="G256">
        <v>0</v>
      </c>
      <c r="H256">
        <f t="shared" si="3"/>
        <v>2</v>
      </c>
    </row>
    <row r="257" spans="1:8">
      <c r="A257">
        <v>2038</v>
      </c>
      <c r="C257">
        <v>0</v>
      </c>
      <c r="D257">
        <v>0</v>
      </c>
      <c r="E257">
        <v>1</v>
      </c>
      <c r="F257">
        <v>1</v>
      </c>
      <c r="G257">
        <v>0</v>
      </c>
      <c r="H257">
        <f t="shared" si="3"/>
        <v>2</v>
      </c>
    </row>
    <row r="258" spans="1:8">
      <c r="A258">
        <v>2049</v>
      </c>
      <c r="C258">
        <v>0</v>
      </c>
      <c r="D258">
        <v>1</v>
      </c>
      <c r="E258">
        <v>0</v>
      </c>
      <c r="F258">
        <v>1</v>
      </c>
      <c r="G258">
        <v>1</v>
      </c>
      <c r="H258">
        <f t="shared" si="3"/>
        <v>3</v>
      </c>
    </row>
    <row r="259" spans="1:8">
      <c r="A259">
        <v>2059</v>
      </c>
      <c r="C259">
        <v>1</v>
      </c>
      <c r="D259">
        <v>1</v>
      </c>
      <c r="E259">
        <v>1</v>
      </c>
      <c r="F259">
        <v>1</v>
      </c>
      <c r="G259">
        <v>0</v>
      </c>
      <c r="H259">
        <f t="shared" ref="H259:H322" si="4">SUM(C259:G259)</f>
        <v>4</v>
      </c>
    </row>
    <row r="260" spans="1:8">
      <c r="A260">
        <v>2061</v>
      </c>
      <c r="C260">
        <v>0</v>
      </c>
      <c r="D260">
        <v>0</v>
      </c>
      <c r="E260">
        <v>0</v>
      </c>
      <c r="F260">
        <v>0</v>
      </c>
      <c r="G260">
        <v>0</v>
      </c>
      <c r="H260">
        <f t="shared" si="4"/>
        <v>0</v>
      </c>
    </row>
    <row r="261" spans="1:8">
      <c r="A261">
        <v>2062</v>
      </c>
      <c r="C261">
        <v>0</v>
      </c>
      <c r="D261">
        <v>1</v>
      </c>
      <c r="E261">
        <v>0</v>
      </c>
      <c r="F261">
        <v>1</v>
      </c>
      <c r="G261">
        <v>1</v>
      </c>
      <c r="H261">
        <f t="shared" si="4"/>
        <v>3</v>
      </c>
    </row>
    <row r="262" spans="1:8">
      <c r="A262">
        <v>2063</v>
      </c>
      <c r="C262">
        <v>0</v>
      </c>
      <c r="D262">
        <v>1</v>
      </c>
      <c r="E262">
        <v>0</v>
      </c>
      <c r="F262">
        <v>1</v>
      </c>
      <c r="G262">
        <v>0</v>
      </c>
      <c r="H262">
        <f t="shared" si="4"/>
        <v>2</v>
      </c>
    </row>
    <row r="263" spans="1:8">
      <c r="A263">
        <v>2064</v>
      </c>
      <c r="C263">
        <v>0</v>
      </c>
      <c r="D263">
        <v>1</v>
      </c>
      <c r="E263">
        <v>0</v>
      </c>
      <c r="F263">
        <v>1</v>
      </c>
      <c r="G263">
        <v>0</v>
      </c>
      <c r="H263">
        <f t="shared" si="4"/>
        <v>2</v>
      </c>
    </row>
    <row r="264" spans="1:8">
      <c r="A264">
        <v>2066</v>
      </c>
      <c r="C264">
        <v>1</v>
      </c>
      <c r="D264">
        <v>1</v>
      </c>
      <c r="E264">
        <v>0</v>
      </c>
      <c r="F264">
        <v>1</v>
      </c>
      <c r="G264">
        <v>0</v>
      </c>
      <c r="H264">
        <f t="shared" si="4"/>
        <v>3</v>
      </c>
    </row>
    <row r="265" spans="1:8">
      <c r="A265">
        <v>2067</v>
      </c>
      <c r="C265">
        <v>0</v>
      </c>
      <c r="D265">
        <v>1</v>
      </c>
      <c r="E265">
        <v>0</v>
      </c>
      <c r="F265">
        <v>1</v>
      </c>
      <c r="G265">
        <v>0</v>
      </c>
      <c r="H265">
        <f t="shared" si="4"/>
        <v>2</v>
      </c>
    </row>
    <row r="266" spans="1:8">
      <c r="A266">
        <v>2101</v>
      </c>
      <c r="C266">
        <v>0</v>
      </c>
      <c r="D266">
        <v>1</v>
      </c>
      <c r="E266">
        <v>0</v>
      </c>
      <c r="F266">
        <v>1</v>
      </c>
      <c r="G266">
        <v>0</v>
      </c>
      <c r="H266">
        <f t="shared" si="4"/>
        <v>2</v>
      </c>
    </row>
    <row r="267" spans="1:8">
      <c r="A267">
        <v>2102</v>
      </c>
      <c r="C267">
        <v>1</v>
      </c>
      <c r="D267">
        <v>1</v>
      </c>
      <c r="E267">
        <v>0</v>
      </c>
      <c r="F267">
        <v>1</v>
      </c>
      <c r="G267">
        <v>0</v>
      </c>
      <c r="H267">
        <f t="shared" si="4"/>
        <v>3</v>
      </c>
    </row>
    <row r="268" spans="1:8">
      <c r="A268">
        <v>2103</v>
      </c>
      <c r="C268">
        <v>0</v>
      </c>
      <c r="D268">
        <v>0</v>
      </c>
      <c r="E268">
        <v>0</v>
      </c>
      <c r="F268">
        <v>0</v>
      </c>
      <c r="G268">
        <v>0</v>
      </c>
      <c r="H268">
        <f t="shared" si="4"/>
        <v>0</v>
      </c>
    </row>
    <row r="269" spans="1:8">
      <c r="A269">
        <v>2104</v>
      </c>
      <c r="C269">
        <v>0</v>
      </c>
      <c r="D269">
        <v>1</v>
      </c>
      <c r="E269">
        <v>0</v>
      </c>
      <c r="F269">
        <v>0</v>
      </c>
      <c r="G269">
        <v>0</v>
      </c>
      <c r="H269">
        <f t="shared" si="4"/>
        <v>1</v>
      </c>
    </row>
    <row r="270" spans="1:8">
      <c r="A270">
        <v>2105</v>
      </c>
      <c r="C270">
        <v>0</v>
      </c>
      <c r="D270">
        <v>0</v>
      </c>
      <c r="E270">
        <v>0</v>
      </c>
      <c r="F270">
        <v>1</v>
      </c>
      <c r="G270">
        <v>0</v>
      </c>
      <c r="H270">
        <f t="shared" si="4"/>
        <v>1</v>
      </c>
    </row>
    <row r="271" spans="1:8">
      <c r="A271">
        <v>2106</v>
      </c>
      <c r="C271">
        <v>1</v>
      </c>
      <c r="D271">
        <v>1</v>
      </c>
      <c r="E271">
        <v>0</v>
      </c>
      <c r="F271">
        <v>1</v>
      </c>
      <c r="G271">
        <v>0</v>
      </c>
      <c r="H271">
        <f t="shared" si="4"/>
        <v>3</v>
      </c>
    </row>
    <row r="272" spans="1:8">
      <c r="A272">
        <v>2107</v>
      </c>
      <c r="C272">
        <v>0</v>
      </c>
      <c r="D272">
        <v>1</v>
      </c>
      <c r="E272">
        <v>0</v>
      </c>
      <c r="F272">
        <v>1</v>
      </c>
      <c r="G272">
        <v>0</v>
      </c>
      <c r="H272">
        <f t="shared" si="4"/>
        <v>2</v>
      </c>
    </row>
    <row r="273" spans="1:8">
      <c r="A273">
        <v>2108</v>
      </c>
      <c r="C273">
        <v>1</v>
      </c>
      <c r="D273">
        <v>1</v>
      </c>
      <c r="E273">
        <v>0</v>
      </c>
      <c r="F273">
        <v>1</v>
      </c>
      <c r="G273">
        <v>0</v>
      </c>
      <c r="H273">
        <f t="shared" si="4"/>
        <v>3</v>
      </c>
    </row>
    <row r="274" spans="1:8">
      <c r="A274">
        <v>2109</v>
      </c>
      <c r="C274">
        <v>0</v>
      </c>
      <c r="D274">
        <v>0</v>
      </c>
      <c r="E274">
        <v>0</v>
      </c>
      <c r="F274">
        <v>1</v>
      </c>
      <c r="G274">
        <v>0</v>
      </c>
      <c r="H274">
        <f t="shared" si="4"/>
        <v>1</v>
      </c>
    </row>
    <row r="275" spans="1:8">
      <c r="A275">
        <v>2114</v>
      </c>
      <c r="C275">
        <v>1</v>
      </c>
      <c r="D275">
        <v>1</v>
      </c>
      <c r="E275">
        <v>1</v>
      </c>
      <c r="F275">
        <v>1</v>
      </c>
      <c r="G275">
        <v>0</v>
      </c>
      <c r="H275">
        <f t="shared" si="4"/>
        <v>4</v>
      </c>
    </row>
    <row r="276" spans="1:8">
      <c r="A276">
        <v>2115</v>
      </c>
      <c r="C276">
        <v>1</v>
      </c>
      <c r="D276">
        <v>1</v>
      </c>
      <c r="E276">
        <v>0</v>
      </c>
      <c r="F276">
        <v>1</v>
      </c>
      <c r="G276">
        <v>0</v>
      </c>
      <c r="H276">
        <f t="shared" si="4"/>
        <v>3</v>
      </c>
    </row>
    <row r="277" spans="1:8">
      <c r="A277">
        <v>2201</v>
      </c>
      <c r="C277">
        <v>0</v>
      </c>
      <c r="D277">
        <v>1</v>
      </c>
      <c r="E277">
        <v>0</v>
      </c>
      <c r="F277">
        <v>0</v>
      </c>
      <c r="G277">
        <v>0</v>
      </c>
      <c r="H277">
        <f t="shared" si="4"/>
        <v>1</v>
      </c>
    </row>
    <row r="278" spans="1:8">
      <c r="A278">
        <v>2204</v>
      </c>
      <c r="C278">
        <v>0</v>
      </c>
      <c r="D278">
        <v>1</v>
      </c>
      <c r="E278">
        <v>1</v>
      </c>
      <c r="F278">
        <v>1</v>
      </c>
      <c r="G278">
        <v>0</v>
      </c>
      <c r="H278">
        <f t="shared" si="4"/>
        <v>3</v>
      </c>
    </row>
    <row r="279" spans="1:8">
      <c r="A279">
        <v>2206</v>
      </c>
      <c r="C279">
        <v>1</v>
      </c>
      <c r="D279">
        <v>1</v>
      </c>
      <c r="E279">
        <v>0</v>
      </c>
      <c r="F279">
        <v>0</v>
      </c>
      <c r="G279">
        <v>0</v>
      </c>
      <c r="H279">
        <f t="shared" si="4"/>
        <v>2</v>
      </c>
    </row>
    <row r="280" spans="1:8">
      <c r="A280">
        <v>2207</v>
      </c>
      <c r="C280">
        <v>0</v>
      </c>
      <c r="D280">
        <v>1</v>
      </c>
      <c r="E280">
        <v>0</v>
      </c>
      <c r="F280">
        <v>1</v>
      </c>
      <c r="G280">
        <v>0</v>
      </c>
      <c r="H280">
        <f t="shared" si="4"/>
        <v>2</v>
      </c>
    </row>
    <row r="281" spans="1:8">
      <c r="A281">
        <v>2208</v>
      </c>
      <c r="C281">
        <v>0</v>
      </c>
      <c r="D281">
        <v>1</v>
      </c>
      <c r="E281">
        <v>2</v>
      </c>
      <c r="F281">
        <v>1</v>
      </c>
      <c r="G281">
        <v>0</v>
      </c>
      <c r="H281">
        <f t="shared" si="4"/>
        <v>4</v>
      </c>
    </row>
    <row r="282" spans="1:8">
      <c r="A282">
        <v>2221</v>
      </c>
      <c r="C282">
        <v>0</v>
      </c>
      <c r="D282">
        <v>1</v>
      </c>
      <c r="E282">
        <v>0</v>
      </c>
      <c r="F282">
        <v>0</v>
      </c>
      <c r="G282">
        <v>0</v>
      </c>
      <c r="H282">
        <f t="shared" si="4"/>
        <v>1</v>
      </c>
    </row>
    <row r="283" spans="1:8">
      <c r="A283">
        <v>2227</v>
      </c>
      <c r="C283">
        <v>0</v>
      </c>
      <c r="D283">
        <v>0</v>
      </c>
      <c r="E283">
        <v>0</v>
      </c>
      <c r="F283">
        <v>0</v>
      </c>
      <c r="G283">
        <v>0</v>
      </c>
      <c r="H283">
        <f t="shared" si="4"/>
        <v>0</v>
      </c>
    </row>
    <row r="284" spans="1:8">
      <c r="A284">
        <v>2228</v>
      </c>
      <c r="C284">
        <v>1</v>
      </c>
      <c r="D284">
        <v>1</v>
      </c>
      <c r="E284">
        <v>1</v>
      </c>
      <c r="F284">
        <v>1</v>
      </c>
      <c r="G284">
        <v>0</v>
      </c>
      <c r="H284">
        <f t="shared" si="4"/>
        <v>4</v>
      </c>
    </row>
    <row r="285" spans="1:8">
      <c r="A285">
        <v>2230</v>
      </c>
      <c r="C285">
        <v>0</v>
      </c>
      <c r="D285">
        <v>1</v>
      </c>
      <c r="E285">
        <v>0</v>
      </c>
      <c r="F285">
        <v>0</v>
      </c>
      <c r="G285">
        <v>0</v>
      </c>
      <c r="H285">
        <f t="shared" si="4"/>
        <v>1</v>
      </c>
    </row>
    <row r="286" spans="1:8">
      <c r="A286">
        <v>2231</v>
      </c>
      <c r="C286">
        <v>1</v>
      </c>
      <c r="D286">
        <v>1</v>
      </c>
      <c r="E286">
        <v>1</v>
      </c>
      <c r="F286">
        <v>1</v>
      </c>
      <c r="G286">
        <v>0</v>
      </c>
      <c r="H286">
        <f t="shared" si="4"/>
        <v>4</v>
      </c>
    </row>
    <row r="287" spans="1:8">
      <c r="A287">
        <v>2233</v>
      </c>
      <c r="C287">
        <v>0</v>
      </c>
      <c r="D287">
        <v>1</v>
      </c>
      <c r="E287">
        <v>0</v>
      </c>
      <c r="F287">
        <v>0</v>
      </c>
      <c r="G287">
        <v>0</v>
      </c>
      <c r="H287">
        <f t="shared" si="4"/>
        <v>1</v>
      </c>
    </row>
    <row r="288" spans="1:8">
      <c r="A288">
        <v>2235</v>
      </c>
      <c r="C288">
        <v>1</v>
      </c>
      <c r="D288">
        <v>1</v>
      </c>
      <c r="E288">
        <v>1</v>
      </c>
      <c r="F288">
        <v>0</v>
      </c>
      <c r="G288">
        <v>0</v>
      </c>
      <c r="H288">
        <f t="shared" si="4"/>
        <v>3</v>
      </c>
    </row>
    <row r="289" spans="1:8">
      <c r="A289">
        <v>2236</v>
      </c>
      <c r="C289">
        <v>0</v>
      </c>
      <c r="D289">
        <v>1</v>
      </c>
      <c r="E289">
        <v>0</v>
      </c>
      <c r="F289">
        <v>0</v>
      </c>
      <c r="G289">
        <v>0</v>
      </c>
      <c r="H289">
        <f t="shared" si="4"/>
        <v>1</v>
      </c>
    </row>
    <row r="290" spans="1:8">
      <c r="A290">
        <v>2301</v>
      </c>
      <c r="C290">
        <v>1</v>
      </c>
      <c r="D290">
        <v>1</v>
      </c>
      <c r="E290">
        <v>0</v>
      </c>
      <c r="F290">
        <v>1</v>
      </c>
      <c r="G290">
        <v>0</v>
      </c>
      <c r="H290">
        <f t="shared" si="4"/>
        <v>3</v>
      </c>
    </row>
    <row r="291" spans="1:8">
      <c r="A291">
        <v>2302</v>
      </c>
      <c r="C291">
        <v>0</v>
      </c>
      <c r="D291">
        <v>1</v>
      </c>
      <c r="E291">
        <v>0</v>
      </c>
      <c r="F291">
        <v>1</v>
      </c>
      <c r="G291">
        <v>0</v>
      </c>
      <c r="H291">
        <f t="shared" si="4"/>
        <v>2</v>
      </c>
    </row>
    <row r="292" spans="1:8">
      <c r="A292">
        <v>2303</v>
      </c>
      <c r="C292">
        <v>0</v>
      </c>
      <c r="D292">
        <v>0</v>
      </c>
      <c r="E292">
        <v>0</v>
      </c>
      <c r="F292">
        <v>1</v>
      </c>
      <c r="G292">
        <v>1</v>
      </c>
      <c r="H292">
        <f t="shared" si="4"/>
        <v>2</v>
      </c>
    </row>
    <row r="293" spans="1:8">
      <c r="A293">
        <v>2305</v>
      </c>
      <c r="C293">
        <v>0</v>
      </c>
      <c r="D293">
        <v>0</v>
      </c>
      <c r="E293">
        <v>0</v>
      </c>
      <c r="F293">
        <v>1</v>
      </c>
      <c r="G293">
        <v>0</v>
      </c>
      <c r="H293">
        <f t="shared" si="4"/>
        <v>1</v>
      </c>
    </row>
    <row r="294" spans="1:8">
      <c r="A294">
        <v>2308</v>
      </c>
      <c r="C294">
        <v>1</v>
      </c>
      <c r="D294">
        <v>1</v>
      </c>
      <c r="E294">
        <v>0</v>
      </c>
      <c r="F294">
        <v>1</v>
      </c>
      <c r="G294">
        <v>1</v>
      </c>
      <c r="H294">
        <f t="shared" si="4"/>
        <v>4</v>
      </c>
    </row>
    <row r="295" spans="1:8">
      <c r="A295">
        <v>2311</v>
      </c>
      <c r="C295">
        <v>0</v>
      </c>
      <c r="D295">
        <v>1</v>
      </c>
      <c r="E295">
        <v>0</v>
      </c>
      <c r="F295">
        <v>1</v>
      </c>
      <c r="G295">
        <v>0</v>
      </c>
      <c r="H295">
        <f t="shared" si="4"/>
        <v>2</v>
      </c>
    </row>
    <row r="296" spans="1:8">
      <c r="A296">
        <v>2312</v>
      </c>
      <c r="C296">
        <v>0</v>
      </c>
      <c r="D296">
        <v>0</v>
      </c>
      <c r="E296">
        <v>1</v>
      </c>
      <c r="F296">
        <v>0</v>
      </c>
      <c r="G296">
        <v>0</v>
      </c>
      <c r="H296">
        <f t="shared" si="4"/>
        <v>1</v>
      </c>
    </row>
    <row r="297" spans="1:8">
      <c r="A297">
        <v>2313</v>
      </c>
      <c r="C297">
        <v>1</v>
      </c>
      <c r="D297">
        <v>1</v>
      </c>
      <c r="E297">
        <v>2</v>
      </c>
      <c r="F297">
        <v>1</v>
      </c>
      <c r="G297">
        <v>1</v>
      </c>
      <c r="H297">
        <f t="shared" si="4"/>
        <v>6</v>
      </c>
    </row>
    <row r="298" spans="1:8">
      <c r="A298">
        <v>2314</v>
      </c>
      <c r="C298">
        <v>1</v>
      </c>
      <c r="D298">
        <v>1</v>
      </c>
      <c r="E298">
        <v>2</v>
      </c>
      <c r="F298">
        <v>0</v>
      </c>
      <c r="G298">
        <v>0</v>
      </c>
      <c r="H298">
        <f t="shared" si="4"/>
        <v>4</v>
      </c>
    </row>
    <row r="299" spans="1:8">
      <c r="A299">
        <v>2316</v>
      </c>
      <c r="C299">
        <v>0</v>
      </c>
      <c r="D299">
        <v>1</v>
      </c>
      <c r="E299">
        <v>0</v>
      </c>
      <c r="F299">
        <v>1</v>
      </c>
      <c r="G299">
        <v>0</v>
      </c>
      <c r="H299">
        <f t="shared" si="4"/>
        <v>2</v>
      </c>
    </row>
    <row r="300" spans="1:8">
      <c r="A300">
        <v>2317</v>
      </c>
      <c r="C300">
        <v>0</v>
      </c>
      <c r="D300">
        <v>1</v>
      </c>
      <c r="E300">
        <v>0</v>
      </c>
      <c r="F300">
        <v>0</v>
      </c>
      <c r="G300">
        <v>0</v>
      </c>
      <c r="H300">
        <f t="shared" si="4"/>
        <v>1</v>
      </c>
    </row>
    <row r="301" spans="1:8">
      <c r="A301">
        <v>2321</v>
      </c>
      <c r="C301">
        <v>0</v>
      </c>
      <c r="D301">
        <v>1</v>
      </c>
      <c r="E301">
        <v>1</v>
      </c>
      <c r="F301">
        <v>0</v>
      </c>
      <c r="G301">
        <v>0</v>
      </c>
      <c r="H301">
        <f t="shared" si="4"/>
        <v>2</v>
      </c>
    </row>
    <row r="302" spans="1:8">
      <c r="A302">
        <v>2323</v>
      </c>
      <c r="C302">
        <v>0</v>
      </c>
      <c r="D302">
        <v>0</v>
      </c>
      <c r="E302">
        <v>0</v>
      </c>
      <c r="F302">
        <v>0</v>
      </c>
      <c r="G302">
        <v>0</v>
      </c>
      <c r="H302">
        <f t="shared" si="4"/>
        <v>0</v>
      </c>
    </row>
    <row r="303" spans="1:8">
      <c r="A303">
        <v>2324</v>
      </c>
      <c r="C303">
        <v>0</v>
      </c>
      <c r="D303">
        <v>1</v>
      </c>
      <c r="E303">
        <v>1</v>
      </c>
      <c r="F303">
        <v>0</v>
      </c>
      <c r="G303">
        <v>0</v>
      </c>
      <c r="H303">
        <f t="shared" si="4"/>
        <v>2</v>
      </c>
    </row>
    <row r="304" spans="1:8">
      <c r="A304">
        <v>2325</v>
      </c>
      <c r="C304">
        <v>0</v>
      </c>
      <c r="D304">
        <v>0</v>
      </c>
      <c r="E304">
        <v>0</v>
      </c>
      <c r="F304">
        <v>1</v>
      </c>
      <c r="G304">
        <v>0</v>
      </c>
      <c r="H304">
        <f t="shared" si="4"/>
        <v>1</v>
      </c>
    </row>
    <row r="305" spans="1:8">
      <c r="A305">
        <v>2327</v>
      </c>
      <c r="C305">
        <v>1</v>
      </c>
      <c r="D305">
        <v>1</v>
      </c>
      <c r="E305">
        <v>0</v>
      </c>
      <c r="F305">
        <v>1</v>
      </c>
      <c r="G305">
        <v>0</v>
      </c>
      <c r="H305">
        <f t="shared" si="4"/>
        <v>3</v>
      </c>
    </row>
    <row r="306" spans="1:8">
      <c r="A306">
        <v>2328</v>
      </c>
      <c r="C306">
        <v>0</v>
      </c>
      <c r="D306">
        <v>1</v>
      </c>
      <c r="E306">
        <v>0</v>
      </c>
      <c r="F306">
        <v>0</v>
      </c>
      <c r="G306">
        <v>1</v>
      </c>
      <c r="H306">
        <f t="shared" si="4"/>
        <v>2</v>
      </c>
    </row>
    <row r="307" spans="1:8">
      <c r="A307">
        <v>2329</v>
      </c>
      <c r="C307">
        <v>0</v>
      </c>
      <c r="D307">
        <v>0</v>
      </c>
      <c r="E307">
        <v>0</v>
      </c>
      <c r="F307">
        <v>1</v>
      </c>
      <c r="G307">
        <v>1</v>
      </c>
      <c r="H307">
        <f t="shared" si="4"/>
        <v>2</v>
      </c>
    </row>
    <row r="308" spans="1:8">
      <c r="A308">
        <v>2330</v>
      </c>
      <c r="C308">
        <v>0</v>
      </c>
      <c r="D308">
        <v>0</v>
      </c>
      <c r="E308">
        <v>1</v>
      </c>
      <c r="F308">
        <v>1</v>
      </c>
      <c r="G308">
        <v>0</v>
      </c>
      <c r="H308">
        <f t="shared" si="4"/>
        <v>2</v>
      </c>
    </row>
    <row r="309" spans="1:8">
      <c r="A309">
        <v>2331</v>
      </c>
      <c r="C309">
        <v>1</v>
      </c>
      <c r="D309">
        <v>1</v>
      </c>
      <c r="E309">
        <v>1</v>
      </c>
      <c r="F309">
        <v>1</v>
      </c>
      <c r="G309">
        <v>0</v>
      </c>
      <c r="H309">
        <f t="shared" si="4"/>
        <v>4</v>
      </c>
    </row>
    <row r="310" spans="1:8">
      <c r="A310">
        <v>2332</v>
      </c>
      <c r="C310">
        <v>0</v>
      </c>
      <c r="D310">
        <v>0</v>
      </c>
      <c r="E310">
        <v>2</v>
      </c>
      <c r="F310">
        <v>0</v>
      </c>
      <c r="G310">
        <v>0</v>
      </c>
      <c r="H310">
        <f t="shared" si="4"/>
        <v>2</v>
      </c>
    </row>
    <row r="311" spans="1:8">
      <c r="A311">
        <v>2337</v>
      </c>
      <c r="C311">
        <v>0</v>
      </c>
      <c r="D311">
        <v>1</v>
      </c>
      <c r="E311">
        <v>1</v>
      </c>
      <c r="F311">
        <v>1</v>
      </c>
      <c r="G311">
        <v>0</v>
      </c>
      <c r="H311">
        <f t="shared" si="4"/>
        <v>3</v>
      </c>
    </row>
    <row r="312" spans="1:8">
      <c r="A312">
        <v>2338</v>
      </c>
      <c r="C312">
        <v>1</v>
      </c>
      <c r="D312">
        <v>1</v>
      </c>
      <c r="E312">
        <v>0</v>
      </c>
      <c r="F312">
        <v>1</v>
      </c>
      <c r="G312">
        <v>0</v>
      </c>
      <c r="H312">
        <f t="shared" si="4"/>
        <v>3</v>
      </c>
    </row>
    <row r="313" spans="1:8">
      <c r="A313">
        <v>2340</v>
      </c>
      <c r="C313">
        <v>1</v>
      </c>
      <c r="D313">
        <v>1</v>
      </c>
      <c r="E313">
        <v>0</v>
      </c>
      <c r="F313">
        <v>1</v>
      </c>
      <c r="G313">
        <v>0</v>
      </c>
      <c r="H313">
        <f t="shared" si="4"/>
        <v>3</v>
      </c>
    </row>
    <row r="314" spans="1:8">
      <c r="A314">
        <v>2342</v>
      </c>
      <c r="C314">
        <v>0</v>
      </c>
      <c r="D314">
        <v>1</v>
      </c>
      <c r="E314">
        <v>0</v>
      </c>
      <c r="F314">
        <v>0</v>
      </c>
      <c r="G314">
        <v>0</v>
      </c>
      <c r="H314">
        <f t="shared" si="4"/>
        <v>1</v>
      </c>
    </row>
    <row r="315" spans="1:8">
      <c r="A315">
        <v>2344</v>
      </c>
      <c r="C315">
        <v>0</v>
      </c>
      <c r="D315">
        <v>0</v>
      </c>
      <c r="E315">
        <v>0</v>
      </c>
      <c r="F315">
        <v>1</v>
      </c>
      <c r="G315">
        <v>0</v>
      </c>
      <c r="H315">
        <f t="shared" si="4"/>
        <v>1</v>
      </c>
    </row>
    <row r="316" spans="1:8">
      <c r="A316">
        <v>2345</v>
      </c>
      <c r="C316">
        <v>1</v>
      </c>
      <c r="D316">
        <v>1</v>
      </c>
      <c r="E316">
        <v>1</v>
      </c>
      <c r="F316">
        <v>1</v>
      </c>
      <c r="G316">
        <v>0</v>
      </c>
      <c r="H316">
        <f t="shared" si="4"/>
        <v>4</v>
      </c>
    </row>
    <row r="317" spans="1:8">
      <c r="A317">
        <v>2347</v>
      </c>
      <c r="C317">
        <v>0</v>
      </c>
      <c r="D317">
        <v>0</v>
      </c>
      <c r="E317">
        <v>0</v>
      </c>
      <c r="F317">
        <v>0</v>
      </c>
      <c r="G317">
        <v>0</v>
      </c>
      <c r="H317">
        <f t="shared" si="4"/>
        <v>0</v>
      </c>
    </row>
    <row r="318" spans="1:8">
      <c r="A318">
        <v>2348</v>
      </c>
      <c r="C318">
        <v>0</v>
      </c>
      <c r="D318">
        <v>1</v>
      </c>
      <c r="E318">
        <v>1</v>
      </c>
      <c r="F318">
        <v>0</v>
      </c>
      <c r="G318">
        <v>0</v>
      </c>
      <c r="H318">
        <f t="shared" si="4"/>
        <v>2</v>
      </c>
    </row>
    <row r="319" spans="1:8">
      <c r="A319">
        <v>2349</v>
      </c>
      <c r="C319">
        <v>0</v>
      </c>
      <c r="D319">
        <v>0</v>
      </c>
      <c r="E319">
        <v>0</v>
      </c>
      <c r="F319">
        <v>0</v>
      </c>
      <c r="G319">
        <v>0</v>
      </c>
      <c r="H319">
        <f t="shared" si="4"/>
        <v>0</v>
      </c>
    </row>
    <row r="320" spans="1:8">
      <c r="A320">
        <v>2351</v>
      </c>
      <c r="C320">
        <v>0</v>
      </c>
      <c r="D320">
        <v>1</v>
      </c>
      <c r="E320">
        <v>0</v>
      </c>
      <c r="F320">
        <v>1</v>
      </c>
      <c r="G320">
        <v>0</v>
      </c>
      <c r="H320">
        <f t="shared" si="4"/>
        <v>2</v>
      </c>
    </row>
    <row r="321" spans="1:8">
      <c r="A321">
        <v>2352</v>
      </c>
      <c r="C321">
        <v>0</v>
      </c>
      <c r="D321">
        <v>0</v>
      </c>
      <c r="E321">
        <v>1</v>
      </c>
      <c r="F321">
        <v>0</v>
      </c>
      <c r="G321">
        <v>0</v>
      </c>
      <c r="H321">
        <f t="shared" si="4"/>
        <v>1</v>
      </c>
    </row>
    <row r="322" spans="1:8">
      <c r="A322">
        <v>2353</v>
      </c>
      <c r="C322">
        <v>0</v>
      </c>
      <c r="D322">
        <v>1</v>
      </c>
      <c r="E322">
        <v>0</v>
      </c>
      <c r="F322">
        <v>0</v>
      </c>
      <c r="G322">
        <v>0</v>
      </c>
      <c r="H322">
        <f t="shared" si="4"/>
        <v>1</v>
      </c>
    </row>
    <row r="323" spans="1:8">
      <c r="A323">
        <v>2354</v>
      </c>
      <c r="C323">
        <v>0</v>
      </c>
      <c r="D323">
        <v>0</v>
      </c>
      <c r="E323">
        <v>0</v>
      </c>
      <c r="F323">
        <v>0</v>
      </c>
      <c r="G323">
        <v>0</v>
      </c>
      <c r="H323">
        <f t="shared" ref="H323:H386" si="5">SUM(C323:G323)</f>
        <v>0</v>
      </c>
    </row>
    <row r="324" spans="1:8">
      <c r="A324">
        <v>2355</v>
      </c>
      <c r="C324">
        <v>1</v>
      </c>
      <c r="D324">
        <v>1</v>
      </c>
      <c r="E324">
        <v>0</v>
      </c>
      <c r="F324">
        <v>1</v>
      </c>
      <c r="G324">
        <v>0</v>
      </c>
      <c r="H324">
        <f t="shared" si="5"/>
        <v>3</v>
      </c>
    </row>
    <row r="325" spans="1:8">
      <c r="A325">
        <v>2356</v>
      </c>
      <c r="C325">
        <v>0</v>
      </c>
      <c r="D325">
        <v>1</v>
      </c>
      <c r="E325">
        <v>2</v>
      </c>
      <c r="F325">
        <v>1</v>
      </c>
      <c r="G325">
        <v>0</v>
      </c>
      <c r="H325">
        <f t="shared" si="5"/>
        <v>4</v>
      </c>
    </row>
    <row r="326" spans="1:8">
      <c r="A326">
        <v>2357</v>
      </c>
      <c r="C326">
        <v>0</v>
      </c>
      <c r="D326">
        <v>0</v>
      </c>
      <c r="E326">
        <v>0</v>
      </c>
      <c r="F326">
        <v>0</v>
      </c>
      <c r="G326">
        <v>0</v>
      </c>
      <c r="H326">
        <f t="shared" si="5"/>
        <v>0</v>
      </c>
    </row>
    <row r="327" spans="1:8">
      <c r="A327">
        <v>2358</v>
      </c>
      <c r="C327">
        <v>0</v>
      </c>
      <c r="D327">
        <v>0</v>
      </c>
      <c r="E327">
        <v>1</v>
      </c>
      <c r="F327">
        <v>1</v>
      </c>
      <c r="G327">
        <v>0</v>
      </c>
      <c r="H327">
        <f t="shared" si="5"/>
        <v>2</v>
      </c>
    </row>
    <row r="328" spans="1:8">
      <c r="A328">
        <v>2359</v>
      </c>
      <c r="C328">
        <v>0</v>
      </c>
      <c r="D328">
        <v>1</v>
      </c>
      <c r="E328">
        <v>0</v>
      </c>
      <c r="F328">
        <v>1</v>
      </c>
      <c r="G328">
        <v>0</v>
      </c>
      <c r="H328">
        <f t="shared" si="5"/>
        <v>2</v>
      </c>
    </row>
    <row r="329" spans="1:8">
      <c r="A329">
        <v>2360</v>
      </c>
      <c r="C329">
        <v>0</v>
      </c>
      <c r="D329">
        <v>1</v>
      </c>
      <c r="E329">
        <v>0</v>
      </c>
      <c r="F329">
        <v>0</v>
      </c>
      <c r="G329">
        <v>0</v>
      </c>
      <c r="H329">
        <f t="shared" si="5"/>
        <v>1</v>
      </c>
    </row>
    <row r="330" spans="1:8">
      <c r="A330">
        <v>2361</v>
      </c>
      <c r="C330">
        <v>1</v>
      </c>
      <c r="D330">
        <v>1</v>
      </c>
      <c r="E330">
        <v>0</v>
      </c>
      <c r="F330">
        <v>1</v>
      </c>
      <c r="G330">
        <v>0</v>
      </c>
      <c r="H330">
        <f t="shared" si="5"/>
        <v>3</v>
      </c>
    </row>
    <row r="331" spans="1:8">
      <c r="A331">
        <v>2362</v>
      </c>
      <c r="C331">
        <v>0</v>
      </c>
      <c r="D331">
        <v>0</v>
      </c>
      <c r="E331">
        <v>1</v>
      </c>
      <c r="F331">
        <v>0</v>
      </c>
      <c r="G331">
        <v>0</v>
      </c>
      <c r="H331">
        <f t="shared" si="5"/>
        <v>1</v>
      </c>
    </row>
    <row r="332" spans="1:8">
      <c r="A332">
        <v>2363</v>
      </c>
      <c r="C332">
        <v>1</v>
      </c>
      <c r="D332">
        <v>1</v>
      </c>
      <c r="E332">
        <v>0</v>
      </c>
      <c r="F332">
        <v>0</v>
      </c>
      <c r="G332">
        <v>0</v>
      </c>
      <c r="H332">
        <f t="shared" si="5"/>
        <v>2</v>
      </c>
    </row>
    <row r="333" spans="1:8">
      <c r="A333">
        <v>2364</v>
      </c>
      <c r="C333">
        <v>1</v>
      </c>
      <c r="D333">
        <v>1</v>
      </c>
      <c r="E333">
        <v>1</v>
      </c>
      <c r="F333">
        <v>1</v>
      </c>
      <c r="G333">
        <v>0</v>
      </c>
      <c r="H333">
        <f t="shared" si="5"/>
        <v>4</v>
      </c>
    </row>
    <row r="334" spans="1:8">
      <c r="A334">
        <v>2365</v>
      </c>
      <c r="C334">
        <v>0</v>
      </c>
      <c r="D334">
        <v>1</v>
      </c>
      <c r="E334">
        <v>0</v>
      </c>
      <c r="F334">
        <v>1</v>
      </c>
      <c r="G334">
        <v>0</v>
      </c>
      <c r="H334">
        <f t="shared" si="5"/>
        <v>2</v>
      </c>
    </row>
    <row r="335" spans="1:8">
      <c r="A335">
        <v>2367</v>
      </c>
      <c r="C335">
        <v>1</v>
      </c>
      <c r="D335">
        <v>1</v>
      </c>
      <c r="E335">
        <v>0</v>
      </c>
      <c r="F335">
        <v>1</v>
      </c>
      <c r="G335">
        <v>0</v>
      </c>
      <c r="H335">
        <f t="shared" si="5"/>
        <v>3</v>
      </c>
    </row>
    <row r="336" spans="1:8">
      <c r="A336">
        <v>2368</v>
      </c>
      <c r="C336">
        <v>0</v>
      </c>
      <c r="D336">
        <v>1</v>
      </c>
      <c r="E336">
        <v>1</v>
      </c>
      <c r="F336">
        <v>0</v>
      </c>
      <c r="G336">
        <v>0</v>
      </c>
      <c r="H336">
        <f t="shared" si="5"/>
        <v>2</v>
      </c>
    </row>
    <row r="337" spans="1:8">
      <c r="A337">
        <v>2369</v>
      </c>
      <c r="C337">
        <v>0</v>
      </c>
      <c r="D337">
        <v>1</v>
      </c>
      <c r="E337">
        <v>0</v>
      </c>
      <c r="F337">
        <v>1</v>
      </c>
      <c r="G337">
        <v>0</v>
      </c>
      <c r="H337">
        <f t="shared" si="5"/>
        <v>2</v>
      </c>
    </row>
    <row r="338" spans="1:8">
      <c r="A338">
        <v>2371</v>
      </c>
      <c r="C338">
        <v>0</v>
      </c>
      <c r="D338">
        <v>0</v>
      </c>
      <c r="E338">
        <v>2</v>
      </c>
      <c r="F338">
        <v>0</v>
      </c>
      <c r="G338">
        <v>0</v>
      </c>
      <c r="H338">
        <f t="shared" si="5"/>
        <v>2</v>
      </c>
    </row>
    <row r="339" spans="1:8">
      <c r="A339">
        <v>2373</v>
      </c>
      <c r="C339">
        <v>0</v>
      </c>
      <c r="D339">
        <v>1</v>
      </c>
      <c r="E339">
        <v>0</v>
      </c>
      <c r="F339">
        <v>0</v>
      </c>
      <c r="G339">
        <v>0</v>
      </c>
      <c r="H339">
        <f t="shared" si="5"/>
        <v>1</v>
      </c>
    </row>
    <row r="340" spans="1:8">
      <c r="A340">
        <v>2374</v>
      </c>
      <c r="C340">
        <v>1</v>
      </c>
      <c r="D340">
        <v>1</v>
      </c>
      <c r="E340">
        <v>0</v>
      </c>
      <c r="F340">
        <v>0</v>
      </c>
      <c r="G340">
        <v>0</v>
      </c>
      <c r="H340">
        <f t="shared" si="5"/>
        <v>2</v>
      </c>
    </row>
    <row r="341" spans="1:8">
      <c r="A341">
        <v>2375</v>
      </c>
      <c r="C341">
        <v>0</v>
      </c>
      <c r="D341">
        <v>0</v>
      </c>
      <c r="E341">
        <v>1</v>
      </c>
      <c r="F341">
        <v>0</v>
      </c>
      <c r="G341">
        <v>0</v>
      </c>
      <c r="H341">
        <f t="shared" si="5"/>
        <v>1</v>
      </c>
    </row>
    <row r="342" spans="1:8">
      <c r="A342">
        <v>2376</v>
      </c>
      <c r="C342">
        <v>1</v>
      </c>
      <c r="D342">
        <v>1</v>
      </c>
      <c r="E342">
        <v>2</v>
      </c>
      <c r="F342">
        <v>0</v>
      </c>
      <c r="G342">
        <v>0</v>
      </c>
      <c r="H342">
        <f t="shared" si="5"/>
        <v>4</v>
      </c>
    </row>
    <row r="343" spans="1:8">
      <c r="A343">
        <v>2377</v>
      </c>
      <c r="C343">
        <v>1</v>
      </c>
      <c r="D343">
        <v>1</v>
      </c>
      <c r="E343">
        <v>2</v>
      </c>
      <c r="F343">
        <v>1</v>
      </c>
      <c r="G343">
        <v>0</v>
      </c>
      <c r="H343">
        <f t="shared" si="5"/>
        <v>5</v>
      </c>
    </row>
    <row r="344" spans="1:8">
      <c r="A344">
        <v>2379</v>
      </c>
      <c r="C344">
        <v>0</v>
      </c>
      <c r="D344">
        <v>1</v>
      </c>
      <c r="E344">
        <v>1</v>
      </c>
      <c r="F344">
        <v>0</v>
      </c>
      <c r="G344">
        <v>0</v>
      </c>
      <c r="H344">
        <f t="shared" si="5"/>
        <v>2</v>
      </c>
    </row>
    <row r="345" spans="1:8">
      <c r="A345">
        <v>2380</v>
      </c>
      <c r="C345">
        <v>0</v>
      </c>
      <c r="D345">
        <v>1</v>
      </c>
      <c r="E345">
        <v>0</v>
      </c>
      <c r="F345">
        <v>1</v>
      </c>
      <c r="G345">
        <v>0</v>
      </c>
      <c r="H345">
        <f t="shared" si="5"/>
        <v>2</v>
      </c>
    </row>
    <row r="346" spans="1:8">
      <c r="A346">
        <v>2382</v>
      </c>
      <c r="C346">
        <v>0</v>
      </c>
      <c r="D346">
        <v>1</v>
      </c>
      <c r="E346">
        <v>0</v>
      </c>
      <c r="F346">
        <v>1</v>
      </c>
      <c r="G346">
        <v>0</v>
      </c>
      <c r="H346">
        <f t="shared" si="5"/>
        <v>2</v>
      </c>
    </row>
    <row r="347" spans="1:8">
      <c r="A347">
        <v>2383</v>
      </c>
      <c r="C347">
        <v>1</v>
      </c>
      <c r="D347">
        <v>1</v>
      </c>
      <c r="E347">
        <v>2</v>
      </c>
      <c r="F347">
        <v>1</v>
      </c>
      <c r="G347">
        <v>0</v>
      </c>
      <c r="H347">
        <f t="shared" si="5"/>
        <v>5</v>
      </c>
    </row>
    <row r="348" spans="1:8">
      <c r="A348">
        <v>2385</v>
      </c>
      <c r="C348">
        <v>0</v>
      </c>
      <c r="D348">
        <v>0</v>
      </c>
      <c r="E348">
        <v>0</v>
      </c>
      <c r="F348">
        <v>1</v>
      </c>
      <c r="G348">
        <v>0</v>
      </c>
      <c r="H348">
        <f t="shared" si="5"/>
        <v>1</v>
      </c>
    </row>
    <row r="349" spans="1:8">
      <c r="A349">
        <v>2387</v>
      </c>
      <c r="C349">
        <v>1</v>
      </c>
      <c r="D349">
        <v>1</v>
      </c>
      <c r="E349">
        <v>1</v>
      </c>
      <c r="F349">
        <v>1</v>
      </c>
      <c r="G349">
        <v>0</v>
      </c>
      <c r="H349">
        <f t="shared" si="5"/>
        <v>4</v>
      </c>
    </row>
    <row r="350" spans="1:8">
      <c r="A350">
        <v>2388</v>
      </c>
      <c r="C350">
        <v>1</v>
      </c>
      <c r="D350">
        <v>1</v>
      </c>
      <c r="E350">
        <v>2</v>
      </c>
      <c r="F350">
        <v>0</v>
      </c>
      <c r="G350">
        <v>0</v>
      </c>
      <c r="H350">
        <f t="shared" si="5"/>
        <v>4</v>
      </c>
    </row>
    <row r="351" spans="1:8">
      <c r="A351">
        <v>2390</v>
      </c>
      <c r="C351">
        <v>1</v>
      </c>
      <c r="D351">
        <v>1</v>
      </c>
      <c r="E351">
        <v>1</v>
      </c>
      <c r="F351">
        <v>0</v>
      </c>
      <c r="G351">
        <v>0</v>
      </c>
      <c r="H351">
        <f t="shared" si="5"/>
        <v>3</v>
      </c>
    </row>
    <row r="352" spans="1:8">
      <c r="A352">
        <v>2392</v>
      </c>
      <c r="C352">
        <v>1</v>
      </c>
      <c r="D352">
        <v>1</v>
      </c>
      <c r="E352">
        <v>1</v>
      </c>
      <c r="F352">
        <v>0</v>
      </c>
      <c r="G352">
        <v>0</v>
      </c>
      <c r="H352">
        <f t="shared" si="5"/>
        <v>3</v>
      </c>
    </row>
    <row r="353" spans="1:8">
      <c r="A353">
        <v>2393</v>
      </c>
      <c r="C353">
        <v>0</v>
      </c>
      <c r="D353">
        <v>1</v>
      </c>
      <c r="E353">
        <v>0</v>
      </c>
      <c r="F353">
        <v>1</v>
      </c>
      <c r="G353">
        <v>0</v>
      </c>
      <c r="H353">
        <f t="shared" si="5"/>
        <v>2</v>
      </c>
    </row>
    <row r="354" spans="1:8">
      <c r="A354">
        <v>2395</v>
      </c>
      <c r="C354">
        <v>0</v>
      </c>
      <c r="D354">
        <v>0</v>
      </c>
      <c r="E354">
        <v>0</v>
      </c>
      <c r="F354">
        <v>1</v>
      </c>
      <c r="G354">
        <v>0</v>
      </c>
      <c r="H354">
        <f t="shared" si="5"/>
        <v>1</v>
      </c>
    </row>
    <row r="355" spans="1:8">
      <c r="A355">
        <v>2397</v>
      </c>
      <c r="C355">
        <v>1</v>
      </c>
      <c r="D355">
        <v>1</v>
      </c>
      <c r="E355">
        <v>0</v>
      </c>
      <c r="F355">
        <v>1</v>
      </c>
      <c r="G355">
        <v>0</v>
      </c>
      <c r="H355">
        <f t="shared" si="5"/>
        <v>3</v>
      </c>
    </row>
    <row r="356" spans="1:8">
      <c r="A356">
        <v>2399</v>
      </c>
      <c r="C356">
        <v>0</v>
      </c>
      <c r="D356">
        <v>1</v>
      </c>
      <c r="E356">
        <v>1</v>
      </c>
      <c r="F356">
        <v>1</v>
      </c>
      <c r="G356">
        <v>0</v>
      </c>
      <c r="H356">
        <f t="shared" si="5"/>
        <v>3</v>
      </c>
    </row>
    <row r="357" spans="1:8">
      <c r="A357">
        <v>2401</v>
      </c>
      <c r="C357">
        <v>0</v>
      </c>
      <c r="D357">
        <v>0</v>
      </c>
      <c r="E357">
        <v>0</v>
      </c>
      <c r="F357">
        <v>0</v>
      </c>
      <c r="G357">
        <v>0</v>
      </c>
      <c r="H357">
        <f t="shared" si="5"/>
        <v>0</v>
      </c>
    </row>
    <row r="358" spans="1:8">
      <c r="A358">
        <v>2402</v>
      </c>
      <c r="C358">
        <v>0</v>
      </c>
      <c r="D358">
        <v>1</v>
      </c>
      <c r="E358">
        <v>0</v>
      </c>
      <c r="F358">
        <v>1</v>
      </c>
      <c r="G358">
        <v>0</v>
      </c>
      <c r="H358">
        <f t="shared" si="5"/>
        <v>2</v>
      </c>
    </row>
    <row r="359" spans="1:8">
      <c r="A359">
        <v>2404</v>
      </c>
      <c r="C359">
        <v>0</v>
      </c>
      <c r="D359">
        <v>1</v>
      </c>
      <c r="E359">
        <v>1</v>
      </c>
      <c r="F359">
        <v>1</v>
      </c>
      <c r="G359">
        <v>0</v>
      </c>
      <c r="H359">
        <f t="shared" si="5"/>
        <v>3</v>
      </c>
    </row>
    <row r="360" spans="1:8">
      <c r="A360">
        <v>2405</v>
      </c>
      <c r="C360">
        <v>0</v>
      </c>
      <c r="D360">
        <v>1</v>
      </c>
      <c r="E360">
        <v>2</v>
      </c>
      <c r="F360">
        <v>1</v>
      </c>
      <c r="G360">
        <v>0</v>
      </c>
      <c r="H360">
        <f t="shared" si="5"/>
        <v>4</v>
      </c>
    </row>
    <row r="361" spans="1:8">
      <c r="A361">
        <v>2406</v>
      </c>
      <c r="C361">
        <v>1</v>
      </c>
      <c r="D361">
        <v>1</v>
      </c>
      <c r="E361">
        <v>2</v>
      </c>
      <c r="F361">
        <v>1</v>
      </c>
      <c r="G361">
        <v>0</v>
      </c>
      <c r="H361">
        <f t="shared" si="5"/>
        <v>5</v>
      </c>
    </row>
    <row r="362" spans="1:8">
      <c r="A362">
        <v>2408</v>
      </c>
      <c r="C362">
        <v>0</v>
      </c>
      <c r="D362">
        <v>1</v>
      </c>
      <c r="E362">
        <v>0</v>
      </c>
      <c r="F362">
        <v>1</v>
      </c>
      <c r="G362">
        <v>0</v>
      </c>
      <c r="H362">
        <f t="shared" si="5"/>
        <v>2</v>
      </c>
    </row>
    <row r="363" spans="1:8">
      <c r="A363">
        <v>2409</v>
      </c>
      <c r="C363">
        <v>0</v>
      </c>
      <c r="D363">
        <v>0</v>
      </c>
      <c r="E363">
        <v>0</v>
      </c>
      <c r="F363">
        <v>1</v>
      </c>
      <c r="G363">
        <v>0</v>
      </c>
      <c r="H363">
        <f t="shared" si="5"/>
        <v>1</v>
      </c>
    </row>
    <row r="364" spans="1:8">
      <c r="A364">
        <v>2412</v>
      </c>
      <c r="C364">
        <v>1</v>
      </c>
      <c r="D364">
        <v>1</v>
      </c>
      <c r="E364">
        <v>0</v>
      </c>
      <c r="F364">
        <v>1</v>
      </c>
      <c r="G364">
        <v>0</v>
      </c>
      <c r="H364">
        <f t="shared" si="5"/>
        <v>3</v>
      </c>
    </row>
    <row r="365" spans="1:8">
      <c r="A365">
        <v>2413</v>
      </c>
      <c r="C365">
        <v>1</v>
      </c>
      <c r="D365">
        <v>1</v>
      </c>
      <c r="E365">
        <v>2</v>
      </c>
      <c r="F365">
        <v>0</v>
      </c>
      <c r="G365">
        <v>0</v>
      </c>
      <c r="H365">
        <f t="shared" si="5"/>
        <v>4</v>
      </c>
    </row>
    <row r="366" spans="1:8">
      <c r="A366">
        <v>2414</v>
      </c>
      <c r="C366">
        <v>0</v>
      </c>
      <c r="D366">
        <v>1</v>
      </c>
      <c r="E366">
        <v>0</v>
      </c>
      <c r="F366">
        <v>0</v>
      </c>
      <c r="G366">
        <v>0</v>
      </c>
      <c r="H366">
        <f t="shared" si="5"/>
        <v>1</v>
      </c>
    </row>
    <row r="367" spans="1:8">
      <c r="A367">
        <v>2415</v>
      </c>
      <c r="C367">
        <v>0</v>
      </c>
      <c r="D367">
        <v>1</v>
      </c>
      <c r="E367">
        <v>2</v>
      </c>
      <c r="F367">
        <v>1</v>
      </c>
      <c r="G367">
        <v>0</v>
      </c>
      <c r="H367">
        <f t="shared" si="5"/>
        <v>4</v>
      </c>
    </row>
    <row r="368" spans="1:8">
      <c r="A368">
        <v>2417</v>
      </c>
      <c r="C368">
        <v>0</v>
      </c>
      <c r="D368">
        <v>1</v>
      </c>
      <c r="E368">
        <v>0</v>
      </c>
      <c r="F368">
        <v>0</v>
      </c>
      <c r="G368">
        <v>0</v>
      </c>
      <c r="H368">
        <f t="shared" si="5"/>
        <v>1</v>
      </c>
    </row>
    <row r="369" spans="1:8">
      <c r="A369">
        <v>2419</v>
      </c>
      <c r="C369">
        <v>1</v>
      </c>
      <c r="D369">
        <v>1</v>
      </c>
      <c r="E369">
        <v>1</v>
      </c>
      <c r="F369">
        <v>1</v>
      </c>
      <c r="G369">
        <v>0</v>
      </c>
      <c r="H369">
        <f t="shared" si="5"/>
        <v>4</v>
      </c>
    </row>
    <row r="370" spans="1:8">
      <c r="A370">
        <v>2420</v>
      </c>
      <c r="C370">
        <v>1</v>
      </c>
      <c r="D370">
        <v>1</v>
      </c>
      <c r="E370">
        <v>0</v>
      </c>
      <c r="F370">
        <v>1</v>
      </c>
      <c r="G370">
        <v>0</v>
      </c>
      <c r="H370">
        <f t="shared" si="5"/>
        <v>3</v>
      </c>
    </row>
    <row r="371" spans="1:8">
      <c r="A371">
        <v>2421</v>
      </c>
      <c r="C371">
        <v>1</v>
      </c>
      <c r="D371">
        <v>1</v>
      </c>
      <c r="E371">
        <v>1</v>
      </c>
      <c r="F371">
        <v>1</v>
      </c>
      <c r="G371">
        <v>1</v>
      </c>
      <c r="H371">
        <f t="shared" si="5"/>
        <v>5</v>
      </c>
    </row>
    <row r="372" spans="1:8">
      <c r="A372">
        <v>2423</v>
      </c>
      <c r="C372">
        <v>0</v>
      </c>
      <c r="D372">
        <v>1</v>
      </c>
      <c r="E372">
        <v>0</v>
      </c>
      <c r="F372">
        <v>1</v>
      </c>
      <c r="G372">
        <v>0</v>
      </c>
      <c r="H372">
        <f t="shared" si="5"/>
        <v>2</v>
      </c>
    </row>
    <row r="373" spans="1:8">
      <c r="A373">
        <v>2424</v>
      </c>
      <c r="C373">
        <v>0</v>
      </c>
      <c r="D373">
        <v>0</v>
      </c>
      <c r="E373">
        <v>0</v>
      </c>
      <c r="F373">
        <v>0</v>
      </c>
      <c r="G373">
        <v>0</v>
      </c>
      <c r="H373">
        <f t="shared" si="5"/>
        <v>0</v>
      </c>
    </row>
    <row r="374" spans="1:8">
      <c r="A374">
        <v>2425</v>
      </c>
      <c r="C374">
        <v>0</v>
      </c>
      <c r="D374">
        <v>1</v>
      </c>
      <c r="E374">
        <v>0</v>
      </c>
      <c r="F374">
        <v>1</v>
      </c>
      <c r="G374">
        <v>0</v>
      </c>
      <c r="H374">
        <f t="shared" si="5"/>
        <v>2</v>
      </c>
    </row>
    <row r="375" spans="1:8">
      <c r="A375">
        <v>2426</v>
      </c>
      <c r="C375">
        <v>0</v>
      </c>
      <c r="D375">
        <v>1</v>
      </c>
      <c r="E375">
        <v>0</v>
      </c>
      <c r="F375">
        <v>1</v>
      </c>
      <c r="G375">
        <v>0</v>
      </c>
      <c r="H375">
        <f t="shared" si="5"/>
        <v>2</v>
      </c>
    </row>
    <row r="376" spans="1:8">
      <c r="A376">
        <v>2427</v>
      </c>
      <c r="C376">
        <v>1</v>
      </c>
      <c r="D376">
        <v>1</v>
      </c>
      <c r="E376">
        <v>1</v>
      </c>
      <c r="F376">
        <v>0</v>
      </c>
      <c r="G376">
        <v>0</v>
      </c>
      <c r="H376">
        <f t="shared" si="5"/>
        <v>3</v>
      </c>
    </row>
    <row r="377" spans="1:8">
      <c r="A377">
        <v>2428</v>
      </c>
      <c r="C377">
        <v>1</v>
      </c>
      <c r="D377">
        <v>1</v>
      </c>
      <c r="E377">
        <v>0</v>
      </c>
      <c r="F377">
        <v>1</v>
      </c>
      <c r="G377">
        <v>0</v>
      </c>
      <c r="H377">
        <f t="shared" si="5"/>
        <v>3</v>
      </c>
    </row>
    <row r="378" spans="1:8">
      <c r="A378">
        <v>2429</v>
      </c>
      <c r="C378">
        <v>0</v>
      </c>
      <c r="D378">
        <v>1</v>
      </c>
      <c r="E378">
        <v>1</v>
      </c>
      <c r="F378">
        <v>1</v>
      </c>
      <c r="G378">
        <v>0</v>
      </c>
      <c r="H378">
        <f t="shared" si="5"/>
        <v>3</v>
      </c>
    </row>
    <row r="379" spans="1:8">
      <c r="A379">
        <v>2430</v>
      </c>
      <c r="C379">
        <v>1</v>
      </c>
      <c r="D379">
        <v>1</v>
      </c>
      <c r="E379">
        <v>0</v>
      </c>
      <c r="F379">
        <v>0</v>
      </c>
      <c r="G379">
        <v>0</v>
      </c>
      <c r="H379">
        <f t="shared" si="5"/>
        <v>2</v>
      </c>
    </row>
    <row r="380" spans="1:8">
      <c r="A380">
        <v>2431</v>
      </c>
      <c r="C380">
        <v>0</v>
      </c>
      <c r="D380">
        <v>1</v>
      </c>
      <c r="E380">
        <v>1</v>
      </c>
      <c r="F380">
        <v>1</v>
      </c>
      <c r="G380">
        <v>0</v>
      </c>
      <c r="H380">
        <f t="shared" si="5"/>
        <v>3</v>
      </c>
    </row>
    <row r="381" spans="1:8">
      <c r="A381">
        <v>2433</v>
      </c>
      <c r="C381">
        <v>0</v>
      </c>
      <c r="D381">
        <v>1</v>
      </c>
      <c r="E381">
        <v>2</v>
      </c>
      <c r="F381">
        <v>1</v>
      </c>
      <c r="G381">
        <v>0</v>
      </c>
      <c r="H381">
        <f t="shared" si="5"/>
        <v>4</v>
      </c>
    </row>
    <row r="382" spans="1:8">
      <c r="A382">
        <v>2434</v>
      </c>
      <c r="C382">
        <v>0</v>
      </c>
      <c r="D382">
        <v>0</v>
      </c>
      <c r="E382">
        <v>2</v>
      </c>
      <c r="F382">
        <v>1</v>
      </c>
      <c r="G382">
        <v>0</v>
      </c>
      <c r="H382">
        <f t="shared" si="5"/>
        <v>3</v>
      </c>
    </row>
    <row r="383" spans="1:8">
      <c r="A383">
        <v>2436</v>
      </c>
      <c r="C383">
        <v>0</v>
      </c>
      <c r="D383">
        <v>1</v>
      </c>
      <c r="E383">
        <v>0</v>
      </c>
      <c r="F383">
        <v>0</v>
      </c>
      <c r="G383">
        <v>0</v>
      </c>
      <c r="H383">
        <f t="shared" si="5"/>
        <v>1</v>
      </c>
    </row>
    <row r="384" spans="1:8">
      <c r="A384">
        <v>2437</v>
      </c>
      <c r="C384">
        <v>1</v>
      </c>
      <c r="D384">
        <v>1</v>
      </c>
      <c r="E384">
        <v>0</v>
      </c>
      <c r="F384">
        <v>1</v>
      </c>
      <c r="G384">
        <v>0</v>
      </c>
      <c r="H384">
        <f t="shared" si="5"/>
        <v>3</v>
      </c>
    </row>
    <row r="385" spans="1:8">
      <c r="A385">
        <v>2438</v>
      </c>
      <c r="C385">
        <v>0</v>
      </c>
      <c r="D385">
        <v>1</v>
      </c>
      <c r="E385">
        <v>1</v>
      </c>
      <c r="F385">
        <v>0</v>
      </c>
      <c r="G385">
        <v>0</v>
      </c>
      <c r="H385">
        <f t="shared" si="5"/>
        <v>2</v>
      </c>
    </row>
    <row r="386" spans="1:8">
      <c r="A386">
        <v>2439</v>
      </c>
      <c r="C386">
        <v>0</v>
      </c>
      <c r="D386">
        <v>1</v>
      </c>
      <c r="E386">
        <v>0</v>
      </c>
      <c r="F386">
        <v>1</v>
      </c>
      <c r="G386">
        <v>0</v>
      </c>
      <c r="H386">
        <f t="shared" si="5"/>
        <v>2</v>
      </c>
    </row>
    <row r="387" spans="1:8">
      <c r="A387">
        <v>2440</v>
      </c>
      <c r="C387">
        <v>0</v>
      </c>
      <c r="D387">
        <v>0</v>
      </c>
      <c r="E387">
        <v>0</v>
      </c>
      <c r="F387">
        <v>0</v>
      </c>
      <c r="G387">
        <v>0</v>
      </c>
      <c r="H387">
        <f t="shared" ref="H387:H450" si="6">SUM(C387:G387)</f>
        <v>0</v>
      </c>
    </row>
    <row r="388" spans="1:8">
      <c r="A388">
        <v>2441</v>
      </c>
      <c r="C388">
        <v>0</v>
      </c>
      <c r="D388">
        <v>1</v>
      </c>
      <c r="E388">
        <v>0</v>
      </c>
      <c r="F388">
        <v>1</v>
      </c>
      <c r="G388">
        <v>0</v>
      </c>
      <c r="H388">
        <f t="shared" si="6"/>
        <v>2</v>
      </c>
    </row>
    <row r="389" spans="1:8">
      <c r="A389">
        <v>2442</v>
      </c>
      <c r="C389">
        <v>0</v>
      </c>
      <c r="D389">
        <v>0</v>
      </c>
      <c r="E389">
        <v>0</v>
      </c>
      <c r="F389">
        <v>1</v>
      </c>
      <c r="G389">
        <v>0</v>
      </c>
      <c r="H389">
        <f t="shared" si="6"/>
        <v>1</v>
      </c>
    </row>
    <row r="390" spans="1:8">
      <c r="A390">
        <v>2443</v>
      </c>
      <c r="C390">
        <v>0</v>
      </c>
      <c r="D390">
        <v>0</v>
      </c>
      <c r="E390">
        <v>1</v>
      </c>
      <c r="F390">
        <v>0</v>
      </c>
      <c r="G390">
        <v>1</v>
      </c>
      <c r="H390">
        <f t="shared" si="6"/>
        <v>2</v>
      </c>
    </row>
    <row r="391" spans="1:8">
      <c r="A391">
        <v>2444</v>
      </c>
      <c r="C391">
        <v>1</v>
      </c>
      <c r="D391">
        <v>1</v>
      </c>
      <c r="E391">
        <v>1</v>
      </c>
      <c r="F391">
        <v>1</v>
      </c>
      <c r="G391">
        <v>0</v>
      </c>
      <c r="H391">
        <f t="shared" si="6"/>
        <v>4</v>
      </c>
    </row>
    <row r="392" spans="1:8">
      <c r="A392">
        <v>2448</v>
      </c>
      <c r="C392">
        <v>0</v>
      </c>
      <c r="D392">
        <v>0</v>
      </c>
      <c r="E392">
        <v>0</v>
      </c>
      <c r="F392">
        <v>1</v>
      </c>
      <c r="G392">
        <v>0</v>
      </c>
      <c r="H392">
        <f t="shared" si="6"/>
        <v>1</v>
      </c>
    </row>
    <row r="393" spans="1:8">
      <c r="A393">
        <v>2449</v>
      </c>
      <c r="C393">
        <v>0</v>
      </c>
      <c r="D393">
        <v>0</v>
      </c>
      <c r="E393">
        <v>0</v>
      </c>
      <c r="F393">
        <v>1</v>
      </c>
      <c r="G393">
        <v>0</v>
      </c>
      <c r="H393">
        <f t="shared" si="6"/>
        <v>1</v>
      </c>
    </row>
    <row r="394" spans="1:8">
      <c r="A394">
        <v>2450</v>
      </c>
      <c r="C394">
        <v>0</v>
      </c>
      <c r="D394">
        <v>1</v>
      </c>
      <c r="E394">
        <v>1</v>
      </c>
      <c r="F394">
        <v>1</v>
      </c>
      <c r="G394">
        <v>0</v>
      </c>
      <c r="H394">
        <f t="shared" si="6"/>
        <v>3</v>
      </c>
    </row>
    <row r="395" spans="1:8">
      <c r="A395">
        <v>2451</v>
      </c>
      <c r="C395">
        <v>1</v>
      </c>
      <c r="D395">
        <v>1</v>
      </c>
      <c r="E395">
        <v>0</v>
      </c>
      <c r="F395">
        <v>1</v>
      </c>
      <c r="G395">
        <v>0</v>
      </c>
      <c r="H395">
        <f t="shared" si="6"/>
        <v>3</v>
      </c>
    </row>
    <row r="396" spans="1:8">
      <c r="A396">
        <v>2453</v>
      </c>
      <c r="C396">
        <v>1</v>
      </c>
      <c r="D396">
        <v>1</v>
      </c>
      <c r="E396">
        <v>1</v>
      </c>
      <c r="F396">
        <v>0</v>
      </c>
      <c r="G396">
        <v>0</v>
      </c>
      <c r="H396">
        <f t="shared" si="6"/>
        <v>3</v>
      </c>
    </row>
    <row r="397" spans="1:8">
      <c r="A397">
        <v>2454</v>
      </c>
      <c r="C397">
        <v>0</v>
      </c>
      <c r="D397">
        <v>1</v>
      </c>
      <c r="E397">
        <v>0</v>
      </c>
      <c r="F397">
        <v>0</v>
      </c>
      <c r="G397">
        <v>0</v>
      </c>
      <c r="H397">
        <f t="shared" si="6"/>
        <v>1</v>
      </c>
    </row>
    <row r="398" spans="1:8">
      <c r="A398">
        <v>2455</v>
      </c>
      <c r="C398">
        <v>0</v>
      </c>
      <c r="D398">
        <v>1</v>
      </c>
      <c r="E398">
        <v>0</v>
      </c>
      <c r="F398">
        <v>1</v>
      </c>
      <c r="G398">
        <v>0</v>
      </c>
      <c r="H398">
        <f t="shared" si="6"/>
        <v>2</v>
      </c>
    </row>
    <row r="399" spans="1:8">
      <c r="A399">
        <v>2456</v>
      </c>
      <c r="C399">
        <v>1</v>
      </c>
      <c r="D399">
        <v>1</v>
      </c>
      <c r="E399">
        <v>0</v>
      </c>
      <c r="F399">
        <v>1</v>
      </c>
      <c r="G399">
        <v>1</v>
      </c>
      <c r="H399">
        <f t="shared" si="6"/>
        <v>4</v>
      </c>
    </row>
    <row r="400" spans="1:8">
      <c r="A400">
        <v>2457</v>
      </c>
      <c r="C400">
        <v>0</v>
      </c>
      <c r="D400">
        <v>1</v>
      </c>
      <c r="E400">
        <v>0</v>
      </c>
      <c r="F400">
        <v>1</v>
      </c>
      <c r="G400">
        <v>0</v>
      </c>
      <c r="H400">
        <f t="shared" si="6"/>
        <v>2</v>
      </c>
    </row>
    <row r="401" spans="1:8">
      <c r="A401">
        <v>2458</v>
      </c>
      <c r="C401">
        <v>0</v>
      </c>
      <c r="D401">
        <v>1</v>
      </c>
      <c r="E401">
        <v>0</v>
      </c>
      <c r="F401">
        <v>1</v>
      </c>
      <c r="G401">
        <v>0</v>
      </c>
      <c r="H401">
        <f t="shared" si="6"/>
        <v>2</v>
      </c>
    </row>
    <row r="402" spans="1:8">
      <c r="A402">
        <v>2459</v>
      </c>
      <c r="C402">
        <v>0</v>
      </c>
      <c r="D402">
        <v>1</v>
      </c>
      <c r="E402">
        <v>0</v>
      </c>
      <c r="F402">
        <v>0</v>
      </c>
      <c r="G402">
        <v>0</v>
      </c>
      <c r="H402">
        <f t="shared" si="6"/>
        <v>1</v>
      </c>
    </row>
    <row r="403" spans="1:8">
      <c r="A403">
        <v>2460</v>
      </c>
      <c r="C403">
        <v>0</v>
      </c>
      <c r="D403">
        <v>0</v>
      </c>
      <c r="E403">
        <v>2</v>
      </c>
      <c r="F403">
        <v>1</v>
      </c>
      <c r="G403">
        <v>0</v>
      </c>
      <c r="H403">
        <f t="shared" si="6"/>
        <v>3</v>
      </c>
    </row>
    <row r="404" spans="1:8">
      <c r="A404">
        <v>2461</v>
      </c>
      <c r="C404">
        <v>1</v>
      </c>
      <c r="D404">
        <v>1</v>
      </c>
      <c r="E404">
        <v>1</v>
      </c>
      <c r="F404">
        <v>0</v>
      </c>
      <c r="G404">
        <v>0</v>
      </c>
      <c r="H404">
        <f t="shared" si="6"/>
        <v>3</v>
      </c>
    </row>
    <row r="405" spans="1:8">
      <c r="A405">
        <v>2462</v>
      </c>
      <c r="C405">
        <v>1</v>
      </c>
      <c r="D405">
        <v>1</v>
      </c>
      <c r="E405">
        <v>0</v>
      </c>
      <c r="F405">
        <v>0</v>
      </c>
      <c r="G405">
        <v>0</v>
      </c>
      <c r="H405">
        <f t="shared" si="6"/>
        <v>2</v>
      </c>
    </row>
    <row r="406" spans="1:8">
      <c r="A406">
        <v>2464</v>
      </c>
      <c r="C406">
        <v>1</v>
      </c>
      <c r="D406">
        <v>1</v>
      </c>
      <c r="E406">
        <v>0</v>
      </c>
      <c r="F406">
        <v>0</v>
      </c>
      <c r="G406">
        <v>1</v>
      </c>
      <c r="H406">
        <f t="shared" si="6"/>
        <v>3</v>
      </c>
    </row>
    <row r="407" spans="1:8">
      <c r="A407">
        <v>2465</v>
      </c>
      <c r="C407">
        <v>0</v>
      </c>
      <c r="D407">
        <v>1</v>
      </c>
      <c r="E407">
        <v>0</v>
      </c>
      <c r="F407">
        <v>0</v>
      </c>
      <c r="G407">
        <v>1</v>
      </c>
      <c r="H407">
        <f t="shared" si="6"/>
        <v>2</v>
      </c>
    </row>
    <row r="408" spans="1:8">
      <c r="A408">
        <v>2466</v>
      </c>
      <c r="C408">
        <v>1</v>
      </c>
      <c r="D408">
        <v>1</v>
      </c>
      <c r="E408">
        <v>1</v>
      </c>
      <c r="F408">
        <v>0</v>
      </c>
      <c r="G408">
        <v>0</v>
      </c>
      <c r="H408">
        <f t="shared" si="6"/>
        <v>3</v>
      </c>
    </row>
    <row r="409" spans="1:8">
      <c r="A409">
        <v>2467</v>
      </c>
      <c r="C409">
        <v>0</v>
      </c>
      <c r="D409">
        <v>0</v>
      </c>
      <c r="E409">
        <v>0</v>
      </c>
      <c r="F409">
        <v>0</v>
      </c>
      <c r="G409">
        <v>0</v>
      </c>
      <c r="H409">
        <f t="shared" si="6"/>
        <v>0</v>
      </c>
    </row>
    <row r="410" spans="1:8">
      <c r="A410">
        <v>2468</v>
      </c>
      <c r="C410">
        <v>0</v>
      </c>
      <c r="D410">
        <v>1</v>
      </c>
      <c r="E410">
        <v>1</v>
      </c>
      <c r="F410">
        <v>0</v>
      </c>
      <c r="G410">
        <v>0</v>
      </c>
      <c r="H410">
        <f t="shared" si="6"/>
        <v>2</v>
      </c>
    </row>
    <row r="411" spans="1:8">
      <c r="A411">
        <v>2471</v>
      </c>
      <c r="C411">
        <v>0</v>
      </c>
      <c r="D411">
        <v>1</v>
      </c>
      <c r="E411">
        <v>2</v>
      </c>
      <c r="F411">
        <v>0</v>
      </c>
      <c r="G411">
        <v>0</v>
      </c>
      <c r="H411">
        <f t="shared" si="6"/>
        <v>3</v>
      </c>
    </row>
    <row r="412" spans="1:8">
      <c r="A412">
        <v>2472</v>
      </c>
      <c r="C412">
        <v>1</v>
      </c>
      <c r="D412">
        <v>1</v>
      </c>
      <c r="E412">
        <v>0</v>
      </c>
      <c r="F412">
        <v>1</v>
      </c>
      <c r="G412">
        <v>0</v>
      </c>
      <c r="H412">
        <f t="shared" si="6"/>
        <v>3</v>
      </c>
    </row>
    <row r="413" spans="1:8">
      <c r="A413">
        <v>2474</v>
      </c>
      <c r="C413">
        <v>1</v>
      </c>
      <c r="D413">
        <v>1</v>
      </c>
      <c r="E413">
        <v>0</v>
      </c>
      <c r="F413">
        <v>1</v>
      </c>
      <c r="G413">
        <v>0</v>
      </c>
      <c r="H413">
        <f t="shared" si="6"/>
        <v>3</v>
      </c>
    </row>
    <row r="414" spans="1:8">
      <c r="A414">
        <v>2475</v>
      </c>
      <c r="C414">
        <v>0</v>
      </c>
      <c r="D414">
        <v>0</v>
      </c>
      <c r="E414">
        <v>2</v>
      </c>
      <c r="F414">
        <v>0</v>
      </c>
      <c r="G414">
        <v>0</v>
      </c>
      <c r="H414">
        <f t="shared" si="6"/>
        <v>2</v>
      </c>
    </row>
    <row r="415" spans="1:8">
      <c r="A415">
        <v>2476</v>
      </c>
      <c r="C415">
        <v>1</v>
      </c>
      <c r="D415">
        <v>1</v>
      </c>
      <c r="E415">
        <v>0</v>
      </c>
      <c r="F415">
        <v>1</v>
      </c>
      <c r="G415">
        <v>0</v>
      </c>
      <c r="H415">
        <f t="shared" si="6"/>
        <v>3</v>
      </c>
    </row>
    <row r="416" spans="1:8">
      <c r="A416">
        <v>2477</v>
      </c>
      <c r="C416">
        <v>1</v>
      </c>
      <c r="D416">
        <v>1</v>
      </c>
      <c r="E416">
        <v>2</v>
      </c>
      <c r="F416">
        <v>0</v>
      </c>
      <c r="G416">
        <v>0</v>
      </c>
      <c r="H416">
        <f t="shared" si="6"/>
        <v>4</v>
      </c>
    </row>
    <row r="417" spans="1:8">
      <c r="A417">
        <v>2478</v>
      </c>
      <c r="C417">
        <v>1</v>
      </c>
      <c r="D417">
        <v>1</v>
      </c>
      <c r="E417">
        <v>0</v>
      </c>
      <c r="F417">
        <v>0</v>
      </c>
      <c r="G417">
        <v>0</v>
      </c>
      <c r="H417">
        <f t="shared" si="6"/>
        <v>2</v>
      </c>
    </row>
    <row r="418" spans="1:8">
      <c r="A418">
        <v>2480</v>
      </c>
      <c r="C418">
        <v>0</v>
      </c>
      <c r="D418">
        <v>1</v>
      </c>
      <c r="E418">
        <v>1</v>
      </c>
      <c r="F418">
        <v>1</v>
      </c>
      <c r="G418">
        <v>0</v>
      </c>
      <c r="H418">
        <f t="shared" si="6"/>
        <v>3</v>
      </c>
    </row>
    <row r="419" spans="1:8">
      <c r="A419">
        <v>2481</v>
      </c>
      <c r="C419">
        <v>1</v>
      </c>
      <c r="D419">
        <v>1</v>
      </c>
      <c r="E419">
        <v>0</v>
      </c>
      <c r="F419">
        <v>0</v>
      </c>
      <c r="G419">
        <v>0</v>
      </c>
      <c r="H419">
        <f t="shared" si="6"/>
        <v>2</v>
      </c>
    </row>
    <row r="420" spans="1:8">
      <c r="A420">
        <v>2482</v>
      </c>
      <c r="C420">
        <v>1</v>
      </c>
      <c r="D420">
        <v>1</v>
      </c>
      <c r="E420">
        <v>2</v>
      </c>
      <c r="F420">
        <v>1</v>
      </c>
      <c r="G420">
        <v>1</v>
      </c>
      <c r="H420">
        <f t="shared" si="6"/>
        <v>6</v>
      </c>
    </row>
    <row r="421" spans="1:8">
      <c r="A421">
        <v>2483</v>
      </c>
      <c r="C421">
        <v>0</v>
      </c>
      <c r="D421">
        <v>1</v>
      </c>
      <c r="E421">
        <v>1</v>
      </c>
      <c r="F421">
        <v>0</v>
      </c>
      <c r="G421">
        <v>0</v>
      </c>
      <c r="H421">
        <f t="shared" si="6"/>
        <v>2</v>
      </c>
    </row>
    <row r="422" spans="1:8">
      <c r="A422">
        <v>2484</v>
      </c>
      <c r="C422">
        <v>1</v>
      </c>
      <c r="D422">
        <v>1</v>
      </c>
      <c r="E422">
        <v>1</v>
      </c>
      <c r="F422">
        <v>1</v>
      </c>
      <c r="G422">
        <v>0</v>
      </c>
      <c r="H422">
        <f t="shared" si="6"/>
        <v>4</v>
      </c>
    </row>
    <row r="423" spans="1:8">
      <c r="A423">
        <v>2485</v>
      </c>
      <c r="C423">
        <v>1</v>
      </c>
      <c r="D423">
        <v>1</v>
      </c>
      <c r="E423">
        <v>1</v>
      </c>
      <c r="F423">
        <v>1</v>
      </c>
      <c r="G423">
        <v>1</v>
      </c>
      <c r="H423">
        <f t="shared" si="6"/>
        <v>5</v>
      </c>
    </row>
    <row r="424" spans="1:8">
      <c r="A424">
        <v>2486</v>
      </c>
      <c r="C424">
        <v>0</v>
      </c>
      <c r="D424">
        <v>1</v>
      </c>
      <c r="E424">
        <v>0</v>
      </c>
      <c r="F424">
        <v>1</v>
      </c>
      <c r="G424">
        <v>0</v>
      </c>
      <c r="H424">
        <f t="shared" si="6"/>
        <v>2</v>
      </c>
    </row>
    <row r="425" spans="1:8">
      <c r="A425">
        <v>2488</v>
      </c>
      <c r="C425">
        <v>1</v>
      </c>
      <c r="D425">
        <v>1</v>
      </c>
      <c r="E425">
        <v>1</v>
      </c>
      <c r="F425">
        <v>1</v>
      </c>
      <c r="G425">
        <v>0</v>
      </c>
      <c r="H425">
        <f t="shared" si="6"/>
        <v>4</v>
      </c>
    </row>
    <row r="426" spans="1:8">
      <c r="A426">
        <v>2489</v>
      </c>
      <c r="C426">
        <v>0</v>
      </c>
      <c r="D426">
        <v>1</v>
      </c>
      <c r="E426">
        <v>1</v>
      </c>
      <c r="F426">
        <v>0</v>
      </c>
      <c r="G426">
        <v>0</v>
      </c>
      <c r="H426">
        <f t="shared" si="6"/>
        <v>2</v>
      </c>
    </row>
    <row r="427" spans="1:8">
      <c r="A427">
        <v>2491</v>
      </c>
      <c r="C427">
        <v>0</v>
      </c>
      <c r="D427">
        <v>0</v>
      </c>
      <c r="E427">
        <v>0</v>
      </c>
      <c r="F427">
        <v>1</v>
      </c>
      <c r="G427">
        <v>0</v>
      </c>
      <c r="H427">
        <f t="shared" si="6"/>
        <v>1</v>
      </c>
    </row>
    <row r="428" spans="1:8">
      <c r="A428">
        <v>2492</v>
      </c>
      <c r="C428">
        <v>1</v>
      </c>
      <c r="D428">
        <v>1</v>
      </c>
      <c r="E428">
        <v>0</v>
      </c>
      <c r="F428">
        <v>1</v>
      </c>
      <c r="G428">
        <v>1</v>
      </c>
      <c r="H428">
        <f t="shared" si="6"/>
        <v>4</v>
      </c>
    </row>
    <row r="429" spans="1:8">
      <c r="A429">
        <v>2493</v>
      </c>
      <c r="C429">
        <v>1</v>
      </c>
      <c r="D429">
        <v>1</v>
      </c>
      <c r="E429">
        <v>0</v>
      </c>
      <c r="F429">
        <v>1</v>
      </c>
      <c r="G429">
        <v>0</v>
      </c>
      <c r="H429">
        <f t="shared" si="6"/>
        <v>3</v>
      </c>
    </row>
    <row r="430" spans="1:8">
      <c r="A430">
        <v>2495</v>
      </c>
      <c r="C430">
        <v>1</v>
      </c>
      <c r="D430">
        <v>1</v>
      </c>
      <c r="E430">
        <v>0</v>
      </c>
      <c r="F430">
        <v>1</v>
      </c>
      <c r="G430">
        <v>0</v>
      </c>
      <c r="H430">
        <f t="shared" si="6"/>
        <v>3</v>
      </c>
    </row>
    <row r="431" spans="1:8">
      <c r="A431">
        <v>2496</v>
      </c>
      <c r="C431">
        <v>0</v>
      </c>
      <c r="D431">
        <v>1</v>
      </c>
      <c r="E431">
        <v>1</v>
      </c>
      <c r="F431">
        <v>0</v>
      </c>
      <c r="G431">
        <v>0</v>
      </c>
      <c r="H431">
        <f t="shared" si="6"/>
        <v>2</v>
      </c>
    </row>
    <row r="432" spans="1:8">
      <c r="A432">
        <v>2497</v>
      </c>
      <c r="C432">
        <v>0</v>
      </c>
      <c r="D432">
        <v>1</v>
      </c>
      <c r="E432">
        <v>0</v>
      </c>
      <c r="F432">
        <v>0</v>
      </c>
      <c r="G432">
        <v>0</v>
      </c>
      <c r="H432">
        <f t="shared" si="6"/>
        <v>1</v>
      </c>
    </row>
    <row r="433" spans="1:8">
      <c r="A433">
        <v>2498</v>
      </c>
      <c r="C433">
        <v>0</v>
      </c>
      <c r="D433">
        <v>1</v>
      </c>
      <c r="E433">
        <v>0</v>
      </c>
      <c r="F433">
        <v>0</v>
      </c>
      <c r="G433">
        <v>0</v>
      </c>
      <c r="H433">
        <f t="shared" si="6"/>
        <v>1</v>
      </c>
    </row>
    <row r="434" spans="1:8">
      <c r="A434">
        <v>2499</v>
      </c>
      <c r="C434">
        <v>0</v>
      </c>
      <c r="D434">
        <v>1</v>
      </c>
      <c r="E434">
        <v>0</v>
      </c>
      <c r="F434">
        <v>0</v>
      </c>
      <c r="G434">
        <v>0</v>
      </c>
      <c r="H434">
        <f t="shared" si="6"/>
        <v>1</v>
      </c>
    </row>
    <row r="435" spans="1:8">
      <c r="A435">
        <v>2501</v>
      </c>
      <c r="C435">
        <v>0</v>
      </c>
      <c r="D435">
        <v>0</v>
      </c>
      <c r="E435">
        <v>0</v>
      </c>
      <c r="F435">
        <v>0</v>
      </c>
      <c r="G435">
        <v>0</v>
      </c>
      <c r="H435">
        <f t="shared" si="6"/>
        <v>0</v>
      </c>
    </row>
    <row r="436" spans="1:8">
      <c r="A436">
        <v>2504</v>
      </c>
      <c r="C436">
        <v>0</v>
      </c>
      <c r="D436">
        <v>0</v>
      </c>
      <c r="E436">
        <v>0</v>
      </c>
      <c r="F436">
        <v>0</v>
      </c>
      <c r="G436">
        <v>0</v>
      </c>
      <c r="H436">
        <f t="shared" si="6"/>
        <v>0</v>
      </c>
    </row>
    <row r="437" spans="1:8">
      <c r="A437">
        <v>2505</v>
      </c>
      <c r="C437">
        <v>0</v>
      </c>
      <c r="D437">
        <v>0</v>
      </c>
      <c r="E437">
        <v>0</v>
      </c>
      <c r="F437">
        <v>0</v>
      </c>
      <c r="G437">
        <v>0</v>
      </c>
      <c r="H437">
        <f t="shared" si="6"/>
        <v>0</v>
      </c>
    </row>
    <row r="438" spans="1:8">
      <c r="A438">
        <v>2506</v>
      </c>
      <c r="C438">
        <v>0</v>
      </c>
      <c r="D438">
        <v>1</v>
      </c>
      <c r="E438">
        <v>0</v>
      </c>
      <c r="F438">
        <v>0</v>
      </c>
      <c r="G438">
        <v>0</v>
      </c>
      <c r="H438">
        <f t="shared" si="6"/>
        <v>1</v>
      </c>
    </row>
    <row r="439" spans="1:8">
      <c r="A439">
        <v>2509</v>
      </c>
      <c r="C439">
        <v>1</v>
      </c>
      <c r="D439">
        <v>1</v>
      </c>
      <c r="E439">
        <v>2</v>
      </c>
      <c r="F439">
        <v>0</v>
      </c>
      <c r="G439">
        <v>1</v>
      </c>
      <c r="H439">
        <f t="shared" si="6"/>
        <v>5</v>
      </c>
    </row>
    <row r="440" spans="1:8">
      <c r="A440">
        <v>2511</v>
      </c>
      <c r="C440">
        <v>0</v>
      </c>
      <c r="D440">
        <v>0</v>
      </c>
      <c r="E440">
        <v>0</v>
      </c>
      <c r="F440">
        <v>0</v>
      </c>
      <c r="G440">
        <v>0</v>
      </c>
      <c r="H440">
        <f t="shared" si="6"/>
        <v>0</v>
      </c>
    </row>
    <row r="441" spans="1:8">
      <c r="A441">
        <v>2515</v>
      </c>
      <c r="C441">
        <v>0</v>
      </c>
      <c r="D441">
        <v>0</v>
      </c>
      <c r="E441">
        <v>0</v>
      </c>
      <c r="F441">
        <v>0</v>
      </c>
      <c r="G441">
        <v>0</v>
      </c>
      <c r="H441">
        <f t="shared" si="6"/>
        <v>0</v>
      </c>
    </row>
    <row r="442" spans="1:8">
      <c r="A442">
        <v>2516</v>
      </c>
      <c r="C442">
        <v>0</v>
      </c>
      <c r="D442">
        <v>1</v>
      </c>
      <c r="E442">
        <v>0</v>
      </c>
      <c r="F442">
        <v>0</v>
      </c>
      <c r="G442">
        <v>0</v>
      </c>
      <c r="H442">
        <f t="shared" si="6"/>
        <v>1</v>
      </c>
    </row>
    <row r="443" spans="1:8">
      <c r="A443">
        <v>2520</v>
      </c>
      <c r="C443">
        <v>0</v>
      </c>
      <c r="D443">
        <v>1</v>
      </c>
      <c r="E443">
        <v>2</v>
      </c>
      <c r="F443">
        <v>0</v>
      </c>
      <c r="G443">
        <v>0</v>
      </c>
      <c r="H443">
        <f t="shared" si="6"/>
        <v>3</v>
      </c>
    </row>
    <row r="444" spans="1:8">
      <c r="A444">
        <v>2524</v>
      </c>
      <c r="C444">
        <v>0</v>
      </c>
      <c r="D444">
        <v>1</v>
      </c>
      <c r="E444">
        <v>1</v>
      </c>
      <c r="F444">
        <v>0</v>
      </c>
      <c r="G444">
        <v>0</v>
      </c>
      <c r="H444">
        <f t="shared" si="6"/>
        <v>2</v>
      </c>
    </row>
    <row r="445" spans="1:8">
      <c r="A445">
        <v>2527</v>
      </c>
      <c r="C445">
        <v>0</v>
      </c>
      <c r="D445">
        <v>1</v>
      </c>
      <c r="E445">
        <v>0</v>
      </c>
      <c r="F445">
        <v>0</v>
      </c>
      <c r="G445">
        <v>0</v>
      </c>
      <c r="H445">
        <f t="shared" si="6"/>
        <v>1</v>
      </c>
    </row>
    <row r="446" spans="1:8">
      <c r="A446">
        <v>2528</v>
      </c>
      <c r="C446">
        <v>0</v>
      </c>
      <c r="D446">
        <v>0</v>
      </c>
      <c r="E446">
        <v>0</v>
      </c>
      <c r="F446">
        <v>0</v>
      </c>
      <c r="G446">
        <v>0</v>
      </c>
      <c r="H446">
        <f t="shared" si="6"/>
        <v>0</v>
      </c>
    </row>
    <row r="447" spans="1:8">
      <c r="A447">
        <v>2530</v>
      </c>
      <c r="C447">
        <v>1</v>
      </c>
      <c r="D447">
        <v>1</v>
      </c>
      <c r="E447">
        <v>1</v>
      </c>
      <c r="F447">
        <v>1</v>
      </c>
      <c r="G447">
        <v>0</v>
      </c>
      <c r="H447">
        <f t="shared" si="6"/>
        <v>4</v>
      </c>
    </row>
    <row r="448" spans="1:8">
      <c r="A448">
        <v>2534</v>
      </c>
      <c r="C448">
        <v>0</v>
      </c>
      <c r="D448">
        <v>1</v>
      </c>
      <c r="E448">
        <v>0</v>
      </c>
      <c r="F448">
        <v>0</v>
      </c>
      <c r="G448">
        <v>0</v>
      </c>
      <c r="H448">
        <f t="shared" si="6"/>
        <v>1</v>
      </c>
    </row>
    <row r="449" spans="1:8">
      <c r="A449">
        <v>2535</v>
      </c>
      <c r="C449">
        <v>0</v>
      </c>
      <c r="D449">
        <v>1</v>
      </c>
      <c r="E449">
        <v>2</v>
      </c>
      <c r="F449">
        <v>0</v>
      </c>
      <c r="G449">
        <v>0</v>
      </c>
      <c r="H449">
        <f t="shared" si="6"/>
        <v>3</v>
      </c>
    </row>
    <row r="450" spans="1:8">
      <c r="A450">
        <v>2536</v>
      </c>
      <c r="C450">
        <v>0</v>
      </c>
      <c r="D450">
        <v>1</v>
      </c>
      <c r="E450">
        <v>2</v>
      </c>
      <c r="F450">
        <v>0</v>
      </c>
      <c r="G450">
        <v>0</v>
      </c>
      <c r="H450">
        <f t="shared" si="6"/>
        <v>3</v>
      </c>
    </row>
    <row r="451" spans="1:8">
      <c r="A451">
        <v>2537</v>
      </c>
      <c r="C451">
        <v>0</v>
      </c>
      <c r="D451">
        <v>1</v>
      </c>
      <c r="E451">
        <v>2</v>
      </c>
      <c r="F451">
        <v>0</v>
      </c>
      <c r="G451">
        <v>0</v>
      </c>
      <c r="H451">
        <f t="shared" ref="H451:H514" si="7">SUM(C451:G451)</f>
        <v>3</v>
      </c>
    </row>
    <row r="452" spans="1:8">
      <c r="A452">
        <v>2538</v>
      </c>
      <c r="C452">
        <v>0</v>
      </c>
      <c r="D452">
        <v>1</v>
      </c>
      <c r="E452">
        <v>0</v>
      </c>
      <c r="F452">
        <v>0</v>
      </c>
      <c r="G452">
        <v>1</v>
      </c>
      <c r="H452">
        <f t="shared" si="7"/>
        <v>2</v>
      </c>
    </row>
    <row r="453" spans="1:8">
      <c r="A453">
        <v>2539</v>
      </c>
      <c r="C453">
        <v>0</v>
      </c>
      <c r="D453">
        <v>0</v>
      </c>
      <c r="E453">
        <v>0</v>
      </c>
      <c r="F453">
        <v>0</v>
      </c>
      <c r="G453">
        <v>0</v>
      </c>
      <c r="H453">
        <f t="shared" si="7"/>
        <v>0</v>
      </c>
    </row>
    <row r="454" spans="1:8">
      <c r="A454">
        <v>2540</v>
      </c>
      <c r="C454">
        <v>0</v>
      </c>
      <c r="D454">
        <v>1</v>
      </c>
      <c r="E454">
        <v>0</v>
      </c>
      <c r="F454">
        <v>0</v>
      </c>
      <c r="G454">
        <v>0</v>
      </c>
      <c r="H454">
        <f t="shared" si="7"/>
        <v>1</v>
      </c>
    </row>
    <row r="455" spans="1:8">
      <c r="A455">
        <v>2542</v>
      </c>
      <c r="C455">
        <v>0</v>
      </c>
      <c r="D455">
        <v>1</v>
      </c>
      <c r="E455">
        <v>0</v>
      </c>
      <c r="F455">
        <v>0</v>
      </c>
      <c r="G455">
        <v>0</v>
      </c>
      <c r="H455">
        <f t="shared" si="7"/>
        <v>1</v>
      </c>
    </row>
    <row r="456" spans="1:8">
      <c r="A456">
        <v>2543</v>
      </c>
      <c r="C456">
        <v>0</v>
      </c>
      <c r="D456">
        <v>1</v>
      </c>
      <c r="E456">
        <v>0</v>
      </c>
      <c r="F456">
        <v>0</v>
      </c>
      <c r="G456">
        <v>0</v>
      </c>
      <c r="H456">
        <f t="shared" si="7"/>
        <v>1</v>
      </c>
    </row>
    <row r="457" spans="1:8">
      <c r="A457">
        <v>2545</v>
      </c>
      <c r="C457">
        <v>0</v>
      </c>
      <c r="D457">
        <v>0</v>
      </c>
      <c r="E457">
        <v>0</v>
      </c>
      <c r="F457">
        <v>0</v>
      </c>
      <c r="G457">
        <v>0</v>
      </c>
      <c r="H457">
        <f t="shared" si="7"/>
        <v>0</v>
      </c>
    </row>
    <row r="458" spans="1:8">
      <c r="A458">
        <v>2546</v>
      </c>
      <c r="C458">
        <v>0</v>
      </c>
      <c r="D458">
        <v>1</v>
      </c>
      <c r="E458">
        <v>2</v>
      </c>
      <c r="F458">
        <v>0</v>
      </c>
      <c r="G458">
        <v>0</v>
      </c>
      <c r="H458">
        <f t="shared" si="7"/>
        <v>3</v>
      </c>
    </row>
    <row r="459" spans="1:8">
      <c r="A459">
        <v>2547</v>
      </c>
      <c r="C459">
        <v>0</v>
      </c>
      <c r="D459">
        <v>0</v>
      </c>
      <c r="E459">
        <v>0</v>
      </c>
      <c r="F459">
        <v>0</v>
      </c>
      <c r="G459">
        <v>0</v>
      </c>
      <c r="H459">
        <f t="shared" si="7"/>
        <v>0</v>
      </c>
    </row>
    <row r="460" spans="1:8">
      <c r="A460">
        <v>2548</v>
      </c>
      <c r="C460">
        <v>0</v>
      </c>
      <c r="D460">
        <v>1</v>
      </c>
      <c r="E460">
        <v>0</v>
      </c>
      <c r="F460">
        <v>0</v>
      </c>
      <c r="G460">
        <v>0</v>
      </c>
      <c r="H460">
        <f t="shared" si="7"/>
        <v>1</v>
      </c>
    </row>
    <row r="461" spans="1:8">
      <c r="A461">
        <v>2597</v>
      </c>
      <c r="C461">
        <v>0</v>
      </c>
      <c r="D461">
        <v>1</v>
      </c>
      <c r="E461">
        <v>0</v>
      </c>
      <c r="F461">
        <v>1</v>
      </c>
      <c r="G461">
        <v>0</v>
      </c>
      <c r="H461">
        <f t="shared" si="7"/>
        <v>2</v>
      </c>
    </row>
    <row r="462" spans="1:8">
      <c r="A462">
        <v>2601</v>
      </c>
      <c r="C462">
        <v>0</v>
      </c>
      <c r="D462">
        <v>0</v>
      </c>
      <c r="E462">
        <v>0</v>
      </c>
      <c r="F462">
        <v>0</v>
      </c>
      <c r="G462">
        <v>0</v>
      </c>
      <c r="H462">
        <f t="shared" si="7"/>
        <v>0</v>
      </c>
    </row>
    <row r="463" spans="1:8">
      <c r="A463">
        <v>2603</v>
      </c>
      <c r="C463">
        <v>0</v>
      </c>
      <c r="D463">
        <v>0</v>
      </c>
      <c r="E463">
        <v>1</v>
      </c>
      <c r="F463">
        <v>0</v>
      </c>
      <c r="G463">
        <v>0</v>
      </c>
      <c r="H463">
        <f t="shared" si="7"/>
        <v>1</v>
      </c>
    </row>
    <row r="464" spans="1:8">
      <c r="A464">
        <v>2605</v>
      </c>
      <c r="C464">
        <v>1</v>
      </c>
      <c r="D464">
        <v>1</v>
      </c>
      <c r="E464">
        <v>2</v>
      </c>
      <c r="F464">
        <v>1</v>
      </c>
      <c r="G464">
        <v>0</v>
      </c>
      <c r="H464">
        <f t="shared" si="7"/>
        <v>5</v>
      </c>
    </row>
    <row r="465" spans="1:8">
      <c r="A465">
        <v>2606</v>
      </c>
      <c r="C465">
        <v>0</v>
      </c>
      <c r="D465">
        <v>1</v>
      </c>
      <c r="E465">
        <v>1</v>
      </c>
      <c r="F465">
        <v>1</v>
      </c>
      <c r="G465">
        <v>0</v>
      </c>
      <c r="H465">
        <f t="shared" si="7"/>
        <v>3</v>
      </c>
    </row>
    <row r="466" spans="1:8">
      <c r="A466">
        <v>2607</v>
      </c>
      <c r="C466">
        <v>0</v>
      </c>
      <c r="D466">
        <v>0</v>
      </c>
      <c r="E466">
        <v>1</v>
      </c>
      <c r="F466">
        <v>1</v>
      </c>
      <c r="G466">
        <v>0</v>
      </c>
      <c r="H466">
        <f t="shared" si="7"/>
        <v>2</v>
      </c>
    </row>
    <row r="467" spans="1:8">
      <c r="A467">
        <v>2608</v>
      </c>
      <c r="C467">
        <v>0</v>
      </c>
      <c r="D467">
        <v>1</v>
      </c>
      <c r="E467">
        <v>0</v>
      </c>
      <c r="F467">
        <v>1</v>
      </c>
      <c r="G467">
        <v>1</v>
      </c>
      <c r="H467">
        <f t="shared" si="7"/>
        <v>3</v>
      </c>
    </row>
    <row r="468" spans="1:8">
      <c r="A468">
        <v>2609</v>
      </c>
      <c r="C468">
        <v>0</v>
      </c>
      <c r="D468">
        <v>0</v>
      </c>
      <c r="E468">
        <v>1</v>
      </c>
      <c r="F468">
        <v>0</v>
      </c>
      <c r="G468">
        <v>0</v>
      </c>
      <c r="H468">
        <f t="shared" si="7"/>
        <v>1</v>
      </c>
    </row>
    <row r="469" spans="1:8">
      <c r="A469">
        <v>2610</v>
      </c>
      <c r="C469">
        <v>1</v>
      </c>
      <c r="D469">
        <v>1</v>
      </c>
      <c r="E469">
        <v>1</v>
      </c>
      <c r="F469">
        <v>1</v>
      </c>
      <c r="G469">
        <v>0</v>
      </c>
      <c r="H469">
        <f t="shared" si="7"/>
        <v>4</v>
      </c>
    </row>
    <row r="470" spans="1:8">
      <c r="A470">
        <v>2611</v>
      </c>
      <c r="C470">
        <v>0</v>
      </c>
      <c r="D470">
        <v>1</v>
      </c>
      <c r="E470">
        <v>0</v>
      </c>
      <c r="F470">
        <v>1</v>
      </c>
      <c r="G470">
        <v>0</v>
      </c>
      <c r="H470">
        <f t="shared" si="7"/>
        <v>2</v>
      </c>
    </row>
    <row r="471" spans="1:8">
      <c r="A471">
        <v>2612</v>
      </c>
      <c r="C471">
        <v>0</v>
      </c>
      <c r="D471">
        <v>1</v>
      </c>
      <c r="E471">
        <v>2</v>
      </c>
      <c r="F471">
        <v>1</v>
      </c>
      <c r="G471">
        <v>0</v>
      </c>
      <c r="H471">
        <f t="shared" si="7"/>
        <v>4</v>
      </c>
    </row>
    <row r="472" spans="1:8">
      <c r="A472">
        <v>2613</v>
      </c>
      <c r="C472">
        <v>0</v>
      </c>
      <c r="D472">
        <v>0</v>
      </c>
      <c r="E472">
        <v>0</v>
      </c>
      <c r="F472">
        <v>0</v>
      </c>
      <c r="G472">
        <v>0</v>
      </c>
      <c r="H472">
        <f t="shared" si="7"/>
        <v>0</v>
      </c>
    </row>
    <row r="473" spans="1:8">
      <c r="A473">
        <v>2614</v>
      </c>
      <c r="C473">
        <v>0</v>
      </c>
      <c r="D473">
        <v>1</v>
      </c>
      <c r="E473">
        <v>2</v>
      </c>
      <c r="F473">
        <v>0</v>
      </c>
      <c r="G473">
        <v>0</v>
      </c>
      <c r="H473">
        <f t="shared" si="7"/>
        <v>3</v>
      </c>
    </row>
    <row r="474" spans="1:8">
      <c r="A474">
        <v>2615</v>
      </c>
      <c r="C474">
        <v>0</v>
      </c>
      <c r="D474">
        <v>1</v>
      </c>
      <c r="E474">
        <v>0</v>
      </c>
      <c r="F474">
        <v>1</v>
      </c>
      <c r="G474">
        <v>0</v>
      </c>
      <c r="H474">
        <f t="shared" si="7"/>
        <v>2</v>
      </c>
    </row>
    <row r="475" spans="1:8">
      <c r="A475">
        <v>2616</v>
      </c>
      <c r="C475">
        <v>0</v>
      </c>
      <c r="D475">
        <v>1</v>
      </c>
      <c r="E475">
        <v>1</v>
      </c>
      <c r="F475">
        <v>1</v>
      </c>
      <c r="G475">
        <v>0</v>
      </c>
      <c r="H475">
        <f t="shared" si="7"/>
        <v>3</v>
      </c>
    </row>
    <row r="476" spans="1:8">
      <c r="A476">
        <v>2617</v>
      </c>
      <c r="C476">
        <v>0</v>
      </c>
      <c r="D476">
        <v>1</v>
      </c>
      <c r="E476">
        <v>1</v>
      </c>
      <c r="F476">
        <v>1</v>
      </c>
      <c r="G476">
        <v>0</v>
      </c>
      <c r="H476">
        <f t="shared" si="7"/>
        <v>3</v>
      </c>
    </row>
    <row r="477" spans="1:8">
      <c r="A477">
        <v>2618</v>
      </c>
      <c r="C477">
        <v>1</v>
      </c>
      <c r="D477">
        <v>1</v>
      </c>
      <c r="E477">
        <v>2</v>
      </c>
      <c r="F477">
        <v>1</v>
      </c>
      <c r="G477">
        <v>0</v>
      </c>
      <c r="H477">
        <f t="shared" si="7"/>
        <v>5</v>
      </c>
    </row>
    <row r="478" spans="1:8">
      <c r="A478">
        <v>2634</v>
      </c>
      <c r="C478">
        <v>1</v>
      </c>
      <c r="D478">
        <v>1</v>
      </c>
      <c r="E478">
        <v>0</v>
      </c>
      <c r="F478">
        <v>1</v>
      </c>
      <c r="G478">
        <v>0</v>
      </c>
      <c r="H478">
        <f t="shared" si="7"/>
        <v>3</v>
      </c>
    </row>
    <row r="479" spans="1:8">
      <c r="A479">
        <v>2636</v>
      </c>
      <c r="C479">
        <v>0</v>
      </c>
      <c r="D479">
        <v>0</v>
      </c>
      <c r="E479">
        <v>1</v>
      </c>
      <c r="F479">
        <v>1</v>
      </c>
      <c r="G479">
        <v>0</v>
      </c>
      <c r="H479">
        <f t="shared" si="7"/>
        <v>2</v>
      </c>
    </row>
    <row r="480" spans="1:8">
      <c r="A480">
        <v>2637</v>
      </c>
      <c r="C480">
        <v>1</v>
      </c>
      <c r="D480">
        <v>1</v>
      </c>
      <c r="E480">
        <v>2</v>
      </c>
      <c r="F480">
        <v>1</v>
      </c>
      <c r="G480">
        <v>1</v>
      </c>
      <c r="H480">
        <f t="shared" si="7"/>
        <v>6</v>
      </c>
    </row>
    <row r="481" spans="1:8">
      <c r="A481">
        <v>2640</v>
      </c>
      <c r="C481">
        <v>0</v>
      </c>
      <c r="D481">
        <v>0</v>
      </c>
      <c r="E481">
        <v>0</v>
      </c>
      <c r="F481">
        <v>0</v>
      </c>
      <c r="G481">
        <v>0</v>
      </c>
      <c r="H481">
        <f t="shared" si="7"/>
        <v>0</v>
      </c>
    </row>
    <row r="482" spans="1:8">
      <c r="A482">
        <v>2641</v>
      </c>
      <c r="C482">
        <v>0</v>
      </c>
      <c r="D482">
        <v>0</v>
      </c>
      <c r="E482">
        <v>1</v>
      </c>
      <c r="F482">
        <v>1</v>
      </c>
      <c r="G482">
        <v>0</v>
      </c>
      <c r="H482">
        <f t="shared" si="7"/>
        <v>2</v>
      </c>
    </row>
    <row r="483" spans="1:8">
      <c r="A483">
        <v>2642</v>
      </c>
      <c r="C483">
        <v>0</v>
      </c>
      <c r="D483">
        <v>0</v>
      </c>
      <c r="E483">
        <v>2</v>
      </c>
      <c r="F483">
        <v>1</v>
      </c>
      <c r="G483">
        <v>0</v>
      </c>
      <c r="H483">
        <f t="shared" si="7"/>
        <v>3</v>
      </c>
    </row>
    <row r="484" spans="1:8">
      <c r="A484">
        <v>2701</v>
      </c>
      <c r="C484">
        <v>1</v>
      </c>
      <c r="D484">
        <v>1</v>
      </c>
      <c r="E484">
        <v>2</v>
      </c>
      <c r="F484">
        <v>1</v>
      </c>
      <c r="G484">
        <v>1</v>
      </c>
      <c r="H484">
        <f t="shared" si="7"/>
        <v>6</v>
      </c>
    </row>
    <row r="485" spans="1:8">
      <c r="A485">
        <v>2702</v>
      </c>
      <c r="C485">
        <v>1</v>
      </c>
      <c r="D485">
        <v>1</v>
      </c>
      <c r="E485">
        <v>1</v>
      </c>
      <c r="F485">
        <v>1</v>
      </c>
      <c r="G485">
        <v>1</v>
      </c>
      <c r="H485">
        <f t="shared" si="7"/>
        <v>5</v>
      </c>
    </row>
    <row r="486" spans="1:8">
      <c r="A486">
        <v>2704</v>
      </c>
      <c r="C486">
        <v>0</v>
      </c>
      <c r="D486">
        <v>1</v>
      </c>
      <c r="E486">
        <v>0</v>
      </c>
      <c r="F486">
        <v>1</v>
      </c>
      <c r="G486">
        <v>0</v>
      </c>
      <c r="H486">
        <f t="shared" si="7"/>
        <v>2</v>
      </c>
    </row>
    <row r="487" spans="1:8">
      <c r="A487">
        <v>2705</v>
      </c>
      <c r="C487">
        <v>0</v>
      </c>
      <c r="D487">
        <v>1</v>
      </c>
      <c r="E487">
        <v>0</v>
      </c>
      <c r="F487">
        <v>1</v>
      </c>
      <c r="G487">
        <v>0</v>
      </c>
      <c r="H487">
        <f t="shared" si="7"/>
        <v>2</v>
      </c>
    </row>
    <row r="488" spans="1:8">
      <c r="A488">
        <v>2706</v>
      </c>
      <c r="C488">
        <v>1</v>
      </c>
      <c r="D488">
        <v>1</v>
      </c>
      <c r="E488">
        <v>1</v>
      </c>
      <c r="F488">
        <v>1</v>
      </c>
      <c r="G488">
        <v>0</v>
      </c>
      <c r="H488">
        <f t="shared" si="7"/>
        <v>4</v>
      </c>
    </row>
    <row r="489" spans="1:8">
      <c r="A489">
        <v>2707</v>
      </c>
      <c r="C489">
        <v>0</v>
      </c>
      <c r="D489">
        <v>0</v>
      </c>
      <c r="E489">
        <v>0</v>
      </c>
      <c r="F489">
        <v>1</v>
      </c>
      <c r="G489">
        <v>0</v>
      </c>
      <c r="H489">
        <f t="shared" si="7"/>
        <v>1</v>
      </c>
    </row>
    <row r="490" spans="1:8">
      <c r="A490">
        <v>2712</v>
      </c>
      <c r="C490">
        <v>0</v>
      </c>
      <c r="D490">
        <v>1</v>
      </c>
      <c r="E490">
        <v>0</v>
      </c>
      <c r="F490">
        <v>1</v>
      </c>
      <c r="G490">
        <v>0</v>
      </c>
      <c r="H490">
        <f t="shared" si="7"/>
        <v>2</v>
      </c>
    </row>
    <row r="491" spans="1:8">
      <c r="A491">
        <v>2718</v>
      </c>
      <c r="C491">
        <v>0</v>
      </c>
      <c r="D491">
        <v>1</v>
      </c>
      <c r="E491">
        <v>1</v>
      </c>
      <c r="F491">
        <v>1</v>
      </c>
      <c r="G491">
        <v>0</v>
      </c>
      <c r="H491">
        <f t="shared" si="7"/>
        <v>3</v>
      </c>
    </row>
    <row r="492" spans="1:8">
      <c r="A492">
        <v>2719</v>
      </c>
      <c r="C492">
        <v>0</v>
      </c>
      <c r="D492">
        <v>0</v>
      </c>
      <c r="E492">
        <v>0</v>
      </c>
      <c r="F492">
        <v>0</v>
      </c>
      <c r="G492">
        <v>0</v>
      </c>
      <c r="H492">
        <f t="shared" si="7"/>
        <v>0</v>
      </c>
    </row>
    <row r="493" spans="1:8">
      <c r="A493">
        <v>2722</v>
      </c>
      <c r="C493">
        <v>0</v>
      </c>
      <c r="D493">
        <v>1</v>
      </c>
      <c r="E493">
        <v>0</v>
      </c>
      <c r="F493">
        <v>0</v>
      </c>
      <c r="G493">
        <v>0</v>
      </c>
      <c r="H493">
        <f t="shared" si="7"/>
        <v>1</v>
      </c>
    </row>
    <row r="494" spans="1:8">
      <c r="A494">
        <v>2723</v>
      </c>
      <c r="C494">
        <v>1</v>
      </c>
      <c r="D494">
        <v>1</v>
      </c>
      <c r="E494">
        <v>2</v>
      </c>
      <c r="F494">
        <v>1</v>
      </c>
      <c r="G494">
        <v>0</v>
      </c>
      <c r="H494">
        <f t="shared" si="7"/>
        <v>5</v>
      </c>
    </row>
    <row r="495" spans="1:8">
      <c r="A495">
        <v>2724</v>
      </c>
      <c r="C495">
        <v>0</v>
      </c>
      <c r="D495">
        <v>0</v>
      </c>
      <c r="E495">
        <v>2</v>
      </c>
      <c r="F495">
        <v>1</v>
      </c>
      <c r="G495">
        <v>0</v>
      </c>
      <c r="H495">
        <f t="shared" si="7"/>
        <v>3</v>
      </c>
    </row>
    <row r="496" spans="1:8">
      <c r="A496">
        <v>2726</v>
      </c>
      <c r="C496">
        <v>1</v>
      </c>
      <c r="D496">
        <v>1</v>
      </c>
      <c r="E496">
        <v>2</v>
      </c>
      <c r="F496">
        <v>1</v>
      </c>
      <c r="G496">
        <v>0</v>
      </c>
      <c r="H496">
        <f t="shared" si="7"/>
        <v>5</v>
      </c>
    </row>
    <row r="497" spans="1:8">
      <c r="A497">
        <v>2727</v>
      </c>
      <c r="C497">
        <v>0</v>
      </c>
      <c r="D497">
        <v>0</v>
      </c>
      <c r="E497">
        <v>0</v>
      </c>
      <c r="F497">
        <v>1</v>
      </c>
      <c r="G497">
        <v>0</v>
      </c>
      <c r="H497">
        <f t="shared" si="7"/>
        <v>1</v>
      </c>
    </row>
    <row r="498" spans="1:8">
      <c r="A498">
        <v>2729</v>
      </c>
      <c r="C498">
        <v>0</v>
      </c>
      <c r="D498">
        <v>0</v>
      </c>
      <c r="E498">
        <v>1</v>
      </c>
      <c r="F498">
        <v>1</v>
      </c>
      <c r="G498">
        <v>0</v>
      </c>
      <c r="H498">
        <f t="shared" si="7"/>
        <v>2</v>
      </c>
    </row>
    <row r="499" spans="1:8">
      <c r="A499">
        <v>2731</v>
      </c>
      <c r="C499">
        <v>0</v>
      </c>
      <c r="D499">
        <v>0</v>
      </c>
      <c r="E499">
        <v>1</v>
      </c>
      <c r="F499">
        <v>0</v>
      </c>
      <c r="G499">
        <v>0</v>
      </c>
      <c r="H499">
        <f t="shared" si="7"/>
        <v>1</v>
      </c>
    </row>
    <row r="500" spans="1:8">
      <c r="A500">
        <v>2732</v>
      </c>
      <c r="C500">
        <v>0</v>
      </c>
      <c r="D500">
        <v>1</v>
      </c>
      <c r="E500">
        <v>2</v>
      </c>
      <c r="F500">
        <v>1</v>
      </c>
      <c r="G500">
        <v>0</v>
      </c>
      <c r="H500">
        <f t="shared" si="7"/>
        <v>4</v>
      </c>
    </row>
    <row r="501" spans="1:8">
      <c r="A501">
        <v>2734</v>
      </c>
      <c r="C501">
        <v>0</v>
      </c>
      <c r="D501">
        <v>0</v>
      </c>
      <c r="E501">
        <v>2</v>
      </c>
      <c r="F501">
        <v>0</v>
      </c>
      <c r="G501">
        <v>1</v>
      </c>
      <c r="H501">
        <f t="shared" si="7"/>
        <v>3</v>
      </c>
    </row>
    <row r="502" spans="1:8">
      <c r="A502">
        <v>2841</v>
      </c>
      <c r="C502">
        <v>0</v>
      </c>
      <c r="D502">
        <v>0</v>
      </c>
      <c r="E502">
        <v>1</v>
      </c>
      <c r="F502">
        <v>0</v>
      </c>
      <c r="G502">
        <v>0</v>
      </c>
      <c r="H502">
        <f t="shared" si="7"/>
        <v>1</v>
      </c>
    </row>
    <row r="503" spans="1:8">
      <c r="A503">
        <v>2901</v>
      </c>
      <c r="C503">
        <v>1</v>
      </c>
      <c r="D503">
        <v>1</v>
      </c>
      <c r="E503">
        <v>0</v>
      </c>
      <c r="F503">
        <v>1</v>
      </c>
      <c r="G503">
        <v>0</v>
      </c>
      <c r="H503">
        <f t="shared" si="7"/>
        <v>3</v>
      </c>
    </row>
    <row r="504" spans="1:8">
      <c r="A504">
        <v>2903</v>
      </c>
      <c r="C504">
        <v>1</v>
      </c>
      <c r="D504">
        <v>1</v>
      </c>
      <c r="E504">
        <v>0</v>
      </c>
      <c r="F504">
        <v>0</v>
      </c>
      <c r="G504">
        <v>0</v>
      </c>
      <c r="H504">
        <f t="shared" si="7"/>
        <v>2</v>
      </c>
    </row>
    <row r="505" spans="1:8">
      <c r="A505">
        <v>2904</v>
      </c>
      <c r="C505">
        <v>0</v>
      </c>
      <c r="D505">
        <v>1</v>
      </c>
      <c r="E505">
        <v>1</v>
      </c>
      <c r="F505">
        <v>1</v>
      </c>
      <c r="G505">
        <v>0</v>
      </c>
      <c r="H505">
        <f t="shared" si="7"/>
        <v>3</v>
      </c>
    </row>
    <row r="506" spans="1:8">
      <c r="A506">
        <v>2906</v>
      </c>
      <c r="C506">
        <v>0</v>
      </c>
      <c r="D506">
        <v>0</v>
      </c>
      <c r="E506">
        <v>2</v>
      </c>
      <c r="F506">
        <v>0</v>
      </c>
      <c r="G506">
        <v>0</v>
      </c>
      <c r="H506">
        <f t="shared" si="7"/>
        <v>2</v>
      </c>
    </row>
    <row r="507" spans="1:8">
      <c r="A507">
        <v>2908</v>
      </c>
      <c r="C507">
        <v>0</v>
      </c>
      <c r="D507">
        <v>1</v>
      </c>
      <c r="E507">
        <v>0</v>
      </c>
      <c r="F507">
        <v>0</v>
      </c>
      <c r="G507">
        <v>0</v>
      </c>
      <c r="H507">
        <f t="shared" si="7"/>
        <v>1</v>
      </c>
    </row>
    <row r="508" spans="1:8">
      <c r="A508">
        <v>2910</v>
      </c>
      <c r="C508">
        <v>0</v>
      </c>
      <c r="D508">
        <v>0</v>
      </c>
      <c r="E508">
        <v>0</v>
      </c>
      <c r="F508">
        <v>1</v>
      </c>
      <c r="G508">
        <v>0</v>
      </c>
      <c r="H508">
        <f t="shared" si="7"/>
        <v>1</v>
      </c>
    </row>
    <row r="509" spans="1:8">
      <c r="A509">
        <v>2911</v>
      </c>
      <c r="C509">
        <v>0</v>
      </c>
      <c r="D509">
        <v>1</v>
      </c>
      <c r="E509">
        <v>0</v>
      </c>
      <c r="F509">
        <v>0</v>
      </c>
      <c r="G509">
        <v>0</v>
      </c>
      <c r="H509">
        <f t="shared" si="7"/>
        <v>1</v>
      </c>
    </row>
    <row r="510" spans="1:8">
      <c r="A510">
        <v>2912</v>
      </c>
      <c r="C510">
        <v>0</v>
      </c>
      <c r="D510">
        <v>1</v>
      </c>
      <c r="E510">
        <v>0</v>
      </c>
      <c r="F510">
        <v>1</v>
      </c>
      <c r="G510">
        <v>0</v>
      </c>
      <c r="H510">
        <f t="shared" si="7"/>
        <v>2</v>
      </c>
    </row>
    <row r="511" spans="1:8">
      <c r="A511">
        <v>2913</v>
      </c>
      <c r="C511">
        <v>0</v>
      </c>
      <c r="D511">
        <v>1</v>
      </c>
      <c r="E511">
        <v>0</v>
      </c>
      <c r="F511">
        <v>0</v>
      </c>
      <c r="G511">
        <v>0</v>
      </c>
      <c r="H511">
        <f t="shared" si="7"/>
        <v>1</v>
      </c>
    </row>
    <row r="512" spans="1:8">
      <c r="A512">
        <v>2915</v>
      </c>
      <c r="C512">
        <v>0</v>
      </c>
      <c r="D512">
        <v>1</v>
      </c>
      <c r="E512">
        <v>1</v>
      </c>
      <c r="F512">
        <v>1</v>
      </c>
      <c r="G512">
        <v>0</v>
      </c>
      <c r="H512">
        <f t="shared" si="7"/>
        <v>3</v>
      </c>
    </row>
    <row r="513" spans="1:8">
      <c r="A513">
        <v>2916</v>
      </c>
      <c r="C513">
        <v>0</v>
      </c>
      <c r="D513">
        <v>1</v>
      </c>
      <c r="E513">
        <v>0</v>
      </c>
      <c r="F513">
        <v>0</v>
      </c>
      <c r="G513">
        <v>0</v>
      </c>
      <c r="H513">
        <f t="shared" si="7"/>
        <v>1</v>
      </c>
    </row>
    <row r="514" spans="1:8">
      <c r="A514">
        <v>2923</v>
      </c>
      <c r="C514">
        <v>0</v>
      </c>
      <c r="D514">
        <v>0</v>
      </c>
      <c r="E514">
        <v>2</v>
      </c>
      <c r="F514">
        <v>1</v>
      </c>
      <c r="G514">
        <v>1</v>
      </c>
      <c r="H514">
        <f t="shared" si="7"/>
        <v>4</v>
      </c>
    </row>
    <row r="515" spans="1:8">
      <c r="A515">
        <v>2924</v>
      </c>
      <c r="C515">
        <v>0</v>
      </c>
      <c r="D515">
        <v>1</v>
      </c>
      <c r="E515">
        <v>0</v>
      </c>
      <c r="F515">
        <v>0</v>
      </c>
      <c r="G515">
        <v>0</v>
      </c>
      <c r="H515">
        <f t="shared" ref="H515:H578" si="8">SUM(C515:G515)</f>
        <v>1</v>
      </c>
    </row>
    <row r="516" spans="1:8">
      <c r="A516">
        <v>2926</v>
      </c>
      <c r="C516">
        <v>0</v>
      </c>
      <c r="D516">
        <v>1</v>
      </c>
      <c r="E516">
        <v>0</v>
      </c>
      <c r="F516">
        <v>1</v>
      </c>
      <c r="G516">
        <v>0</v>
      </c>
      <c r="H516">
        <f t="shared" si="8"/>
        <v>2</v>
      </c>
    </row>
    <row r="517" spans="1:8">
      <c r="A517">
        <v>2929</v>
      </c>
      <c r="C517">
        <v>0</v>
      </c>
      <c r="D517">
        <v>0</v>
      </c>
      <c r="E517">
        <v>0</v>
      </c>
      <c r="F517">
        <v>1</v>
      </c>
      <c r="G517">
        <v>0</v>
      </c>
      <c r="H517">
        <f t="shared" si="8"/>
        <v>1</v>
      </c>
    </row>
    <row r="518" spans="1:8">
      <c r="A518">
        <v>3002</v>
      </c>
      <c r="C518">
        <v>0</v>
      </c>
      <c r="D518">
        <v>0</v>
      </c>
      <c r="E518">
        <v>2</v>
      </c>
      <c r="F518">
        <v>1</v>
      </c>
      <c r="G518">
        <v>0</v>
      </c>
      <c r="H518">
        <f t="shared" si="8"/>
        <v>3</v>
      </c>
    </row>
    <row r="519" spans="1:8">
      <c r="A519">
        <v>3003</v>
      </c>
      <c r="C519">
        <v>1</v>
      </c>
      <c r="D519">
        <v>1</v>
      </c>
      <c r="E519">
        <v>0</v>
      </c>
      <c r="F519">
        <v>0</v>
      </c>
      <c r="G519">
        <v>0</v>
      </c>
      <c r="H519">
        <f t="shared" si="8"/>
        <v>2</v>
      </c>
    </row>
    <row r="520" spans="1:8">
      <c r="A520">
        <v>3004</v>
      </c>
      <c r="C520">
        <v>1</v>
      </c>
      <c r="D520">
        <v>1</v>
      </c>
      <c r="E520">
        <v>0</v>
      </c>
      <c r="F520">
        <v>1</v>
      </c>
      <c r="G520">
        <v>1</v>
      </c>
      <c r="H520">
        <f t="shared" si="8"/>
        <v>4</v>
      </c>
    </row>
    <row r="521" spans="1:8">
      <c r="A521">
        <v>3005</v>
      </c>
      <c r="C521">
        <v>0</v>
      </c>
      <c r="D521">
        <v>1</v>
      </c>
      <c r="E521">
        <v>0</v>
      </c>
      <c r="F521">
        <v>1</v>
      </c>
      <c r="G521">
        <v>0</v>
      </c>
      <c r="H521">
        <f t="shared" si="8"/>
        <v>2</v>
      </c>
    </row>
    <row r="522" spans="1:8">
      <c r="A522">
        <v>3006</v>
      </c>
      <c r="C522">
        <v>0</v>
      </c>
      <c r="D522">
        <v>1</v>
      </c>
      <c r="E522">
        <v>0</v>
      </c>
      <c r="F522">
        <v>1</v>
      </c>
      <c r="G522">
        <v>0</v>
      </c>
      <c r="H522">
        <f t="shared" si="8"/>
        <v>2</v>
      </c>
    </row>
    <row r="523" spans="1:8">
      <c r="A523">
        <v>3008</v>
      </c>
      <c r="C523">
        <v>1</v>
      </c>
      <c r="D523">
        <v>1</v>
      </c>
      <c r="E523">
        <v>0</v>
      </c>
      <c r="F523">
        <v>1</v>
      </c>
      <c r="G523">
        <v>0</v>
      </c>
      <c r="H523">
        <f t="shared" si="8"/>
        <v>3</v>
      </c>
    </row>
    <row r="524" spans="1:8">
      <c r="A524">
        <v>3010</v>
      </c>
      <c r="C524">
        <v>0</v>
      </c>
      <c r="D524">
        <v>0</v>
      </c>
      <c r="E524">
        <v>1</v>
      </c>
      <c r="F524">
        <v>0</v>
      </c>
      <c r="G524">
        <v>0</v>
      </c>
      <c r="H524">
        <f t="shared" si="8"/>
        <v>1</v>
      </c>
    </row>
    <row r="525" spans="1:8">
      <c r="A525">
        <v>3011</v>
      </c>
      <c r="C525">
        <v>0</v>
      </c>
      <c r="D525">
        <v>1</v>
      </c>
      <c r="E525">
        <v>0</v>
      </c>
      <c r="F525">
        <v>0</v>
      </c>
      <c r="G525">
        <v>0</v>
      </c>
      <c r="H525">
        <f t="shared" si="8"/>
        <v>1</v>
      </c>
    </row>
    <row r="526" spans="1:8">
      <c r="A526">
        <v>3013</v>
      </c>
      <c r="C526">
        <v>0</v>
      </c>
      <c r="D526">
        <v>1</v>
      </c>
      <c r="E526">
        <v>0</v>
      </c>
      <c r="F526">
        <v>1</v>
      </c>
      <c r="G526">
        <v>0</v>
      </c>
      <c r="H526">
        <f t="shared" si="8"/>
        <v>2</v>
      </c>
    </row>
    <row r="527" spans="1:8">
      <c r="A527">
        <v>3014</v>
      </c>
      <c r="C527">
        <v>0</v>
      </c>
      <c r="D527">
        <v>1</v>
      </c>
      <c r="E527">
        <v>1</v>
      </c>
      <c r="F527">
        <v>1</v>
      </c>
      <c r="G527">
        <v>0</v>
      </c>
      <c r="H527">
        <f t="shared" si="8"/>
        <v>3</v>
      </c>
    </row>
    <row r="528" spans="1:8">
      <c r="A528">
        <v>3015</v>
      </c>
      <c r="C528">
        <v>1</v>
      </c>
      <c r="D528">
        <v>1</v>
      </c>
      <c r="E528">
        <v>0</v>
      </c>
      <c r="F528">
        <v>1</v>
      </c>
      <c r="G528">
        <v>0</v>
      </c>
      <c r="H528">
        <f t="shared" si="8"/>
        <v>3</v>
      </c>
    </row>
    <row r="529" spans="1:8">
      <c r="A529">
        <v>3016</v>
      </c>
      <c r="C529">
        <v>1</v>
      </c>
      <c r="D529">
        <v>1</v>
      </c>
      <c r="E529">
        <v>0</v>
      </c>
      <c r="F529">
        <v>0</v>
      </c>
      <c r="G529">
        <v>0</v>
      </c>
      <c r="H529">
        <f t="shared" si="8"/>
        <v>2</v>
      </c>
    </row>
    <row r="530" spans="1:8">
      <c r="A530">
        <v>3017</v>
      </c>
      <c r="C530">
        <v>0</v>
      </c>
      <c r="D530">
        <v>1</v>
      </c>
      <c r="E530">
        <v>2</v>
      </c>
      <c r="F530">
        <v>0</v>
      </c>
      <c r="G530">
        <v>0</v>
      </c>
      <c r="H530">
        <f t="shared" si="8"/>
        <v>3</v>
      </c>
    </row>
    <row r="531" spans="1:8">
      <c r="A531">
        <v>3018</v>
      </c>
      <c r="C531">
        <v>0</v>
      </c>
      <c r="D531">
        <v>0</v>
      </c>
      <c r="E531">
        <v>0</v>
      </c>
      <c r="F531">
        <v>0</v>
      </c>
      <c r="G531">
        <v>0</v>
      </c>
      <c r="H531">
        <f t="shared" si="8"/>
        <v>0</v>
      </c>
    </row>
    <row r="532" spans="1:8">
      <c r="A532">
        <v>3019</v>
      </c>
      <c r="C532">
        <v>1</v>
      </c>
      <c r="D532">
        <v>1</v>
      </c>
      <c r="E532">
        <v>1</v>
      </c>
      <c r="F532">
        <v>1</v>
      </c>
      <c r="G532">
        <v>0</v>
      </c>
      <c r="H532">
        <f t="shared" si="8"/>
        <v>4</v>
      </c>
    </row>
    <row r="533" spans="1:8">
      <c r="A533">
        <v>3021</v>
      </c>
      <c r="C533">
        <v>1</v>
      </c>
      <c r="D533">
        <v>1</v>
      </c>
      <c r="E533">
        <v>0</v>
      </c>
      <c r="F533">
        <v>1</v>
      </c>
      <c r="G533">
        <v>0</v>
      </c>
      <c r="H533">
        <f t="shared" si="8"/>
        <v>3</v>
      </c>
    </row>
    <row r="534" spans="1:8">
      <c r="A534">
        <v>3022</v>
      </c>
      <c r="C534">
        <v>0</v>
      </c>
      <c r="D534">
        <v>1</v>
      </c>
      <c r="E534">
        <v>0</v>
      </c>
      <c r="F534">
        <v>1</v>
      </c>
      <c r="G534">
        <v>0</v>
      </c>
      <c r="H534">
        <f t="shared" si="8"/>
        <v>2</v>
      </c>
    </row>
    <row r="535" spans="1:8">
      <c r="A535">
        <v>3023</v>
      </c>
      <c r="C535">
        <v>1</v>
      </c>
      <c r="D535">
        <v>1</v>
      </c>
      <c r="E535">
        <v>0</v>
      </c>
      <c r="F535">
        <v>1</v>
      </c>
      <c r="G535">
        <v>0</v>
      </c>
      <c r="H535">
        <f t="shared" si="8"/>
        <v>3</v>
      </c>
    </row>
    <row r="536" spans="1:8">
      <c r="A536">
        <v>3024</v>
      </c>
      <c r="C536">
        <v>0</v>
      </c>
      <c r="D536">
        <v>0</v>
      </c>
      <c r="E536">
        <v>0</v>
      </c>
      <c r="F536">
        <v>0</v>
      </c>
      <c r="G536">
        <v>0</v>
      </c>
      <c r="H536">
        <f t="shared" si="8"/>
        <v>0</v>
      </c>
    </row>
    <row r="537" spans="1:8">
      <c r="A537">
        <v>3025</v>
      </c>
      <c r="C537">
        <v>0</v>
      </c>
      <c r="D537">
        <v>0</v>
      </c>
      <c r="E537">
        <v>0</v>
      </c>
      <c r="F537">
        <v>0</v>
      </c>
      <c r="G537">
        <v>0</v>
      </c>
      <c r="H537">
        <f t="shared" si="8"/>
        <v>0</v>
      </c>
    </row>
    <row r="538" spans="1:8">
      <c r="A538">
        <v>3026</v>
      </c>
      <c r="C538">
        <v>0</v>
      </c>
      <c r="D538">
        <v>0</v>
      </c>
      <c r="E538">
        <v>0</v>
      </c>
      <c r="F538">
        <v>0</v>
      </c>
      <c r="G538">
        <v>0</v>
      </c>
      <c r="H538">
        <f t="shared" si="8"/>
        <v>0</v>
      </c>
    </row>
    <row r="539" spans="1:8">
      <c r="A539">
        <v>3027</v>
      </c>
      <c r="C539">
        <v>0</v>
      </c>
      <c r="D539">
        <v>0</v>
      </c>
      <c r="E539">
        <v>2</v>
      </c>
      <c r="F539">
        <v>0</v>
      </c>
      <c r="G539">
        <v>0</v>
      </c>
      <c r="H539">
        <f t="shared" si="8"/>
        <v>2</v>
      </c>
    </row>
    <row r="540" spans="1:8">
      <c r="A540">
        <v>3028</v>
      </c>
      <c r="C540">
        <v>0</v>
      </c>
      <c r="D540">
        <v>1</v>
      </c>
      <c r="E540">
        <v>0</v>
      </c>
      <c r="F540">
        <v>0</v>
      </c>
      <c r="G540">
        <v>0</v>
      </c>
      <c r="H540">
        <f t="shared" si="8"/>
        <v>1</v>
      </c>
    </row>
    <row r="541" spans="1:8">
      <c r="A541">
        <v>3029</v>
      </c>
      <c r="C541">
        <v>0</v>
      </c>
      <c r="D541">
        <v>1</v>
      </c>
      <c r="E541">
        <v>1</v>
      </c>
      <c r="F541">
        <v>0</v>
      </c>
      <c r="G541">
        <v>0</v>
      </c>
      <c r="H541">
        <f t="shared" si="8"/>
        <v>2</v>
      </c>
    </row>
    <row r="542" spans="1:8">
      <c r="A542">
        <v>3030</v>
      </c>
      <c r="C542">
        <v>0</v>
      </c>
      <c r="D542">
        <v>1</v>
      </c>
      <c r="E542">
        <v>0</v>
      </c>
      <c r="F542">
        <v>0</v>
      </c>
      <c r="G542">
        <v>0</v>
      </c>
      <c r="H542">
        <f t="shared" si="8"/>
        <v>1</v>
      </c>
    </row>
    <row r="543" spans="1:8">
      <c r="A543">
        <v>3031</v>
      </c>
      <c r="C543">
        <v>1</v>
      </c>
      <c r="D543">
        <v>1</v>
      </c>
      <c r="E543">
        <v>0</v>
      </c>
      <c r="F543">
        <v>1</v>
      </c>
      <c r="G543">
        <v>0</v>
      </c>
      <c r="H543">
        <f t="shared" si="8"/>
        <v>3</v>
      </c>
    </row>
    <row r="544" spans="1:8">
      <c r="A544">
        <v>3032</v>
      </c>
      <c r="C544">
        <v>1</v>
      </c>
      <c r="D544">
        <v>1</v>
      </c>
      <c r="E544">
        <v>1</v>
      </c>
      <c r="F544">
        <v>1</v>
      </c>
      <c r="G544">
        <v>0</v>
      </c>
      <c r="H544">
        <f t="shared" si="8"/>
        <v>4</v>
      </c>
    </row>
    <row r="545" spans="1:8">
      <c r="A545">
        <v>3033</v>
      </c>
      <c r="C545">
        <v>0</v>
      </c>
      <c r="D545">
        <v>1</v>
      </c>
      <c r="E545">
        <v>2</v>
      </c>
      <c r="F545">
        <v>0</v>
      </c>
      <c r="G545">
        <v>0</v>
      </c>
      <c r="H545">
        <f t="shared" si="8"/>
        <v>3</v>
      </c>
    </row>
    <row r="546" spans="1:8">
      <c r="A546">
        <v>3034</v>
      </c>
      <c r="C546">
        <v>0</v>
      </c>
      <c r="D546">
        <v>1</v>
      </c>
      <c r="E546">
        <v>1</v>
      </c>
      <c r="F546">
        <v>1</v>
      </c>
      <c r="G546">
        <v>0</v>
      </c>
      <c r="H546">
        <f t="shared" si="8"/>
        <v>3</v>
      </c>
    </row>
    <row r="547" spans="1:8">
      <c r="A547">
        <v>3035</v>
      </c>
      <c r="C547">
        <v>0</v>
      </c>
      <c r="D547">
        <v>1</v>
      </c>
      <c r="E547">
        <v>0</v>
      </c>
      <c r="F547">
        <v>0</v>
      </c>
      <c r="G547">
        <v>0</v>
      </c>
      <c r="H547">
        <f t="shared" si="8"/>
        <v>1</v>
      </c>
    </row>
    <row r="548" spans="1:8">
      <c r="A548">
        <v>3036</v>
      </c>
      <c r="C548">
        <v>0</v>
      </c>
      <c r="D548">
        <v>1</v>
      </c>
      <c r="E548">
        <v>0</v>
      </c>
      <c r="F548">
        <v>0</v>
      </c>
      <c r="G548">
        <v>0</v>
      </c>
      <c r="H548">
        <f t="shared" si="8"/>
        <v>1</v>
      </c>
    </row>
    <row r="549" spans="1:8">
      <c r="A549">
        <v>3037</v>
      </c>
      <c r="C549">
        <v>0</v>
      </c>
      <c r="D549">
        <v>1</v>
      </c>
      <c r="E549">
        <v>1</v>
      </c>
      <c r="F549">
        <v>1</v>
      </c>
      <c r="G549">
        <v>0</v>
      </c>
      <c r="H549">
        <f t="shared" si="8"/>
        <v>3</v>
      </c>
    </row>
    <row r="550" spans="1:8">
      <c r="A550">
        <v>3038</v>
      </c>
      <c r="C550">
        <v>1</v>
      </c>
      <c r="D550">
        <v>1</v>
      </c>
      <c r="E550">
        <v>0</v>
      </c>
      <c r="F550">
        <v>1</v>
      </c>
      <c r="G550">
        <v>0</v>
      </c>
      <c r="H550">
        <f t="shared" si="8"/>
        <v>3</v>
      </c>
    </row>
    <row r="551" spans="1:8">
      <c r="A551">
        <v>3040</v>
      </c>
      <c r="C551">
        <v>0</v>
      </c>
      <c r="D551">
        <v>1</v>
      </c>
      <c r="E551">
        <v>1</v>
      </c>
      <c r="F551">
        <v>0</v>
      </c>
      <c r="G551">
        <v>0</v>
      </c>
      <c r="H551">
        <f t="shared" si="8"/>
        <v>2</v>
      </c>
    </row>
    <row r="552" spans="1:8">
      <c r="A552">
        <v>3041</v>
      </c>
      <c r="C552">
        <v>0</v>
      </c>
      <c r="D552">
        <v>1</v>
      </c>
      <c r="E552">
        <v>0</v>
      </c>
      <c r="F552">
        <v>1</v>
      </c>
      <c r="G552">
        <v>0</v>
      </c>
      <c r="H552">
        <f t="shared" si="8"/>
        <v>2</v>
      </c>
    </row>
    <row r="553" spans="1:8">
      <c r="A553">
        <v>3042</v>
      </c>
      <c r="C553">
        <v>1</v>
      </c>
      <c r="D553">
        <v>1</v>
      </c>
      <c r="E553">
        <v>1</v>
      </c>
      <c r="F553">
        <v>1</v>
      </c>
      <c r="G553">
        <v>0</v>
      </c>
      <c r="H553">
        <f t="shared" si="8"/>
        <v>4</v>
      </c>
    </row>
    <row r="554" spans="1:8">
      <c r="A554">
        <v>3043</v>
      </c>
      <c r="C554">
        <v>0</v>
      </c>
      <c r="D554">
        <v>1</v>
      </c>
      <c r="E554">
        <v>1</v>
      </c>
      <c r="F554">
        <v>0</v>
      </c>
      <c r="G554">
        <v>0</v>
      </c>
      <c r="H554">
        <f t="shared" si="8"/>
        <v>2</v>
      </c>
    </row>
    <row r="555" spans="1:8">
      <c r="A555">
        <v>3044</v>
      </c>
      <c r="C555">
        <v>1</v>
      </c>
      <c r="D555">
        <v>1</v>
      </c>
      <c r="E555">
        <v>2</v>
      </c>
      <c r="F555">
        <v>1</v>
      </c>
      <c r="G555">
        <v>0</v>
      </c>
      <c r="H555">
        <f t="shared" si="8"/>
        <v>5</v>
      </c>
    </row>
    <row r="556" spans="1:8">
      <c r="A556">
        <v>3045</v>
      </c>
      <c r="C556">
        <v>1</v>
      </c>
      <c r="D556">
        <v>1</v>
      </c>
      <c r="E556">
        <v>1</v>
      </c>
      <c r="F556">
        <v>1</v>
      </c>
      <c r="G556">
        <v>0</v>
      </c>
      <c r="H556">
        <f t="shared" si="8"/>
        <v>4</v>
      </c>
    </row>
    <row r="557" spans="1:8">
      <c r="A557">
        <v>3046</v>
      </c>
      <c r="C557">
        <v>1</v>
      </c>
      <c r="D557">
        <v>1</v>
      </c>
      <c r="E557">
        <v>2</v>
      </c>
      <c r="F557">
        <v>1</v>
      </c>
      <c r="G557">
        <v>0</v>
      </c>
      <c r="H557">
        <f t="shared" si="8"/>
        <v>5</v>
      </c>
    </row>
    <row r="558" spans="1:8">
      <c r="A558">
        <v>3047</v>
      </c>
      <c r="C558">
        <v>1</v>
      </c>
      <c r="D558">
        <v>1</v>
      </c>
      <c r="E558">
        <v>0</v>
      </c>
      <c r="F558">
        <v>1</v>
      </c>
      <c r="G558">
        <v>0</v>
      </c>
      <c r="H558">
        <f t="shared" si="8"/>
        <v>3</v>
      </c>
    </row>
    <row r="559" spans="1:8">
      <c r="A559">
        <v>3048</v>
      </c>
      <c r="C559">
        <v>0</v>
      </c>
      <c r="D559">
        <v>1</v>
      </c>
      <c r="E559">
        <v>1</v>
      </c>
      <c r="F559">
        <v>0</v>
      </c>
      <c r="G559">
        <v>0</v>
      </c>
      <c r="H559">
        <f t="shared" si="8"/>
        <v>2</v>
      </c>
    </row>
    <row r="560" spans="1:8">
      <c r="A560">
        <v>3049</v>
      </c>
      <c r="C560">
        <v>1</v>
      </c>
      <c r="D560">
        <v>1</v>
      </c>
      <c r="E560">
        <v>2</v>
      </c>
      <c r="F560">
        <v>1</v>
      </c>
      <c r="G560">
        <v>0</v>
      </c>
      <c r="H560">
        <f t="shared" si="8"/>
        <v>5</v>
      </c>
    </row>
    <row r="561" spans="1:8">
      <c r="A561">
        <v>3050</v>
      </c>
      <c r="C561">
        <v>0</v>
      </c>
      <c r="D561">
        <v>1</v>
      </c>
      <c r="E561">
        <v>0</v>
      </c>
      <c r="F561">
        <v>1</v>
      </c>
      <c r="G561">
        <v>0</v>
      </c>
      <c r="H561">
        <f t="shared" si="8"/>
        <v>2</v>
      </c>
    </row>
    <row r="562" spans="1:8">
      <c r="A562">
        <v>3051</v>
      </c>
      <c r="C562">
        <v>0</v>
      </c>
      <c r="D562">
        <v>1</v>
      </c>
      <c r="E562">
        <v>0</v>
      </c>
      <c r="F562">
        <v>1</v>
      </c>
      <c r="G562">
        <v>0</v>
      </c>
      <c r="H562">
        <f t="shared" si="8"/>
        <v>2</v>
      </c>
    </row>
    <row r="563" spans="1:8">
      <c r="A563">
        <v>3052</v>
      </c>
      <c r="C563">
        <v>0</v>
      </c>
      <c r="D563">
        <v>1</v>
      </c>
      <c r="E563">
        <v>1</v>
      </c>
      <c r="F563">
        <v>0</v>
      </c>
      <c r="G563">
        <v>0</v>
      </c>
      <c r="H563">
        <f t="shared" si="8"/>
        <v>2</v>
      </c>
    </row>
    <row r="564" spans="1:8">
      <c r="A564">
        <v>3054</v>
      </c>
      <c r="C564">
        <v>0</v>
      </c>
      <c r="D564">
        <v>0</v>
      </c>
      <c r="E564">
        <v>0</v>
      </c>
      <c r="F564">
        <v>1</v>
      </c>
      <c r="G564">
        <v>0</v>
      </c>
      <c r="H564">
        <f t="shared" si="8"/>
        <v>1</v>
      </c>
    </row>
    <row r="565" spans="1:8">
      <c r="A565">
        <v>3055</v>
      </c>
      <c r="C565">
        <v>0</v>
      </c>
      <c r="D565">
        <v>0</v>
      </c>
      <c r="E565">
        <v>0</v>
      </c>
      <c r="F565">
        <v>0</v>
      </c>
      <c r="G565">
        <v>0</v>
      </c>
      <c r="H565">
        <f t="shared" si="8"/>
        <v>0</v>
      </c>
    </row>
    <row r="566" spans="1:8">
      <c r="A566">
        <v>3056</v>
      </c>
      <c r="C566">
        <v>0</v>
      </c>
      <c r="D566">
        <v>0</v>
      </c>
      <c r="E566">
        <v>0</v>
      </c>
      <c r="F566">
        <v>0</v>
      </c>
      <c r="G566">
        <v>0</v>
      </c>
      <c r="H566">
        <f t="shared" si="8"/>
        <v>0</v>
      </c>
    </row>
    <row r="567" spans="1:8">
      <c r="A567">
        <v>3057</v>
      </c>
      <c r="C567">
        <v>0</v>
      </c>
      <c r="D567">
        <v>1</v>
      </c>
      <c r="E567">
        <v>0</v>
      </c>
      <c r="F567">
        <v>1</v>
      </c>
      <c r="G567">
        <v>0</v>
      </c>
      <c r="H567">
        <f t="shared" si="8"/>
        <v>2</v>
      </c>
    </row>
    <row r="568" spans="1:8">
      <c r="A568">
        <v>3058</v>
      </c>
      <c r="C568">
        <v>0</v>
      </c>
      <c r="D568">
        <v>0</v>
      </c>
      <c r="E568">
        <v>0</v>
      </c>
      <c r="F568">
        <v>1</v>
      </c>
      <c r="G568">
        <v>0</v>
      </c>
      <c r="H568">
        <f t="shared" si="8"/>
        <v>1</v>
      </c>
    </row>
    <row r="569" spans="1:8">
      <c r="A569">
        <v>3059</v>
      </c>
      <c r="C569">
        <v>1</v>
      </c>
      <c r="D569">
        <v>1</v>
      </c>
      <c r="E569">
        <v>1</v>
      </c>
      <c r="F569">
        <v>0</v>
      </c>
      <c r="G569">
        <v>0</v>
      </c>
      <c r="H569">
        <f t="shared" si="8"/>
        <v>3</v>
      </c>
    </row>
    <row r="570" spans="1:8">
      <c r="A570">
        <v>3060</v>
      </c>
      <c r="C570">
        <v>1</v>
      </c>
      <c r="D570">
        <v>1</v>
      </c>
      <c r="E570">
        <v>0</v>
      </c>
      <c r="F570">
        <v>1</v>
      </c>
      <c r="G570">
        <v>0</v>
      </c>
      <c r="H570">
        <f t="shared" si="8"/>
        <v>3</v>
      </c>
    </row>
    <row r="571" spans="1:8">
      <c r="A571">
        <v>3062</v>
      </c>
      <c r="C571">
        <v>0</v>
      </c>
      <c r="D571">
        <v>1</v>
      </c>
      <c r="E571">
        <v>0</v>
      </c>
      <c r="F571">
        <v>1</v>
      </c>
      <c r="G571">
        <v>0</v>
      </c>
      <c r="H571">
        <f t="shared" si="8"/>
        <v>2</v>
      </c>
    </row>
    <row r="572" spans="1:8">
      <c r="A572">
        <v>3064</v>
      </c>
      <c r="C572">
        <v>0</v>
      </c>
      <c r="D572">
        <v>1</v>
      </c>
      <c r="E572">
        <v>1</v>
      </c>
      <c r="F572">
        <v>0</v>
      </c>
      <c r="G572">
        <v>0</v>
      </c>
      <c r="H572">
        <f t="shared" si="8"/>
        <v>2</v>
      </c>
    </row>
    <row r="573" spans="1:8">
      <c r="A573">
        <v>3066</v>
      </c>
      <c r="C573">
        <v>0</v>
      </c>
      <c r="D573">
        <v>0</v>
      </c>
      <c r="E573">
        <v>0</v>
      </c>
      <c r="F573">
        <v>1</v>
      </c>
      <c r="G573">
        <v>0</v>
      </c>
      <c r="H573">
        <f t="shared" si="8"/>
        <v>1</v>
      </c>
    </row>
    <row r="574" spans="1:8">
      <c r="A574">
        <v>3067</v>
      </c>
      <c r="C574">
        <v>0</v>
      </c>
      <c r="D574">
        <v>0</v>
      </c>
      <c r="E574">
        <v>0</v>
      </c>
      <c r="F574">
        <v>0</v>
      </c>
      <c r="G574">
        <v>0</v>
      </c>
      <c r="H574">
        <f t="shared" si="8"/>
        <v>0</v>
      </c>
    </row>
    <row r="575" spans="1:8">
      <c r="A575">
        <v>3068</v>
      </c>
      <c r="C575">
        <v>1</v>
      </c>
      <c r="D575">
        <v>1</v>
      </c>
      <c r="E575">
        <v>2</v>
      </c>
      <c r="F575">
        <v>1</v>
      </c>
      <c r="G575">
        <v>0</v>
      </c>
      <c r="H575">
        <f t="shared" si="8"/>
        <v>5</v>
      </c>
    </row>
    <row r="576" spans="1:8">
      <c r="A576">
        <v>3071</v>
      </c>
      <c r="C576">
        <v>0</v>
      </c>
      <c r="D576">
        <v>0</v>
      </c>
      <c r="E576">
        <v>0</v>
      </c>
      <c r="F576">
        <v>0</v>
      </c>
      <c r="G576">
        <v>0</v>
      </c>
      <c r="H576">
        <f t="shared" si="8"/>
        <v>0</v>
      </c>
    </row>
    <row r="577" spans="1:8">
      <c r="A577">
        <v>3073</v>
      </c>
      <c r="C577">
        <v>0</v>
      </c>
      <c r="D577">
        <v>1</v>
      </c>
      <c r="E577">
        <v>0</v>
      </c>
      <c r="F577">
        <v>0</v>
      </c>
      <c r="G577">
        <v>0</v>
      </c>
      <c r="H577">
        <f t="shared" si="8"/>
        <v>1</v>
      </c>
    </row>
    <row r="578" spans="1:8">
      <c r="A578">
        <v>3078</v>
      </c>
      <c r="C578">
        <v>1</v>
      </c>
      <c r="D578">
        <v>1</v>
      </c>
      <c r="E578">
        <v>2</v>
      </c>
      <c r="F578">
        <v>0</v>
      </c>
      <c r="G578">
        <v>0</v>
      </c>
      <c r="H578">
        <f t="shared" si="8"/>
        <v>4</v>
      </c>
    </row>
    <row r="579" spans="1:8">
      <c r="A579">
        <v>3081</v>
      </c>
      <c r="C579">
        <v>1</v>
      </c>
      <c r="D579">
        <v>0</v>
      </c>
      <c r="E579">
        <v>0</v>
      </c>
      <c r="F579">
        <v>0</v>
      </c>
      <c r="G579">
        <v>0</v>
      </c>
      <c r="H579">
        <f t="shared" ref="H579:H642" si="9">SUM(C579:G579)</f>
        <v>1</v>
      </c>
    </row>
    <row r="580" spans="1:8">
      <c r="A580">
        <v>3083</v>
      </c>
      <c r="C580">
        <v>0</v>
      </c>
      <c r="D580">
        <v>0</v>
      </c>
      <c r="E580">
        <v>1</v>
      </c>
      <c r="F580">
        <v>1</v>
      </c>
      <c r="G580">
        <v>0</v>
      </c>
      <c r="H580">
        <f t="shared" si="9"/>
        <v>2</v>
      </c>
    </row>
    <row r="581" spans="1:8">
      <c r="A581">
        <v>3085</v>
      </c>
      <c r="C581">
        <v>1</v>
      </c>
      <c r="D581">
        <v>1</v>
      </c>
      <c r="E581">
        <v>1</v>
      </c>
      <c r="F581">
        <v>0</v>
      </c>
      <c r="G581">
        <v>0</v>
      </c>
      <c r="H581">
        <f t="shared" si="9"/>
        <v>3</v>
      </c>
    </row>
    <row r="582" spans="1:8">
      <c r="A582">
        <v>3086</v>
      </c>
      <c r="C582">
        <v>1</v>
      </c>
      <c r="D582">
        <v>1</v>
      </c>
      <c r="E582">
        <v>1</v>
      </c>
      <c r="F582">
        <v>0</v>
      </c>
      <c r="G582">
        <v>0</v>
      </c>
      <c r="H582">
        <f t="shared" si="9"/>
        <v>3</v>
      </c>
    </row>
    <row r="583" spans="1:8">
      <c r="A583">
        <v>3088</v>
      </c>
      <c r="C583">
        <v>1</v>
      </c>
      <c r="D583">
        <v>1</v>
      </c>
      <c r="E583">
        <v>1</v>
      </c>
      <c r="F583">
        <v>1</v>
      </c>
      <c r="G583">
        <v>0</v>
      </c>
      <c r="H583">
        <f t="shared" si="9"/>
        <v>4</v>
      </c>
    </row>
    <row r="584" spans="1:8">
      <c r="A584">
        <v>3089</v>
      </c>
      <c r="C584">
        <v>0</v>
      </c>
      <c r="D584">
        <v>1</v>
      </c>
      <c r="E584">
        <v>0</v>
      </c>
      <c r="F584">
        <v>0</v>
      </c>
      <c r="G584">
        <v>0</v>
      </c>
      <c r="H584">
        <f t="shared" si="9"/>
        <v>1</v>
      </c>
    </row>
    <row r="585" spans="1:8">
      <c r="A585">
        <v>3090</v>
      </c>
      <c r="C585">
        <v>0</v>
      </c>
      <c r="D585">
        <v>1</v>
      </c>
      <c r="E585">
        <v>0</v>
      </c>
      <c r="F585">
        <v>1</v>
      </c>
      <c r="G585">
        <v>0</v>
      </c>
      <c r="H585">
        <f t="shared" si="9"/>
        <v>2</v>
      </c>
    </row>
    <row r="586" spans="1:8">
      <c r="A586">
        <v>3092</v>
      </c>
      <c r="C586">
        <v>1</v>
      </c>
      <c r="D586">
        <v>1</v>
      </c>
      <c r="E586">
        <v>0</v>
      </c>
      <c r="F586">
        <v>0</v>
      </c>
      <c r="G586">
        <v>0</v>
      </c>
      <c r="H586">
        <f t="shared" si="9"/>
        <v>2</v>
      </c>
    </row>
    <row r="587" spans="1:8">
      <c r="A587">
        <v>3093</v>
      </c>
      <c r="C587">
        <v>0</v>
      </c>
      <c r="D587">
        <v>1</v>
      </c>
      <c r="E587">
        <v>2</v>
      </c>
      <c r="F587">
        <v>1</v>
      </c>
      <c r="G587">
        <v>0</v>
      </c>
      <c r="H587">
        <f t="shared" si="9"/>
        <v>4</v>
      </c>
    </row>
    <row r="588" spans="1:8">
      <c r="A588">
        <v>3094</v>
      </c>
      <c r="C588">
        <v>1</v>
      </c>
      <c r="D588">
        <v>1</v>
      </c>
      <c r="E588">
        <v>0</v>
      </c>
      <c r="F588">
        <v>1</v>
      </c>
      <c r="G588">
        <v>1</v>
      </c>
      <c r="H588">
        <f t="shared" si="9"/>
        <v>4</v>
      </c>
    </row>
    <row r="589" spans="1:8">
      <c r="A589">
        <v>3095</v>
      </c>
      <c r="C589">
        <v>0</v>
      </c>
      <c r="D589">
        <v>0</v>
      </c>
      <c r="E589">
        <v>2</v>
      </c>
      <c r="F589">
        <v>0</v>
      </c>
      <c r="G589">
        <v>0</v>
      </c>
      <c r="H589">
        <f t="shared" si="9"/>
        <v>2</v>
      </c>
    </row>
    <row r="590" spans="1:8">
      <c r="A590">
        <v>3105</v>
      </c>
      <c r="C590">
        <v>1</v>
      </c>
      <c r="D590">
        <v>1</v>
      </c>
      <c r="E590">
        <v>0</v>
      </c>
      <c r="F590">
        <v>1</v>
      </c>
      <c r="G590">
        <v>1</v>
      </c>
      <c r="H590">
        <f t="shared" si="9"/>
        <v>4</v>
      </c>
    </row>
    <row r="591" spans="1:8">
      <c r="A591">
        <v>3114</v>
      </c>
      <c r="C591">
        <v>1</v>
      </c>
      <c r="D591">
        <v>1</v>
      </c>
      <c r="E591">
        <v>0</v>
      </c>
      <c r="F591">
        <v>1</v>
      </c>
      <c r="G591">
        <v>1</v>
      </c>
      <c r="H591">
        <f t="shared" si="9"/>
        <v>4</v>
      </c>
    </row>
    <row r="592" spans="1:8">
      <c r="A592">
        <v>3115</v>
      </c>
      <c r="C592">
        <v>0</v>
      </c>
      <c r="D592">
        <v>0</v>
      </c>
      <c r="E592">
        <v>0</v>
      </c>
      <c r="F592">
        <v>1</v>
      </c>
      <c r="G592">
        <v>0</v>
      </c>
      <c r="H592">
        <f t="shared" si="9"/>
        <v>1</v>
      </c>
    </row>
    <row r="593" spans="1:8">
      <c r="A593">
        <v>3118</v>
      </c>
      <c r="C593">
        <v>0</v>
      </c>
      <c r="D593">
        <v>1</v>
      </c>
      <c r="E593">
        <v>1</v>
      </c>
      <c r="F593">
        <v>1</v>
      </c>
      <c r="G593">
        <v>0</v>
      </c>
      <c r="H593">
        <f t="shared" si="9"/>
        <v>3</v>
      </c>
    </row>
    <row r="594" spans="1:8">
      <c r="A594">
        <v>3122</v>
      </c>
      <c r="C594">
        <v>0</v>
      </c>
      <c r="D594">
        <v>0</v>
      </c>
      <c r="E594">
        <v>0</v>
      </c>
      <c r="F594">
        <v>1</v>
      </c>
      <c r="G594">
        <v>0</v>
      </c>
      <c r="H594">
        <f t="shared" si="9"/>
        <v>1</v>
      </c>
    </row>
    <row r="595" spans="1:8">
      <c r="A595">
        <v>3128</v>
      </c>
      <c r="C595">
        <v>0</v>
      </c>
      <c r="D595">
        <v>1</v>
      </c>
      <c r="E595">
        <v>0</v>
      </c>
      <c r="F595">
        <v>1</v>
      </c>
      <c r="G595">
        <v>0</v>
      </c>
      <c r="H595">
        <f t="shared" si="9"/>
        <v>2</v>
      </c>
    </row>
    <row r="596" spans="1:8">
      <c r="A596">
        <v>3130</v>
      </c>
      <c r="C596">
        <v>0</v>
      </c>
      <c r="D596">
        <v>0</v>
      </c>
      <c r="E596">
        <v>1</v>
      </c>
      <c r="F596">
        <v>0</v>
      </c>
      <c r="G596">
        <v>1</v>
      </c>
      <c r="H596">
        <f t="shared" si="9"/>
        <v>2</v>
      </c>
    </row>
    <row r="597" spans="1:8">
      <c r="A597">
        <v>3131</v>
      </c>
      <c r="C597">
        <v>0</v>
      </c>
      <c r="D597">
        <v>1</v>
      </c>
      <c r="E597">
        <v>0</v>
      </c>
      <c r="F597">
        <v>0</v>
      </c>
      <c r="G597">
        <v>0</v>
      </c>
      <c r="H597">
        <f t="shared" si="9"/>
        <v>1</v>
      </c>
    </row>
    <row r="598" spans="1:8">
      <c r="A598">
        <v>3141</v>
      </c>
      <c r="C598">
        <v>0</v>
      </c>
      <c r="D598">
        <v>1</v>
      </c>
      <c r="E598">
        <v>0</v>
      </c>
      <c r="F598">
        <v>1</v>
      </c>
      <c r="G598">
        <v>0</v>
      </c>
      <c r="H598">
        <f t="shared" si="9"/>
        <v>2</v>
      </c>
    </row>
    <row r="599" spans="1:8">
      <c r="A599">
        <v>3144</v>
      </c>
      <c r="C599">
        <v>0</v>
      </c>
      <c r="D599">
        <v>1</v>
      </c>
      <c r="E599">
        <v>0</v>
      </c>
      <c r="F599">
        <v>1</v>
      </c>
      <c r="G599">
        <v>0</v>
      </c>
      <c r="H599">
        <f t="shared" si="9"/>
        <v>2</v>
      </c>
    </row>
    <row r="600" spans="1:8">
      <c r="A600">
        <v>3149</v>
      </c>
      <c r="C600">
        <v>0</v>
      </c>
      <c r="D600">
        <v>1</v>
      </c>
      <c r="E600">
        <v>2</v>
      </c>
      <c r="F600">
        <v>0</v>
      </c>
      <c r="G600">
        <v>0</v>
      </c>
      <c r="H600">
        <f t="shared" si="9"/>
        <v>3</v>
      </c>
    </row>
    <row r="601" spans="1:8">
      <c r="A601">
        <v>3152</v>
      </c>
      <c r="C601">
        <v>1</v>
      </c>
      <c r="D601">
        <v>1</v>
      </c>
      <c r="E601">
        <v>1</v>
      </c>
      <c r="F601">
        <v>1</v>
      </c>
      <c r="G601">
        <v>1</v>
      </c>
      <c r="H601">
        <f t="shared" si="9"/>
        <v>5</v>
      </c>
    </row>
    <row r="602" spans="1:8">
      <c r="A602">
        <v>3162</v>
      </c>
      <c r="C602">
        <v>1</v>
      </c>
      <c r="D602">
        <v>1</v>
      </c>
      <c r="E602">
        <v>0</v>
      </c>
      <c r="F602">
        <v>0</v>
      </c>
      <c r="G602">
        <v>0</v>
      </c>
      <c r="H602">
        <f t="shared" si="9"/>
        <v>2</v>
      </c>
    </row>
    <row r="603" spans="1:8">
      <c r="A603">
        <v>3163</v>
      </c>
      <c r="C603">
        <v>0</v>
      </c>
      <c r="D603">
        <v>0</v>
      </c>
      <c r="E603">
        <v>0</v>
      </c>
      <c r="F603">
        <v>1</v>
      </c>
      <c r="G603">
        <v>0</v>
      </c>
      <c r="H603">
        <f t="shared" si="9"/>
        <v>1</v>
      </c>
    </row>
    <row r="604" spans="1:8">
      <c r="A604">
        <v>3164</v>
      </c>
      <c r="C604">
        <v>1</v>
      </c>
      <c r="D604">
        <v>1</v>
      </c>
      <c r="E604">
        <v>0</v>
      </c>
      <c r="F604">
        <v>1</v>
      </c>
      <c r="G604">
        <v>0</v>
      </c>
      <c r="H604">
        <f t="shared" si="9"/>
        <v>3</v>
      </c>
    </row>
    <row r="605" spans="1:8">
      <c r="A605">
        <v>3167</v>
      </c>
      <c r="C605">
        <v>1</v>
      </c>
      <c r="D605">
        <v>1</v>
      </c>
      <c r="E605">
        <v>0</v>
      </c>
      <c r="F605">
        <v>1</v>
      </c>
      <c r="G605">
        <v>0</v>
      </c>
      <c r="H605">
        <f t="shared" si="9"/>
        <v>3</v>
      </c>
    </row>
    <row r="606" spans="1:8">
      <c r="A606">
        <v>3169</v>
      </c>
      <c r="C606">
        <v>0</v>
      </c>
      <c r="D606">
        <v>0</v>
      </c>
      <c r="E606">
        <v>0</v>
      </c>
      <c r="F606">
        <v>1</v>
      </c>
      <c r="G606">
        <v>0</v>
      </c>
      <c r="H606">
        <f t="shared" si="9"/>
        <v>1</v>
      </c>
    </row>
    <row r="607" spans="1:8">
      <c r="A607">
        <v>3171</v>
      </c>
      <c r="C607">
        <v>0</v>
      </c>
      <c r="D607">
        <v>1</v>
      </c>
      <c r="E607">
        <v>1</v>
      </c>
      <c r="F607">
        <v>1</v>
      </c>
      <c r="G607">
        <v>0</v>
      </c>
      <c r="H607">
        <f t="shared" si="9"/>
        <v>3</v>
      </c>
    </row>
    <row r="608" spans="1:8">
      <c r="A608">
        <v>3176</v>
      </c>
      <c r="C608">
        <v>0</v>
      </c>
      <c r="D608">
        <v>1</v>
      </c>
      <c r="E608">
        <v>0</v>
      </c>
      <c r="F608">
        <v>1</v>
      </c>
      <c r="G608">
        <v>0</v>
      </c>
      <c r="H608">
        <f t="shared" si="9"/>
        <v>2</v>
      </c>
    </row>
    <row r="609" spans="1:8">
      <c r="A609">
        <v>3188</v>
      </c>
      <c r="C609">
        <v>1</v>
      </c>
      <c r="D609">
        <v>1</v>
      </c>
      <c r="E609">
        <v>2</v>
      </c>
      <c r="F609">
        <v>1</v>
      </c>
      <c r="G609">
        <v>0</v>
      </c>
      <c r="H609">
        <f t="shared" si="9"/>
        <v>5</v>
      </c>
    </row>
    <row r="610" spans="1:8">
      <c r="A610">
        <v>3189</v>
      </c>
      <c r="C610">
        <v>0</v>
      </c>
      <c r="D610">
        <v>1</v>
      </c>
      <c r="E610">
        <v>0</v>
      </c>
      <c r="F610">
        <v>1</v>
      </c>
      <c r="G610">
        <v>0</v>
      </c>
      <c r="H610">
        <f t="shared" si="9"/>
        <v>2</v>
      </c>
    </row>
    <row r="611" spans="1:8">
      <c r="A611">
        <v>3202</v>
      </c>
      <c r="C611">
        <v>0</v>
      </c>
      <c r="D611">
        <v>1</v>
      </c>
      <c r="E611">
        <v>1</v>
      </c>
      <c r="F611">
        <v>0</v>
      </c>
      <c r="G611">
        <v>0</v>
      </c>
      <c r="H611">
        <f t="shared" si="9"/>
        <v>2</v>
      </c>
    </row>
    <row r="612" spans="1:8">
      <c r="A612">
        <v>3205</v>
      </c>
      <c r="C612">
        <v>1</v>
      </c>
      <c r="D612">
        <v>1</v>
      </c>
      <c r="E612">
        <v>2</v>
      </c>
      <c r="F612">
        <v>1</v>
      </c>
      <c r="G612">
        <v>0</v>
      </c>
      <c r="H612">
        <f t="shared" si="9"/>
        <v>5</v>
      </c>
    </row>
    <row r="613" spans="1:8">
      <c r="A613">
        <v>3206</v>
      </c>
      <c r="C613">
        <v>0</v>
      </c>
      <c r="D613">
        <v>0</v>
      </c>
      <c r="E613">
        <v>0</v>
      </c>
      <c r="F613">
        <v>0</v>
      </c>
      <c r="G613">
        <v>0</v>
      </c>
      <c r="H613">
        <f t="shared" si="9"/>
        <v>0</v>
      </c>
    </row>
    <row r="614" spans="1:8">
      <c r="A614">
        <v>3207</v>
      </c>
      <c r="C614">
        <v>0</v>
      </c>
      <c r="D614">
        <v>1</v>
      </c>
      <c r="E614">
        <v>2</v>
      </c>
      <c r="F614">
        <v>0</v>
      </c>
      <c r="G614">
        <v>0</v>
      </c>
      <c r="H614">
        <f t="shared" si="9"/>
        <v>3</v>
      </c>
    </row>
    <row r="615" spans="1:8">
      <c r="A615">
        <v>3209</v>
      </c>
      <c r="C615">
        <v>0</v>
      </c>
      <c r="D615">
        <v>1</v>
      </c>
      <c r="E615">
        <v>1</v>
      </c>
      <c r="F615">
        <v>0</v>
      </c>
      <c r="G615">
        <v>0</v>
      </c>
      <c r="H615">
        <f t="shared" si="9"/>
        <v>2</v>
      </c>
    </row>
    <row r="616" spans="1:8">
      <c r="A616">
        <v>3211</v>
      </c>
      <c r="C616">
        <v>0</v>
      </c>
      <c r="D616">
        <v>1</v>
      </c>
      <c r="E616">
        <v>0</v>
      </c>
      <c r="F616">
        <v>1</v>
      </c>
      <c r="G616">
        <v>0</v>
      </c>
      <c r="H616">
        <f t="shared" si="9"/>
        <v>2</v>
      </c>
    </row>
    <row r="617" spans="1:8">
      <c r="A617">
        <v>3213</v>
      </c>
      <c r="C617">
        <v>0</v>
      </c>
      <c r="D617">
        <v>1</v>
      </c>
      <c r="E617">
        <v>0</v>
      </c>
      <c r="F617">
        <v>1</v>
      </c>
      <c r="G617">
        <v>0</v>
      </c>
      <c r="H617">
        <f t="shared" si="9"/>
        <v>2</v>
      </c>
    </row>
    <row r="618" spans="1:8">
      <c r="A618">
        <v>3217</v>
      </c>
      <c r="C618">
        <v>1</v>
      </c>
      <c r="D618">
        <v>1</v>
      </c>
      <c r="E618">
        <v>2</v>
      </c>
      <c r="F618">
        <v>1</v>
      </c>
      <c r="G618">
        <v>0</v>
      </c>
      <c r="H618">
        <f t="shared" si="9"/>
        <v>5</v>
      </c>
    </row>
    <row r="619" spans="1:8">
      <c r="A619">
        <v>3218</v>
      </c>
      <c r="C619">
        <v>0</v>
      </c>
      <c r="D619">
        <v>1</v>
      </c>
      <c r="E619">
        <v>1</v>
      </c>
      <c r="F619">
        <v>1</v>
      </c>
      <c r="G619">
        <v>1</v>
      </c>
      <c r="H619">
        <f t="shared" si="9"/>
        <v>4</v>
      </c>
    </row>
    <row r="620" spans="1:8">
      <c r="A620">
        <v>3219</v>
      </c>
      <c r="C620">
        <v>0</v>
      </c>
      <c r="D620">
        <v>1</v>
      </c>
      <c r="E620">
        <v>0</v>
      </c>
      <c r="F620">
        <v>0</v>
      </c>
      <c r="G620">
        <v>0</v>
      </c>
      <c r="H620">
        <f t="shared" si="9"/>
        <v>1</v>
      </c>
    </row>
    <row r="621" spans="1:8">
      <c r="A621">
        <v>3221</v>
      </c>
      <c r="C621">
        <v>1</v>
      </c>
      <c r="D621">
        <v>1</v>
      </c>
      <c r="E621">
        <v>1</v>
      </c>
      <c r="F621">
        <v>1</v>
      </c>
      <c r="G621">
        <v>0</v>
      </c>
      <c r="H621">
        <f t="shared" si="9"/>
        <v>4</v>
      </c>
    </row>
    <row r="622" spans="1:8">
      <c r="A622">
        <v>3224</v>
      </c>
      <c r="C622">
        <v>0</v>
      </c>
      <c r="D622">
        <v>1</v>
      </c>
      <c r="E622">
        <v>0</v>
      </c>
      <c r="F622">
        <v>0</v>
      </c>
      <c r="G622">
        <v>1</v>
      </c>
      <c r="H622">
        <f t="shared" si="9"/>
        <v>2</v>
      </c>
    </row>
    <row r="623" spans="1:8">
      <c r="A623">
        <v>3226</v>
      </c>
      <c r="C623">
        <v>1</v>
      </c>
      <c r="D623">
        <v>1</v>
      </c>
      <c r="E623">
        <v>0</v>
      </c>
      <c r="F623">
        <v>1</v>
      </c>
      <c r="G623">
        <v>0</v>
      </c>
      <c r="H623">
        <f t="shared" si="9"/>
        <v>3</v>
      </c>
    </row>
    <row r="624" spans="1:8">
      <c r="A624">
        <v>3227</v>
      </c>
      <c r="C624">
        <v>1</v>
      </c>
      <c r="D624">
        <v>1</v>
      </c>
      <c r="E624">
        <v>0</v>
      </c>
      <c r="F624">
        <v>1</v>
      </c>
      <c r="G624">
        <v>0</v>
      </c>
      <c r="H624">
        <f t="shared" si="9"/>
        <v>3</v>
      </c>
    </row>
    <row r="625" spans="1:8">
      <c r="A625">
        <v>3228</v>
      </c>
      <c r="C625">
        <v>0</v>
      </c>
      <c r="D625">
        <v>0</v>
      </c>
      <c r="E625">
        <v>0</v>
      </c>
      <c r="F625">
        <v>0</v>
      </c>
      <c r="G625">
        <v>0</v>
      </c>
      <c r="H625">
        <f t="shared" si="9"/>
        <v>0</v>
      </c>
    </row>
    <row r="626" spans="1:8">
      <c r="A626">
        <v>3229</v>
      </c>
      <c r="C626">
        <v>0</v>
      </c>
      <c r="D626">
        <v>0</v>
      </c>
      <c r="E626">
        <v>0</v>
      </c>
      <c r="F626">
        <v>0</v>
      </c>
      <c r="G626">
        <v>0</v>
      </c>
      <c r="H626">
        <f t="shared" si="9"/>
        <v>0</v>
      </c>
    </row>
    <row r="627" spans="1:8">
      <c r="A627">
        <v>3230</v>
      </c>
      <c r="C627">
        <v>0</v>
      </c>
      <c r="D627">
        <v>0</v>
      </c>
      <c r="E627">
        <v>0</v>
      </c>
      <c r="F627">
        <v>0</v>
      </c>
      <c r="G627">
        <v>0</v>
      </c>
      <c r="H627">
        <f t="shared" si="9"/>
        <v>0</v>
      </c>
    </row>
    <row r="628" spans="1:8">
      <c r="A628">
        <v>3231</v>
      </c>
      <c r="C628">
        <v>0</v>
      </c>
      <c r="D628">
        <v>1</v>
      </c>
      <c r="E628">
        <v>1</v>
      </c>
      <c r="F628">
        <v>1</v>
      </c>
      <c r="G628">
        <v>0</v>
      </c>
      <c r="H628">
        <f t="shared" si="9"/>
        <v>3</v>
      </c>
    </row>
    <row r="629" spans="1:8">
      <c r="A629">
        <v>3232</v>
      </c>
      <c r="C629">
        <v>0</v>
      </c>
      <c r="D629">
        <v>0</v>
      </c>
      <c r="E629">
        <v>0</v>
      </c>
      <c r="F629">
        <v>1</v>
      </c>
      <c r="G629">
        <v>0</v>
      </c>
      <c r="H629">
        <f t="shared" si="9"/>
        <v>1</v>
      </c>
    </row>
    <row r="630" spans="1:8">
      <c r="A630">
        <v>3234</v>
      </c>
      <c r="C630">
        <v>1</v>
      </c>
      <c r="D630">
        <v>1</v>
      </c>
      <c r="E630">
        <v>2</v>
      </c>
      <c r="F630">
        <v>1</v>
      </c>
      <c r="G630">
        <v>1</v>
      </c>
      <c r="H630">
        <f t="shared" si="9"/>
        <v>6</v>
      </c>
    </row>
    <row r="631" spans="1:8">
      <c r="A631">
        <v>3236</v>
      </c>
      <c r="C631">
        <v>1</v>
      </c>
      <c r="D631">
        <v>1</v>
      </c>
      <c r="E631">
        <v>2</v>
      </c>
      <c r="F631">
        <v>1</v>
      </c>
      <c r="G631">
        <v>1</v>
      </c>
      <c r="H631">
        <f t="shared" si="9"/>
        <v>6</v>
      </c>
    </row>
    <row r="632" spans="1:8">
      <c r="A632">
        <v>3252</v>
      </c>
      <c r="C632">
        <v>0</v>
      </c>
      <c r="D632">
        <v>0</v>
      </c>
      <c r="E632">
        <v>1</v>
      </c>
      <c r="F632">
        <v>0</v>
      </c>
      <c r="G632">
        <v>0</v>
      </c>
      <c r="H632">
        <f t="shared" si="9"/>
        <v>1</v>
      </c>
    </row>
    <row r="633" spans="1:8">
      <c r="A633">
        <v>3257</v>
      </c>
      <c r="C633">
        <v>0</v>
      </c>
      <c r="D633">
        <v>1</v>
      </c>
      <c r="E633">
        <v>0</v>
      </c>
      <c r="F633">
        <v>1</v>
      </c>
      <c r="G633">
        <v>0</v>
      </c>
      <c r="H633">
        <f t="shared" si="9"/>
        <v>2</v>
      </c>
    </row>
    <row r="634" spans="1:8">
      <c r="A634">
        <v>3259</v>
      </c>
      <c r="C634">
        <v>0</v>
      </c>
      <c r="D634">
        <v>0</v>
      </c>
      <c r="E634">
        <v>0</v>
      </c>
      <c r="F634">
        <v>1</v>
      </c>
      <c r="G634">
        <v>0</v>
      </c>
      <c r="H634">
        <f t="shared" si="9"/>
        <v>1</v>
      </c>
    </row>
    <row r="635" spans="1:8">
      <c r="A635">
        <v>3260</v>
      </c>
      <c r="C635">
        <v>0</v>
      </c>
      <c r="D635">
        <v>1</v>
      </c>
      <c r="E635">
        <v>1</v>
      </c>
      <c r="F635">
        <v>0</v>
      </c>
      <c r="G635">
        <v>0</v>
      </c>
      <c r="H635">
        <f t="shared" si="9"/>
        <v>2</v>
      </c>
    </row>
    <row r="636" spans="1:8">
      <c r="A636">
        <v>3264</v>
      </c>
      <c r="C636">
        <v>0</v>
      </c>
      <c r="D636">
        <v>1</v>
      </c>
      <c r="E636">
        <v>2</v>
      </c>
      <c r="F636">
        <v>1</v>
      </c>
      <c r="G636">
        <v>0</v>
      </c>
      <c r="H636">
        <f t="shared" si="9"/>
        <v>4</v>
      </c>
    </row>
    <row r="637" spans="1:8">
      <c r="A637">
        <v>3265</v>
      </c>
      <c r="C637">
        <v>0</v>
      </c>
      <c r="D637">
        <v>0</v>
      </c>
      <c r="E637">
        <v>2</v>
      </c>
      <c r="F637">
        <v>1</v>
      </c>
      <c r="G637">
        <v>1</v>
      </c>
      <c r="H637">
        <f t="shared" si="9"/>
        <v>4</v>
      </c>
    </row>
    <row r="638" spans="1:8">
      <c r="A638">
        <v>3266</v>
      </c>
      <c r="C638">
        <v>0</v>
      </c>
      <c r="D638">
        <v>0</v>
      </c>
      <c r="E638">
        <v>2</v>
      </c>
      <c r="F638">
        <v>1</v>
      </c>
      <c r="G638">
        <v>0</v>
      </c>
      <c r="H638">
        <f t="shared" si="9"/>
        <v>3</v>
      </c>
    </row>
    <row r="639" spans="1:8">
      <c r="A639">
        <v>3268</v>
      </c>
      <c r="C639">
        <v>0</v>
      </c>
      <c r="D639">
        <v>1</v>
      </c>
      <c r="E639">
        <v>0</v>
      </c>
      <c r="F639">
        <v>1</v>
      </c>
      <c r="G639">
        <v>0</v>
      </c>
      <c r="H639">
        <f t="shared" si="9"/>
        <v>2</v>
      </c>
    </row>
    <row r="640" spans="1:8">
      <c r="A640">
        <v>3272</v>
      </c>
      <c r="C640">
        <v>0</v>
      </c>
      <c r="D640">
        <v>1</v>
      </c>
      <c r="E640">
        <v>1</v>
      </c>
      <c r="F640">
        <v>1</v>
      </c>
      <c r="G640">
        <v>0</v>
      </c>
      <c r="H640">
        <f t="shared" si="9"/>
        <v>3</v>
      </c>
    </row>
    <row r="641" spans="1:8">
      <c r="A641">
        <v>3276</v>
      </c>
      <c r="C641">
        <v>0</v>
      </c>
      <c r="D641">
        <v>1</v>
      </c>
      <c r="E641">
        <v>1</v>
      </c>
      <c r="F641">
        <v>0</v>
      </c>
      <c r="G641">
        <v>0</v>
      </c>
      <c r="H641">
        <f t="shared" si="9"/>
        <v>2</v>
      </c>
    </row>
    <row r="642" spans="1:8">
      <c r="A642">
        <v>3284</v>
      </c>
      <c r="C642">
        <v>1</v>
      </c>
      <c r="D642">
        <v>1</v>
      </c>
      <c r="E642">
        <v>2</v>
      </c>
      <c r="F642">
        <v>0</v>
      </c>
      <c r="G642">
        <v>0</v>
      </c>
      <c r="H642">
        <f t="shared" si="9"/>
        <v>4</v>
      </c>
    </row>
    <row r="643" spans="1:8">
      <c r="A643">
        <v>3285</v>
      </c>
      <c r="C643">
        <v>1</v>
      </c>
      <c r="D643">
        <v>1</v>
      </c>
      <c r="E643">
        <v>1</v>
      </c>
      <c r="F643">
        <v>1</v>
      </c>
      <c r="G643">
        <v>0</v>
      </c>
      <c r="H643">
        <f t="shared" ref="H643:H706" si="10">SUM(C643:G643)</f>
        <v>4</v>
      </c>
    </row>
    <row r="644" spans="1:8">
      <c r="A644">
        <v>3287</v>
      </c>
      <c r="C644">
        <v>1</v>
      </c>
      <c r="D644">
        <v>1</v>
      </c>
      <c r="E644">
        <v>0</v>
      </c>
      <c r="F644">
        <v>1</v>
      </c>
      <c r="G644">
        <v>0</v>
      </c>
      <c r="H644">
        <f t="shared" si="10"/>
        <v>3</v>
      </c>
    </row>
    <row r="645" spans="1:8">
      <c r="A645">
        <v>3288</v>
      </c>
      <c r="C645">
        <v>0</v>
      </c>
      <c r="D645">
        <v>1</v>
      </c>
      <c r="E645">
        <v>1</v>
      </c>
      <c r="F645">
        <v>1</v>
      </c>
      <c r="G645">
        <v>0</v>
      </c>
      <c r="H645">
        <f t="shared" si="10"/>
        <v>3</v>
      </c>
    </row>
    <row r="646" spans="1:8">
      <c r="A646">
        <v>3289</v>
      </c>
      <c r="C646">
        <v>0</v>
      </c>
      <c r="D646">
        <v>1</v>
      </c>
      <c r="E646">
        <v>1</v>
      </c>
      <c r="F646">
        <v>1</v>
      </c>
      <c r="G646">
        <v>1</v>
      </c>
      <c r="H646">
        <f t="shared" si="10"/>
        <v>4</v>
      </c>
    </row>
    <row r="647" spans="1:8">
      <c r="A647">
        <v>3290</v>
      </c>
      <c r="C647">
        <v>0</v>
      </c>
      <c r="D647">
        <v>0</v>
      </c>
      <c r="E647">
        <v>1</v>
      </c>
      <c r="F647">
        <v>0</v>
      </c>
      <c r="G647">
        <v>0</v>
      </c>
      <c r="H647">
        <f t="shared" si="10"/>
        <v>1</v>
      </c>
    </row>
    <row r="648" spans="1:8">
      <c r="A648">
        <v>3291</v>
      </c>
      <c r="C648">
        <v>0</v>
      </c>
      <c r="D648">
        <v>1</v>
      </c>
      <c r="E648">
        <v>1</v>
      </c>
      <c r="F648">
        <v>1</v>
      </c>
      <c r="G648">
        <v>0</v>
      </c>
      <c r="H648">
        <f t="shared" si="10"/>
        <v>3</v>
      </c>
    </row>
    <row r="649" spans="1:8">
      <c r="A649">
        <v>3293</v>
      </c>
      <c r="C649">
        <v>1</v>
      </c>
      <c r="D649">
        <v>1</v>
      </c>
      <c r="E649">
        <v>2</v>
      </c>
      <c r="F649">
        <v>1</v>
      </c>
      <c r="G649">
        <v>0</v>
      </c>
      <c r="H649">
        <f t="shared" si="10"/>
        <v>5</v>
      </c>
    </row>
    <row r="650" spans="1:8">
      <c r="A650">
        <v>3294</v>
      </c>
      <c r="C650">
        <v>1</v>
      </c>
      <c r="D650">
        <v>1</v>
      </c>
      <c r="E650">
        <v>2</v>
      </c>
      <c r="F650">
        <v>1</v>
      </c>
      <c r="G650">
        <v>0</v>
      </c>
      <c r="H650">
        <f t="shared" si="10"/>
        <v>5</v>
      </c>
    </row>
    <row r="651" spans="1:8">
      <c r="A651">
        <v>3296</v>
      </c>
      <c r="C651">
        <v>1</v>
      </c>
      <c r="D651">
        <v>1</v>
      </c>
      <c r="E651">
        <v>0</v>
      </c>
      <c r="F651">
        <v>0</v>
      </c>
      <c r="G651">
        <v>0</v>
      </c>
      <c r="H651">
        <f t="shared" si="10"/>
        <v>2</v>
      </c>
    </row>
    <row r="652" spans="1:8">
      <c r="A652">
        <v>3297</v>
      </c>
      <c r="C652">
        <v>0</v>
      </c>
      <c r="D652">
        <v>1</v>
      </c>
      <c r="E652">
        <v>0</v>
      </c>
      <c r="F652">
        <v>0</v>
      </c>
      <c r="G652">
        <v>0</v>
      </c>
      <c r="H652">
        <f t="shared" si="10"/>
        <v>1</v>
      </c>
    </row>
    <row r="653" spans="1:8">
      <c r="A653">
        <v>3299</v>
      </c>
      <c r="C653">
        <v>0</v>
      </c>
      <c r="D653">
        <v>1</v>
      </c>
      <c r="E653">
        <v>0</v>
      </c>
      <c r="F653">
        <v>1</v>
      </c>
      <c r="G653">
        <v>0</v>
      </c>
      <c r="H653">
        <f t="shared" si="10"/>
        <v>2</v>
      </c>
    </row>
    <row r="654" spans="1:8">
      <c r="A654">
        <v>3303</v>
      </c>
      <c r="C654">
        <v>1</v>
      </c>
      <c r="D654">
        <v>1</v>
      </c>
      <c r="E654">
        <v>2</v>
      </c>
      <c r="F654">
        <v>1</v>
      </c>
      <c r="G654">
        <v>0</v>
      </c>
      <c r="H654">
        <f t="shared" si="10"/>
        <v>5</v>
      </c>
    </row>
    <row r="655" spans="1:8">
      <c r="A655">
        <v>3305</v>
      </c>
      <c r="C655">
        <v>0</v>
      </c>
      <c r="D655">
        <v>1</v>
      </c>
      <c r="E655">
        <v>0</v>
      </c>
      <c r="F655">
        <v>1</v>
      </c>
      <c r="G655">
        <v>0</v>
      </c>
      <c r="H655">
        <f t="shared" si="10"/>
        <v>2</v>
      </c>
    </row>
    <row r="656" spans="1:8">
      <c r="A656">
        <v>3306</v>
      </c>
      <c r="C656">
        <v>0</v>
      </c>
      <c r="D656">
        <v>0</v>
      </c>
      <c r="E656">
        <v>2</v>
      </c>
      <c r="F656">
        <v>1</v>
      </c>
      <c r="G656">
        <v>0</v>
      </c>
      <c r="H656">
        <f t="shared" si="10"/>
        <v>3</v>
      </c>
    </row>
    <row r="657" spans="1:8">
      <c r="A657">
        <v>3308</v>
      </c>
      <c r="C657">
        <v>0</v>
      </c>
      <c r="D657">
        <v>1</v>
      </c>
      <c r="E657">
        <v>0</v>
      </c>
      <c r="F657">
        <v>1</v>
      </c>
      <c r="G657">
        <v>0</v>
      </c>
      <c r="H657">
        <f t="shared" si="10"/>
        <v>2</v>
      </c>
    </row>
    <row r="658" spans="1:8">
      <c r="A658">
        <v>3310</v>
      </c>
      <c r="C658">
        <v>1</v>
      </c>
      <c r="D658">
        <v>1</v>
      </c>
      <c r="E658">
        <v>0</v>
      </c>
      <c r="F658">
        <v>0</v>
      </c>
      <c r="G658">
        <v>0</v>
      </c>
      <c r="H658">
        <f t="shared" si="10"/>
        <v>2</v>
      </c>
    </row>
    <row r="659" spans="1:8">
      <c r="A659">
        <v>3311</v>
      </c>
      <c r="C659">
        <v>1</v>
      </c>
      <c r="D659">
        <v>1</v>
      </c>
      <c r="E659">
        <v>1</v>
      </c>
      <c r="F659">
        <v>1</v>
      </c>
      <c r="G659">
        <v>0</v>
      </c>
      <c r="H659">
        <f t="shared" si="10"/>
        <v>4</v>
      </c>
    </row>
    <row r="660" spans="1:8">
      <c r="A660">
        <v>3312</v>
      </c>
      <c r="C660">
        <v>0</v>
      </c>
      <c r="D660">
        <v>1</v>
      </c>
      <c r="E660">
        <v>1</v>
      </c>
      <c r="F660">
        <v>1</v>
      </c>
      <c r="G660">
        <v>0</v>
      </c>
      <c r="H660">
        <f t="shared" si="10"/>
        <v>3</v>
      </c>
    </row>
    <row r="661" spans="1:8">
      <c r="A661">
        <v>3313</v>
      </c>
      <c r="C661">
        <v>0</v>
      </c>
      <c r="D661">
        <v>1</v>
      </c>
      <c r="E661">
        <v>2</v>
      </c>
      <c r="F661">
        <v>1</v>
      </c>
      <c r="G661">
        <v>0</v>
      </c>
      <c r="H661">
        <f t="shared" si="10"/>
        <v>4</v>
      </c>
    </row>
    <row r="662" spans="1:8">
      <c r="A662">
        <v>3315</v>
      </c>
      <c r="C662">
        <v>0</v>
      </c>
      <c r="D662">
        <v>1</v>
      </c>
      <c r="E662">
        <v>1</v>
      </c>
      <c r="F662">
        <v>0</v>
      </c>
      <c r="G662">
        <v>1</v>
      </c>
      <c r="H662">
        <f t="shared" si="10"/>
        <v>3</v>
      </c>
    </row>
    <row r="663" spans="1:8">
      <c r="A663">
        <v>3317</v>
      </c>
      <c r="C663">
        <v>0</v>
      </c>
      <c r="D663">
        <v>1</v>
      </c>
      <c r="E663">
        <v>2</v>
      </c>
      <c r="F663">
        <v>1</v>
      </c>
      <c r="G663">
        <v>0</v>
      </c>
      <c r="H663">
        <f t="shared" si="10"/>
        <v>4</v>
      </c>
    </row>
    <row r="664" spans="1:8">
      <c r="A664">
        <v>3322</v>
      </c>
      <c r="C664">
        <v>0</v>
      </c>
      <c r="D664">
        <v>1</v>
      </c>
      <c r="E664">
        <v>0</v>
      </c>
      <c r="F664">
        <v>0</v>
      </c>
      <c r="G664">
        <v>0</v>
      </c>
      <c r="H664">
        <f t="shared" si="10"/>
        <v>1</v>
      </c>
    </row>
    <row r="665" spans="1:8">
      <c r="A665">
        <v>3323</v>
      </c>
      <c r="C665">
        <v>0</v>
      </c>
      <c r="D665">
        <v>1</v>
      </c>
      <c r="E665">
        <v>2</v>
      </c>
      <c r="F665">
        <v>1</v>
      </c>
      <c r="G665">
        <v>0</v>
      </c>
      <c r="H665">
        <f t="shared" si="10"/>
        <v>4</v>
      </c>
    </row>
    <row r="666" spans="1:8">
      <c r="A666">
        <v>3324</v>
      </c>
      <c r="C666">
        <v>1</v>
      </c>
      <c r="D666">
        <v>1</v>
      </c>
      <c r="E666">
        <v>2</v>
      </c>
      <c r="F666">
        <v>0</v>
      </c>
      <c r="G666">
        <v>0</v>
      </c>
      <c r="H666">
        <f t="shared" si="10"/>
        <v>4</v>
      </c>
    </row>
    <row r="667" spans="1:8">
      <c r="A667">
        <v>3325</v>
      </c>
      <c r="C667">
        <v>1</v>
      </c>
      <c r="D667">
        <v>1</v>
      </c>
      <c r="E667">
        <v>0</v>
      </c>
      <c r="F667">
        <v>1</v>
      </c>
      <c r="G667">
        <v>0</v>
      </c>
      <c r="H667">
        <f t="shared" si="10"/>
        <v>3</v>
      </c>
    </row>
    <row r="668" spans="1:8">
      <c r="A668">
        <v>3332</v>
      </c>
      <c r="C668">
        <v>1</v>
      </c>
      <c r="D668">
        <v>1</v>
      </c>
      <c r="E668">
        <v>1</v>
      </c>
      <c r="F668">
        <v>1</v>
      </c>
      <c r="G668">
        <v>0</v>
      </c>
      <c r="H668">
        <f t="shared" si="10"/>
        <v>4</v>
      </c>
    </row>
    <row r="669" spans="1:8">
      <c r="A669">
        <v>3338</v>
      </c>
      <c r="C669">
        <v>1</v>
      </c>
      <c r="D669">
        <v>1</v>
      </c>
      <c r="E669">
        <v>2</v>
      </c>
      <c r="F669">
        <v>1</v>
      </c>
      <c r="G669">
        <v>0</v>
      </c>
      <c r="H669">
        <f t="shared" si="10"/>
        <v>5</v>
      </c>
    </row>
    <row r="670" spans="1:8">
      <c r="A670">
        <v>3339</v>
      </c>
      <c r="C670">
        <v>0</v>
      </c>
      <c r="D670">
        <v>0</v>
      </c>
      <c r="E670">
        <v>1</v>
      </c>
      <c r="F670">
        <v>1</v>
      </c>
      <c r="G670">
        <v>0</v>
      </c>
      <c r="H670">
        <f t="shared" si="10"/>
        <v>2</v>
      </c>
    </row>
    <row r="671" spans="1:8">
      <c r="A671">
        <v>3354</v>
      </c>
      <c r="C671">
        <v>1</v>
      </c>
      <c r="D671">
        <v>1</v>
      </c>
      <c r="E671">
        <v>2</v>
      </c>
      <c r="F671">
        <v>1</v>
      </c>
      <c r="G671">
        <v>0</v>
      </c>
      <c r="H671">
        <f t="shared" si="10"/>
        <v>5</v>
      </c>
    </row>
    <row r="672" spans="1:8">
      <c r="A672">
        <v>3356</v>
      </c>
      <c r="C672">
        <v>0</v>
      </c>
      <c r="D672">
        <v>1</v>
      </c>
      <c r="E672">
        <v>2</v>
      </c>
      <c r="F672">
        <v>1</v>
      </c>
      <c r="G672">
        <v>0</v>
      </c>
      <c r="H672">
        <f t="shared" si="10"/>
        <v>4</v>
      </c>
    </row>
    <row r="673" spans="1:8">
      <c r="A673">
        <v>3360</v>
      </c>
      <c r="C673">
        <v>0</v>
      </c>
      <c r="D673">
        <v>1</v>
      </c>
      <c r="E673">
        <v>0</v>
      </c>
      <c r="F673">
        <v>0</v>
      </c>
      <c r="G673">
        <v>0</v>
      </c>
      <c r="H673">
        <f t="shared" si="10"/>
        <v>1</v>
      </c>
    </row>
    <row r="674" spans="1:8">
      <c r="A674">
        <v>3362</v>
      </c>
      <c r="C674">
        <v>0</v>
      </c>
      <c r="D674">
        <v>1</v>
      </c>
      <c r="E674">
        <v>2</v>
      </c>
      <c r="F674">
        <v>0</v>
      </c>
      <c r="G674">
        <v>0</v>
      </c>
      <c r="H674">
        <f t="shared" si="10"/>
        <v>3</v>
      </c>
    </row>
    <row r="675" spans="1:8">
      <c r="A675">
        <v>3363</v>
      </c>
      <c r="C675">
        <v>1</v>
      </c>
      <c r="D675">
        <v>1</v>
      </c>
      <c r="E675">
        <v>1</v>
      </c>
      <c r="F675">
        <v>0</v>
      </c>
      <c r="G675">
        <v>0</v>
      </c>
      <c r="H675">
        <f t="shared" si="10"/>
        <v>3</v>
      </c>
    </row>
    <row r="676" spans="1:8">
      <c r="A676">
        <v>3372</v>
      </c>
      <c r="C676">
        <v>0</v>
      </c>
      <c r="D676">
        <v>1</v>
      </c>
      <c r="E676">
        <v>2</v>
      </c>
      <c r="F676">
        <v>1</v>
      </c>
      <c r="G676">
        <v>0</v>
      </c>
      <c r="H676">
        <f t="shared" si="10"/>
        <v>4</v>
      </c>
    </row>
    <row r="677" spans="1:8">
      <c r="A677">
        <v>3373</v>
      </c>
      <c r="C677">
        <v>1</v>
      </c>
      <c r="D677">
        <v>1</v>
      </c>
      <c r="E677">
        <v>0</v>
      </c>
      <c r="F677">
        <v>1</v>
      </c>
      <c r="G677">
        <v>1</v>
      </c>
      <c r="H677">
        <f t="shared" si="10"/>
        <v>4</v>
      </c>
    </row>
    <row r="678" spans="1:8">
      <c r="A678">
        <v>3374</v>
      </c>
      <c r="C678">
        <v>0</v>
      </c>
      <c r="D678">
        <v>0</v>
      </c>
      <c r="E678">
        <v>0</v>
      </c>
      <c r="F678">
        <v>0</v>
      </c>
      <c r="G678">
        <v>0</v>
      </c>
      <c r="H678">
        <f t="shared" si="10"/>
        <v>0</v>
      </c>
    </row>
    <row r="679" spans="1:8">
      <c r="A679">
        <v>3376</v>
      </c>
      <c r="C679">
        <v>1</v>
      </c>
      <c r="D679">
        <v>1</v>
      </c>
      <c r="E679">
        <v>0</v>
      </c>
      <c r="F679">
        <v>1</v>
      </c>
      <c r="G679">
        <v>0</v>
      </c>
      <c r="H679">
        <f t="shared" si="10"/>
        <v>3</v>
      </c>
    </row>
    <row r="680" spans="1:8">
      <c r="A680">
        <v>3379</v>
      </c>
      <c r="C680">
        <v>0</v>
      </c>
      <c r="D680">
        <v>0</v>
      </c>
      <c r="E680">
        <v>2</v>
      </c>
      <c r="F680">
        <v>0</v>
      </c>
      <c r="G680">
        <v>0</v>
      </c>
      <c r="H680">
        <f t="shared" si="10"/>
        <v>2</v>
      </c>
    </row>
    <row r="681" spans="1:8">
      <c r="A681">
        <v>3380</v>
      </c>
      <c r="C681">
        <v>0</v>
      </c>
      <c r="D681">
        <v>0</v>
      </c>
      <c r="E681">
        <v>0</v>
      </c>
      <c r="F681">
        <v>0</v>
      </c>
      <c r="G681">
        <v>0</v>
      </c>
      <c r="H681">
        <f t="shared" si="10"/>
        <v>0</v>
      </c>
    </row>
    <row r="682" spans="1:8">
      <c r="A682">
        <v>3383</v>
      </c>
      <c r="C682">
        <v>0</v>
      </c>
      <c r="D682">
        <v>0</v>
      </c>
      <c r="E682">
        <v>0</v>
      </c>
      <c r="F682">
        <v>1</v>
      </c>
      <c r="G682">
        <v>0</v>
      </c>
      <c r="H682">
        <f t="shared" si="10"/>
        <v>1</v>
      </c>
    </row>
    <row r="683" spans="1:8">
      <c r="A683">
        <v>3388</v>
      </c>
      <c r="C683">
        <v>0</v>
      </c>
      <c r="D683">
        <v>1</v>
      </c>
      <c r="E683">
        <v>0</v>
      </c>
      <c r="F683">
        <v>1</v>
      </c>
      <c r="G683">
        <v>0</v>
      </c>
      <c r="H683">
        <f t="shared" si="10"/>
        <v>2</v>
      </c>
    </row>
    <row r="684" spans="1:8">
      <c r="A684">
        <v>3390</v>
      </c>
      <c r="C684">
        <v>0</v>
      </c>
      <c r="D684">
        <v>1</v>
      </c>
      <c r="E684">
        <v>0</v>
      </c>
      <c r="F684">
        <v>1</v>
      </c>
      <c r="G684">
        <v>0</v>
      </c>
      <c r="H684">
        <f t="shared" si="10"/>
        <v>2</v>
      </c>
    </row>
    <row r="685" spans="1:8">
      <c r="A685">
        <v>3402</v>
      </c>
      <c r="C685">
        <v>0</v>
      </c>
      <c r="D685">
        <v>0</v>
      </c>
      <c r="E685">
        <v>0</v>
      </c>
      <c r="F685">
        <v>1</v>
      </c>
      <c r="G685">
        <v>0</v>
      </c>
      <c r="H685">
        <f t="shared" si="10"/>
        <v>1</v>
      </c>
    </row>
    <row r="686" spans="1:8">
      <c r="A686">
        <v>3406</v>
      </c>
      <c r="C686">
        <v>0</v>
      </c>
      <c r="D686">
        <v>1</v>
      </c>
      <c r="E686">
        <v>0</v>
      </c>
      <c r="F686">
        <v>1</v>
      </c>
      <c r="G686">
        <v>0</v>
      </c>
      <c r="H686">
        <f t="shared" si="10"/>
        <v>2</v>
      </c>
    </row>
    <row r="687" spans="1:8">
      <c r="A687">
        <v>3413</v>
      </c>
      <c r="C687">
        <v>1</v>
      </c>
      <c r="D687">
        <v>1</v>
      </c>
      <c r="E687">
        <v>0</v>
      </c>
      <c r="F687">
        <v>0</v>
      </c>
      <c r="G687">
        <v>0</v>
      </c>
      <c r="H687">
        <f t="shared" si="10"/>
        <v>2</v>
      </c>
    </row>
    <row r="688" spans="1:8">
      <c r="A688">
        <v>3416</v>
      </c>
      <c r="C688">
        <v>0</v>
      </c>
      <c r="D688">
        <v>1</v>
      </c>
      <c r="E688">
        <v>0</v>
      </c>
      <c r="F688">
        <v>1</v>
      </c>
      <c r="G688">
        <v>0</v>
      </c>
      <c r="H688">
        <f t="shared" si="10"/>
        <v>2</v>
      </c>
    </row>
    <row r="689" spans="1:8">
      <c r="A689">
        <v>3419</v>
      </c>
      <c r="C689">
        <v>1</v>
      </c>
      <c r="D689">
        <v>1</v>
      </c>
      <c r="E689">
        <v>2</v>
      </c>
      <c r="F689">
        <v>1</v>
      </c>
      <c r="G689">
        <v>0</v>
      </c>
      <c r="H689">
        <f t="shared" si="10"/>
        <v>5</v>
      </c>
    </row>
    <row r="690" spans="1:8">
      <c r="A690">
        <v>3428</v>
      </c>
      <c r="C690">
        <v>1</v>
      </c>
      <c r="D690">
        <v>1</v>
      </c>
      <c r="E690">
        <v>2</v>
      </c>
      <c r="F690">
        <v>1</v>
      </c>
      <c r="G690">
        <v>0</v>
      </c>
      <c r="H690">
        <f t="shared" si="10"/>
        <v>5</v>
      </c>
    </row>
    <row r="691" spans="1:8">
      <c r="A691">
        <v>3431</v>
      </c>
      <c r="C691">
        <v>0</v>
      </c>
      <c r="D691">
        <v>0</v>
      </c>
      <c r="E691">
        <v>0</v>
      </c>
      <c r="F691">
        <v>0</v>
      </c>
      <c r="G691">
        <v>0</v>
      </c>
      <c r="H691">
        <f t="shared" si="10"/>
        <v>0</v>
      </c>
    </row>
    <row r="692" spans="1:8">
      <c r="A692">
        <v>3432</v>
      </c>
      <c r="C692">
        <v>0</v>
      </c>
      <c r="D692">
        <v>1</v>
      </c>
      <c r="E692">
        <v>0</v>
      </c>
      <c r="F692">
        <v>0</v>
      </c>
      <c r="G692">
        <v>0</v>
      </c>
      <c r="H692">
        <f t="shared" si="10"/>
        <v>1</v>
      </c>
    </row>
    <row r="693" spans="1:8">
      <c r="A693">
        <v>3434</v>
      </c>
      <c r="C693">
        <v>1</v>
      </c>
      <c r="D693">
        <v>1</v>
      </c>
      <c r="E693">
        <v>2</v>
      </c>
      <c r="F693">
        <v>0</v>
      </c>
      <c r="G693">
        <v>0</v>
      </c>
      <c r="H693">
        <f t="shared" si="10"/>
        <v>4</v>
      </c>
    </row>
    <row r="694" spans="1:8">
      <c r="A694">
        <v>3437</v>
      </c>
      <c r="C694">
        <v>0</v>
      </c>
      <c r="D694">
        <v>1</v>
      </c>
      <c r="E694">
        <v>0</v>
      </c>
      <c r="F694">
        <v>1</v>
      </c>
      <c r="G694">
        <v>0</v>
      </c>
      <c r="H694">
        <f t="shared" si="10"/>
        <v>2</v>
      </c>
    </row>
    <row r="695" spans="1:8">
      <c r="A695">
        <v>3438</v>
      </c>
      <c r="C695">
        <v>0</v>
      </c>
      <c r="D695">
        <v>0</v>
      </c>
      <c r="E695">
        <v>0</v>
      </c>
      <c r="F695">
        <v>0</v>
      </c>
      <c r="G695">
        <v>0</v>
      </c>
      <c r="H695">
        <f t="shared" si="10"/>
        <v>0</v>
      </c>
    </row>
    <row r="696" spans="1:8">
      <c r="A696">
        <v>3441</v>
      </c>
      <c r="C696">
        <v>0</v>
      </c>
      <c r="D696">
        <v>1</v>
      </c>
      <c r="E696">
        <v>0</v>
      </c>
      <c r="F696">
        <v>1</v>
      </c>
      <c r="G696">
        <v>0</v>
      </c>
      <c r="H696">
        <f t="shared" si="10"/>
        <v>2</v>
      </c>
    </row>
    <row r="697" spans="1:8">
      <c r="A697">
        <v>3443</v>
      </c>
      <c r="C697">
        <v>1</v>
      </c>
      <c r="D697">
        <v>1</v>
      </c>
      <c r="E697">
        <v>0</v>
      </c>
      <c r="F697">
        <v>1</v>
      </c>
      <c r="G697">
        <v>0</v>
      </c>
      <c r="H697">
        <f t="shared" si="10"/>
        <v>3</v>
      </c>
    </row>
    <row r="698" spans="1:8">
      <c r="A698">
        <v>3444</v>
      </c>
      <c r="C698">
        <v>0</v>
      </c>
      <c r="D698">
        <v>1</v>
      </c>
      <c r="E698">
        <v>0</v>
      </c>
      <c r="F698">
        <v>0</v>
      </c>
      <c r="G698">
        <v>0</v>
      </c>
      <c r="H698">
        <f t="shared" si="10"/>
        <v>1</v>
      </c>
    </row>
    <row r="699" spans="1:8">
      <c r="A699">
        <v>3450</v>
      </c>
      <c r="C699">
        <v>1</v>
      </c>
      <c r="D699">
        <v>1</v>
      </c>
      <c r="E699">
        <v>0</v>
      </c>
      <c r="F699">
        <v>1</v>
      </c>
      <c r="G699">
        <v>0</v>
      </c>
      <c r="H699">
        <f t="shared" si="10"/>
        <v>3</v>
      </c>
    </row>
    <row r="700" spans="1:8">
      <c r="A700">
        <v>3452</v>
      </c>
      <c r="C700">
        <v>0</v>
      </c>
      <c r="D700">
        <v>1</v>
      </c>
      <c r="E700">
        <v>2</v>
      </c>
      <c r="F700">
        <v>1</v>
      </c>
      <c r="G700">
        <v>0</v>
      </c>
      <c r="H700">
        <f t="shared" si="10"/>
        <v>4</v>
      </c>
    </row>
    <row r="701" spans="1:8">
      <c r="A701">
        <v>3454</v>
      </c>
      <c r="C701">
        <v>0</v>
      </c>
      <c r="D701">
        <v>1</v>
      </c>
      <c r="E701">
        <v>0</v>
      </c>
      <c r="F701">
        <v>1</v>
      </c>
      <c r="G701">
        <v>0</v>
      </c>
      <c r="H701">
        <f t="shared" si="10"/>
        <v>2</v>
      </c>
    </row>
    <row r="702" spans="1:8">
      <c r="A702">
        <v>3455</v>
      </c>
      <c r="C702">
        <v>0</v>
      </c>
      <c r="D702">
        <v>1</v>
      </c>
      <c r="E702">
        <v>0</v>
      </c>
      <c r="F702">
        <v>1</v>
      </c>
      <c r="G702">
        <v>0</v>
      </c>
      <c r="H702">
        <f t="shared" si="10"/>
        <v>2</v>
      </c>
    </row>
    <row r="703" spans="1:8">
      <c r="A703">
        <v>3465</v>
      </c>
      <c r="C703">
        <v>0</v>
      </c>
      <c r="D703">
        <v>0</v>
      </c>
      <c r="E703">
        <v>0</v>
      </c>
      <c r="F703">
        <v>0</v>
      </c>
      <c r="G703">
        <v>0</v>
      </c>
      <c r="H703">
        <f t="shared" si="10"/>
        <v>0</v>
      </c>
    </row>
    <row r="704" spans="1:8">
      <c r="A704">
        <v>3466</v>
      </c>
      <c r="C704">
        <v>0</v>
      </c>
      <c r="D704">
        <v>1</v>
      </c>
      <c r="E704">
        <v>0</v>
      </c>
      <c r="F704">
        <v>1</v>
      </c>
      <c r="G704">
        <v>0</v>
      </c>
      <c r="H704">
        <f t="shared" si="10"/>
        <v>2</v>
      </c>
    </row>
    <row r="705" spans="1:8">
      <c r="A705">
        <v>3474</v>
      </c>
      <c r="C705">
        <v>0</v>
      </c>
      <c r="D705">
        <v>1</v>
      </c>
      <c r="E705">
        <v>1</v>
      </c>
      <c r="F705">
        <v>1</v>
      </c>
      <c r="G705">
        <v>0</v>
      </c>
      <c r="H705">
        <f t="shared" si="10"/>
        <v>3</v>
      </c>
    </row>
    <row r="706" spans="1:8">
      <c r="A706">
        <v>3479</v>
      </c>
      <c r="C706">
        <v>1</v>
      </c>
      <c r="D706">
        <v>1</v>
      </c>
      <c r="E706">
        <v>2</v>
      </c>
      <c r="F706">
        <v>1</v>
      </c>
      <c r="G706">
        <v>1</v>
      </c>
      <c r="H706">
        <f t="shared" si="10"/>
        <v>6</v>
      </c>
    </row>
    <row r="707" spans="1:8">
      <c r="A707">
        <v>3481</v>
      </c>
      <c r="C707">
        <v>0</v>
      </c>
      <c r="D707">
        <v>0</v>
      </c>
      <c r="E707">
        <v>0</v>
      </c>
      <c r="F707">
        <v>1</v>
      </c>
      <c r="G707">
        <v>0</v>
      </c>
      <c r="H707">
        <f t="shared" ref="H707:H770" si="11">SUM(C707:G707)</f>
        <v>1</v>
      </c>
    </row>
    <row r="708" spans="1:8">
      <c r="A708">
        <v>3483</v>
      </c>
      <c r="C708">
        <v>0</v>
      </c>
      <c r="D708">
        <v>1</v>
      </c>
      <c r="E708">
        <v>2</v>
      </c>
      <c r="F708">
        <v>0</v>
      </c>
      <c r="G708">
        <v>0</v>
      </c>
      <c r="H708">
        <f t="shared" si="11"/>
        <v>3</v>
      </c>
    </row>
    <row r="709" spans="1:8">
      <c r="A709">
        <v>3484</v>
      </c>
      <c r="C709">
        <v>0</v>
      </c>
      <c r="D709">
        <v>1</v>
      </c>
      <c r="E709">
        <v>0</v>
      </c>
      <c r="F709">
        <v>0</v>
      </c>
      <c r="G709">
        <v>0</v>
      </c>
      <c r="H709">
        <f t="shared" si="11"/>
        <v>1</v>
      </c>
    </row>
    <row r="710" spans="1:8">
      <c r="A710">
        <v>3489</v>
      </c>
      <c r="C710">
        <v>0</v>
      </c>
      <c r="D710">
        <v>1</v>
      </c>
      <c r="E710">
        <v>2</v>
      </c>
      <c r="F710">
        <v>0</v>
      </c>
      <c r="G710">
        <v>0</v>
      </c>
      <c r="H710">
        <f t="shared" si="11"/>
        <v>3</v>
      </c>
    </row>
    <row r="711" spans="1:8">
      <c r="A711">
        <v>3490</v>
      </c>
      <c r="C711">
        <v>0</v>
      </c>
      <c r="D711">
        <v>0</v>
      </c>
      <c r="E711">
        <v>0</v>
      </c>
      <c r="F711">
        <v>1</v>
      </c>
      <c r="G711">
        <v>0</v>
      </c>
      <c r="H711">
        <f t="shared" si="11"/>
        <v>1</v>
      </c>
    </row>
    <row r="712" spans="1:8">
      <c r="A712">
        <v>3491</v>
      </c>
      <c r="C712">
        <v>1</v>
      </c>
      <c r="D712">
        <v>1</v>
      </c>
      <c r="E712">
        <v>1</v>
      </c>
      <c r="F712">
        <v>1</v>
      </c>
      <c r="G712">
        <v>1</v>
      </c>
      <c r="H712">
        <f t="shared" si="11"/>
        <v>5</v>
      </c>
    </row>
    <row r="713" spans="1:8">
      <c r="A713">
        <v>3492</v>
      </c>
      <c r="C713">
        <v>1</v>
      </c>
      <c r="D713">
        <v>1</v>
      </c>
      <c r="E713">
        <v>0</v>
      </c>
      <c r="F713">
        <v>1</v>
      </c>
      <c r="G713">
        <v>1</v>
      </c>
      <c r="H713">
        <f t="shared" si="11"/>
        <v>4</v>
      </c>
    </row>
    <row r="714" spans="1:8">
      <c r="A714">
        <v>3494</v>
      </c>
      <c r="C714">
        <v>0</v>
      </c>
      <c r="D714">
        <v>0</v>
      </c>
      <c r="E714">
        <v>0</v>
      </c>
      <c r="F714">
        <v>0</v>
      </c>
      <c r="G714">
        <v>0</v>
      </c>
      <c r="H714">
        <f t="shared" si="11"/>
        <v>0</v>
      </c>
    </row>
    <row r="715" spans="1:8">
      <c r="A715">
        <v>3498</v>
      </c>
      <c r="C715">
        <v>1</v>
      </c>
      <c r="D715">
        <v>1</v>
      </c>
      <c r="E715">
        <v>1</v>
      </c>
      <c r="F715">
        <v>1</v>
      </c>
      <c r="G715">
        <v>0</v>
      </c>
      <c r="H715">
        <f t="shared" si="11"/>
        <v>4</v>
      </c>
    </row>
    <row r="716" spans="1:8">
      <c r="A716">
        <v>3499</v>
      </c>
      <c r="C716">
        <v>1</v>
      </c>
      <c r="D716">
        <v>1</v>
      </c>
      <c r="E716">
        <v>2</v>
      </c>
      <c r="F716">
        <v>1</v>
      </c>
      <c r="G716">
        <v>0</v>
      </c>
      <c r="H716">
        <f t="shared" si="11"/>
        <v>5</v>
      </c>
    </row>
    <row r="717" spans="1:8">
      <c r="A717">
        <v>3501</v>
      </c>
      <c r="C717">
        <v>1</v>
      </c>
      <c r="D717">
        <v>1</v>
      </c>
      <c r="E717">
        <v>1</v>
      </c>
      <c r="F717">
        <v>1</v>
      </c>
      <c r="G717">
        <v>1</v>
      </c>
      <c r="H717">
        <f t="shared" si="11"/>
        <v>5</v>
      </c>
    </row>
    <row r="718" spans="1:8">
      <c r="A718">
        <v>3504</v>
      </c>
      <c r="C718">
        <v>0</v>
      </c>
      <c r="D718">
        <v>1</v>
      </c>
      <c r="E718">
        <v>1</v>
      </c>
      <c r="F718">
        <v>0</v>
      </c>
      <c r="G718">
        <v>0</v>
      </c>
      <c r="H718">
        <f t="shared" si="11"/>
        <v>2</v>
      </c>
    </row>
    <row r="719" spans="1:8">
      <c r="A719">
        <v>3508</v>
      </c>
      <c r="C719">
        <v>0</v>
      </c>
      <c r="D719">
        <v>1</v>
      </c>
      <c r="E719">
        <v>1</v>
      </c>
      <c r="F719">
        <v>1</v>
      </c>
      <c r="G719">
        <v>0</v>
      </c>
      <c r="H719">
        <f t="shared" si="11"/>
        <v>3</v>
      </c>
    </row>
    <row r="720" spans="1:8">
      <c r="A720">
        <v>3511</v>
      </c>
      <c r="C720">
        <v>0</v>
      </c>
      <c r="D720">
        <v>1</v>
      </c>
      <c r="E720">
        <v>2</v>
      </c>
      <c r="F720">
        <v>1</v>
      </c>
      <c r="G720">
        <v>0</v>
      </c>
      <c r="H720">
        <f t="shared" si="11"/>
        <v>4</v>
      </c>
    </row>
    <row r="721" spans="1:8">
      <c r="A721">
        <v>3512</v>
      </c>
      <c r="C721">
        <v>1</v>
      </c>
      <c r="D721">
        <v>1</v>
      </c>
      <c r="E721">
        <v>2</v>
      </c>
      <c r="F721">
        <v>0</v>
      </c>
      <c r="G721">
        <v>0</v>
      </c>
      <c r="H721">
        <f t="shared" si="11"/>
        <v>4</v>
      </c>
    </row>
    <row r="722" spans="1:8">
      <c r="A722">
        <v>3514</v>
      </c>
      <c r="C722">
        <v>0</v>
      </c>
      <c r="D722">
        <v>1</v>
      </c>
      <c r="E722">
        <v>1</v>
      </c>
      <c r="F722">
        <v>1</v>
      </c>
      <c r="G722">
        <v>0</v>
      </c>
      <c r="H722">
        <f t="shared" si="11"/>
        <v>3</v>
      </c>
    </row>
    <row r="723" spans="1:8">
      <c r="A723">
        <v>3515</v>
      </c>
      <c r="C723">
        <v>0</v>
      </c>
      <c r="D723">
        <v>1</v>
      </c>
      <c r="E723">
        <v>0</v>
      </c>
      <c r="F723">
        <v>0</v>
      </c>
      <c r="G723">
        <v>0</v>
      </c>
      <c r="H723">
        <f t="shared" si="11"/>
        <v>1</v>
      </c>
    </row>
    <row r="724" spans="1:8">
      <c r="A724">
        <v>3516</v>
      </c>
      <c r="C724">
        <v>0</v>
      </c>
      <c r="D724">
        <v>1</v>
      </c>
      <c r="E724">
        <v>0</v>
      </c>
      <c r="F724">
        <v>0</v>
      </c>
      <c r="G724">
        <v>0</v>
      </c>
      <c r="H724">
        <f t="shared" si="11"/>
        <v>1</v>
      </c>
    </row>
    <row r="725" spans="1:8">
      <c r="A725">
        <v>3518</v>
      </c>
      <c r="C725">
        <v>0</v>
      </c>
      <c r="D725">
        <v>1</v>
      </c>
      <c r="E725">
        <v>0</v>
      </c>
      <c r="F725">
        <v>0</v>
      </c>
      <c r="G725">
        <v>0</v>
      </c>
      <c r="H725">
        <f t="shared" si="11"/>
        <v>1</v>
      </c>
    </row>
    <row r="726" spans="1:8">
      <c r="A726">
        <v>3519</v>
      </c>
      <c r="C726">
        <v>0</v>
      </c>
      <c r="D726">
        <v>1</v>
      </c>
      <c r="E726">
        <v>2</v>
      </c>
      <c r="F726">
        <v>0</v>
      </c>
      <c r="G726">
        <v>0</v>
      </c>
      <c r="H726">
        <f t="shared" si="11"/>
        <v>3</v>
      </c>
    </row>
    <row r="727" spans="1:8">
      <c r="A727">
        <v>3520</v>
      </c>
      <c r="C727">
        <v>1</v>
      </c>
      <c r="D727">
        <v>1</v>
      </c>
      <c r="E727">
        <v>1</v>
      </c>
      <c r="F727">
        <v>1</v>
      </c>
      <c r="G727">
        <v>0</v>
      </c>
      <c r="H727">
        <f t="shared" si="11"/>
        <v>4</v>
      </c>
    </row>
    <row r="728" spans="1:8">
      <c r="A728">
        <v>3521</v>
      </c>
      <c r="C728">
        <v>1</v>
      </c>
      <c r="D728">
        <v>1</v>
      </c>
      <c r="E728">
        <v>1</v>
      </c>
      <c r="F728">
        <v>0</v>
      </c>
      <c r="G728">
        <v>0</v>
      </c>
      <c r="H728">
        <f t="shared" si="11"/>
        <v>3</v>
      </c>
    </row>
    <row r="729" spans="1:8">
      <c r="A729">
        <v>3522</v>
      </c>
      <c r="C729">
        <v>0</v>
      </c>
      <c r="D729">
        <v>1</v>
      </c>
      <c r="E729">
        <v>2</v>
      </c>
      <c r="F729">
        <v>0</v>
      </c>
      <c r="G729">
        <v>0</v>
      </c>
      <c r="H729">
        <f t="shared" si="11"/>
        <v>3</v>
      </c>
    </row>
    <row r="730" spans="1:8">
      <c r="A730">
        <v>3523</v>
      </c>
      <c r="C730">
        <v>0</v>
      </c>
      <c r="D730">
        <v>1</v>
      </c>
      <c r="E730">
        <v>0</v>
      </c>
      <c r="F730">
        <v>0</v>
      </c>
      <c r="G730">
        <v>0</v>
      </c>
      <c r="H730">
        <f t="shared" si="11"/>
        <v>1</v>
      </c>
    </row>
    <row r="731" spans="1:8">
      <c r="A731">
        <v>3526</v>
      </c>
      <c r="C731">
        <v>0</v>
      </c>
      <c r="D731">
        <v>1</v>
      </c>
      <c r="E731">
        <v>2</v>
      </c>
      <c r="F731">
        <v>1</v>
      </c>
      <c r="G731">
        <v>0</v>
      </c>
      <c r="H731">
        <f t="shared" si="11"/>
        <v>4</v>
      </c>
    </row>
    <row r="732" spans="1:8">
      <c r="A732">
        <v>3527</v>
      </c>
      <c r="C732">
        <v>0</v>
      </c>
      <c r="D732">
        <v>1</v>
      </c>
      <c r="E732">
        <v>0</v>
      </c>
      <c r="F732">
        <v>0</v>
      </c>
      <c r="G732">
        <v>0</v>
      </c>
      <c r="H732">
        <f t="shared" si="11"/>
        <v>1</v>
      </c>
    </row>
    <row r="733" spans="1:8">
      <c r="A733">
        <v>3528</v>
      </c>
      <c r="C733">
        <v>0</v>
      </c>
      <c r="D733">
        <v>1</v>
      </c>
      <c r="E733">
        <v>0</v>
      </c>
      <c r="F733">
        <v>0</v>
      </c>
      <c r="G733">
        <v>0</v>
      </c>
      <c r="H733">
        <f t="shared" si="11"/>
        <v>1</v>
      </c>
    </row>
    <row r="734" spans="1:8">
      <c r="A734">
        <v>3529</v>
      </c>
      <c r="C734">
        <v>0</v>
      </c>
      <c r="D734">
        <v>0</v>
      </c>
      <c r="E734">
        <v>1</v>
      </c>
      <c r="F734">
        <v>1</v>
      </c>
      <c r="G734">
        <v>0</v>
      </c>
      <c r="H734">
        <f t="shared" si="11"/>
        <v>2</v>
      </c>
    </row>
    <row r="735" spans="1:8">
      <c r="A735">
        <v>3531</v>
      </c>
      <c r="C735">
        <v>0</v>
      </c>
      <c r="D735">
        <v>1</v>
      </c>
      <c r="E735">
        <v>1</v>
      </c>
      <c r="F735">
        <v>0</v>
      </c>
      <c r="G735">
        <v>0</v>
      </c>
      <c r="H735">
        <f t="shared" si="11"/>
        <v>2</v>
      </c>
    </row>
    <row r="736" spans="1:8">
      <c r="A736">
        <v>3532</v>
      </c>
      <c r="C736">
        <v>1</v>
      </c>
      <c r="D736">
        <v>1</v>
      </c>
      <c r="E736">
        <v>0</v>
      </c>
      <c r="F736">
        <v>1</v>
      </c>
      <c r="G736">
        <v>0</v>
      </c>
      <c r="H736">
        <f t="shared" si="11"/>
        <v>3</v>
      </c>
    </row>
    <row r="737" spans="1:8">
      <c r="A737">
        <v>3533</v>
      </c>
      <c r="C737">
        <v>1</v>
      </c>
      <c r="D737">
        <v>1</v>
      </c>
      <c r="E737">
        <v>2</v>
      </c>
      <c r="F737">
        <v>1</v>
      </c>
      <c r="G737">
        <v>0</v>
      </c>
      <c r="H737">
        <f t="shared" si="11"/>
        <v>5</v>
      </c>
    </row>
    <row r="738" spans="1:8">
      <c r="A738">
        <v>3535</v>
      </c>
      <c r="C738">
        <v>0</v>
      </c>
      <c r="D738">
        <v>1</v>
      </c>
      <c r="E738">
        <v>1</v>
      </c>
      <c r="F738">
        <v>0</v>
      </c>
      <c r="G738">
        <v>0</v>
      </c>
      <c r="H738">
        <f t="shared" si="11"/>
        <v>2</v>
      </c>
    </row>
    <row r="739" spans="1:8">
      <c r="A739">
        <v>3536</v>
      </c>
      <c r="C739">
        <v>1</v>
      </c>
      <c r="D739">
        <v>1</v>
      </c>
      <c r="E739">
        <v>1</v>
      </c>
      <c r="F739">
        <v>1</v>
      </c>
      <c r="G739">
        <v>0</v>
      </c>
      <c r="H739">
        <f t="shared" si="11"/>
        <v>4</v>
      </c>
    </row>
    <row r="740" spans="1:8">
      <c r="A740">
        <v>3537</v>
      </c>
      <c r="C740">
        <v>1</v>
      </c>
      <c r="D740">
        <v>1</v>
      </c>
      <c r="E740">
        <v>0</v>
      </c>
      <c r="F740">
        <v>0</v>
      </c>
      <c r="G740">
        <v>0</v>
      </c>
      <c r="H740">
        <f t="shared" si="11"/>
        <v>2</v>
      </c>
    </row>
    <row r="741" spans="1:8">
      <c r="A741">
        <v>3540</v>
      </c>
      <c r="C741">
        <v>1</v>
      </c>
      <c r="D741">
        <v>1</v>
      </c>
      <c r="E741">
        <v>0</v>
      </c>
      <c r="F741">
        <v>0</v>
      </c>
      <c r="G741">
        <v>0</v>
      </c>
      <c r="H741">
        <f t="shared" si="11"/>
        <v>2</v>
      </c>
    </row>
    <row r="742" spans="1:8">
      <c r="A742">
        <v>3541</v>
      </c>
      <c r="C742">
        <v>0</v>
      </c>
      <c r="D742">
        <v>1</v>
      </c>
      <c r="E742">
        <v>1</v>
      </c>
      <c r="F742">
        <v>1</v>
      </c>
      <c r="G742">
        <v>0</v>
      </c>
      <c r="H742">
        <f t="shared" si="11"/>
        <v>3</v>
      </c>
    </row>
    <row r="743" spans="1:8">
      <c r="A743">
        <v>3545</v>
      </c>
      <c r="C743">
        <v>1</v>
      </c>
      <c r="D743">
        <v>1</v>
      </c>
      <c r="E743">
        <v>0</v>
      </c>
      <c r="F743">
        <v>1</v>
      </c>
      <c r="G743">
        <v>0</v>
      </c>
      <c r="H743">
        <f t="shared" si="11"/>
        <v>3</v>
      </c>
    </row>
    <row r="744" spans="1:8">
      <c r="A744">
        <v>3546</v>
      </c>
      <c r="C744">
        <v>0</v>
      </c>
      <c r="D744">
        <v>1</v>
      </c>
      <c r="E744">
        <v>2</v>
      </c>
      <c r="F744">
        <v>0</v>
      </c>
      <c r="G744">
        <v>0</v>
      </c>
      <c r="H744">
        <f t="shared" si="11"/>
        <v>3</v>
      </c>
    </row>
    <row r="745" spans="1:8">
      <c r="A745">
        <v>3548</v>
      </c>
      <c r="C745">
        <v>1</v>
      </c>
      <c r="D745">
        <v>1</v>
      </c>
      <c r="E745">
        <v>1</v>
      </c>
      <c r="F745">
        <v>1</v>
      </c>
      <c r="G745">
        <v>0</v>
      </c>
      <c r="H745">
        <f t="shared" si="11"/>
        <v>4</v>
      </c>
    </row>
    <row r="746" spans="1:8">
      <c r="A746">
        <v>3550</v>
      </c>
      <c r="C746">
        <v>0</v>
      </c>
      <c r="D746">
        <v>1</v>
      </c>
      <c r="E746">
        <v>0</v>
      </c>
      <c r="F746">
        <v>1</v>
      </c>
      <c r="G746">
        <v>0</v>
      </c>
      <c r="H746">
        <f t="shared" si="11"/>
        <v>2</v>
      </c>
    </row>
    <row r="747" spans="1:8">
      <c r="A747">
        <v>3551</v>
      </c>
      <c r="C747">
        <v>0</v>
      </c>
      <c r="D747">
        <v>1</v>
      </c>
      <c r="E747">
        <v>0</v>
      </c>
      <c r="F747">
        <v>0</v>
      </c>
      <c r="G747">
        <v>0</v>
      </c>
      <c r="H747">
        <f t="shared" si="11"/>
        <v>1</v>
      </c>
    </row>
    <row r="748" spans="1:8">
      <c r="A748">
        <v>3552</v>
      </c>
      <c r="C748">
        <v>1</v>
      </c>
      <c r="D748">
        <v>1</v>
      </c>
      <c r="E748">
        <v>0</v>
      </c>
      <c r="F748">
        <v>1</v>
      </c>
      <c r="G748">
        <v>0</v>
      </c>
      <c r="H748">
        <f t="shared" si="11"/>
        <v>3</v>
      </c>
    </row>
    <row r="749" spans="1:8">
      <c r="A749">
        <v>3553</v>
      </c>
      <c r="C749">
        <v>0</v>
      </c>
      <c r="D749">
        <v>0</v>
      </c>
      <c r="E749">
        <v>0</v>
      </c>
      <c r="F749">
        <v>0</v>
      </c>
      <c r="G749">
        <v>0</v>
      </c>
      <c r="H749">
        <f t="shared" si="11"/>
        <v>0</v>
      </c>
    </row>
    <row r="750" spans="1:8">
      <c r="A750">
        <v>3555</v>
      </c>
      <c r="C750">
        <v>0</v>
      </c>
      <c r="D750">
        <v>1</v>
      </c>
      <c r="E750">
        <v>0</v>
      </c>
      <c r="F750">
        <v>0</v>
      </c>
      <c r="G750">
        <v>0</v>
      </c>
      <c r="H750">
        <f t="shared" si="11"/>
        <v>1</v>
      </c>
    </row>
    <row r="751" spans="1:8">
      <c r="A751">
        <v>3556</v>
      </c>
      <c r="C751">
        <v>0</v>
      </c>
      <c r="D751">
        <v>0</v>
      </c>
      <c r="E751">
        <v>0</v>
      </c>
      <c r="F751">
        <v>1</v>
      </c>
      <c r="G751">
        <v>0</v>
      </c>
      <c r="H751">
        <f t="shared" si="11"/>
        <v>1</v>
      </c>
    </row>
    <row r="752" spans="1:8">
      <c r="A752">
        <v>3557</v>
      </c>
      <c r="C752">
        <v>0</v>
      </c>
      <c r="D752">
        <v>1</v>
      </c>
      <c r="E752">
        <v>0</v>
      </c>
      <c r="F752">
        <v>1</v>
      </c>
      <c r="G752">
        <v>0</v>
      </c>
      <c r="H752">
        <f t="shared" si="11"/>
        <v>2</v>
      </c>
    </row>
    <row r="753" spans="1:8">
      <c r="A753">
        <v>3558</v>
      </c>
      <c r="C753">
        <v>1</v>
      </c>
      <c r="D753">
        <v>1</v>
      </c>
      <c r="E753">
        <v>2</v>
      </c>
      <c r="F753">
        <v>1</v>
      </c>
      <c r="G753">
        <v>1</v>
      </c>
      <c r="H753">
        <f t="shared" si="11"/>
        <v>6</v>
      </c>
    </row>
    <row r="754" spans="1:8">
      <c r="A754">
        <v>3559</v>
      </c>
      <c r="C754">
        <v>0</v>
      </c>
      <c r="D754">
        <v>1</v>
      </c>
      <c r="E754">
        <v>1</v>
      </c>
      <c r="F754">
        <v>1</v>
      </c>
      <c r="G754">
        <v>0</v>
      </c>
      <c r="H754">
        <f t="shared" si="11"/>
        <v>3</v>
      </c>
    </row>
    <row r="755" spans="1:8">
      <c r="A755">
        <v>3561</v>
      </c>
      <c r="C755">
        <v>0</v>
      </c>
      <c r="D755">
        <v>1</v>
      </c>
      <c r="E755">
        <v>2</v>
      </c>
      <c r="F755">
        <v>1</v>
      </c>
      <c r="G755">
        <v>0</v>
      </c>
      <c r="H755">
        <f t="shared" si="11"/>
        <v>4</v>
      </c>
    </row>
    <row r="756" spans="1:8">
      <c r="A756">
        <v>3562</v>
      </c>
      <c r="C756">
        <v>0</v>
      </c>
      <c r="D756">
        <v>0</v>
      </c>
      <c r="E756">
        <v>0</v>
      </c>
      <c r="F756">
        <v>0</v>
      </c>
      <c r="G756">
        <v>0</v>
      </c>
      <c r="H756">
        <f t="shared" si="11"/>
        <v>0</v>
      </c>
    </row>
    <row r="757" spans="1:8">
      <c r="A757">
        <v>3563</v>
      </c>
      <c r="C757">
        <v>1</v>
      </c>
      <c r="D757">
        <v>1</v>
      </c>
      <c r="E757">
        <v>0</v>
      </c>
      <c r="F757">
        <v>0</v>
      </c>
      <c r="G757">
        <v>0</v>
      </c>
      <c r="H757">
        <f t="shared" si="11"/>
        <v>2</v>
      </c>
    </row>
    <row r="758" spans="1:8">
      <c r="A758">
        <v>3564</v>
      </c>
      <c r="C758">
        <v>0</v>
      </c>
      <c r="D758">
        <v>1</v>
      </c>
      <c r="E758">
        <v>0</v>
      </c>
      <c r="F758">
        <v>1</v>
      </c>
      <c r="G758">
        <v>1</v>
      </c>
      <c r="H758">
        <f t="shared" si="11"/>
        <v>3</v>
      </c>
    </row>
    <row r="759" spans="1:8">
      <c r="A759">
        <v>3567</v>
      </c>
      <c r="C759">
        <v>0</v>
      </c>
      <c r="D759">
        <v>1</v>
      </c>
      <c r="E759">
        <v>1</v>
      </c>
      <c r="F759">
        <v>1</v>
      </c>
      <c r="G759">
        <v>0</v>
      </c>
      <c r="H759">
        <f t="shared" si="11"/>
        <v>3</v>
      </c>
    </row>
    <row r="760" spans="1:8">
      <c r="A760">
        <v>3570</v>
      </c>
      <c r="C760">
        <v>0</v>
      </c>
      <c r="D760">
        <v>0</v>
      </c>
      <c r="E760">
        <v>2</v>
      </c>
      <c r="F760">
        <v>0</v>
      </c>
      <c r="G760">
        <v>0</v>
      </c>
      <c r="H760">
        <f t="shared" si="11"/>
        <v>2</v>
      </c>
    </row>
    <row r="761" spans="1:8">
      <c r="A761">
        <v>3573</v>
      </c>
      <c r="C761">
        <v>1</v>
      </c>
      <c r="D761">
        <v>1</v>
      </c>
      <c r="E761">
        <v>2</v>
      </c>
      <c r="F761">
        <v>0</v>
      </c>
      <c r="G761">
        <v>0</v>
      </c>
      <c r="H761">
        <f t="shared" si="11"/>
        <v>4</v>
      </c>
    </row>
    <row r="762" spans="1:8">
      <c r="A762">
        <v>3576</v>
      </c>
      <c r="C762">
        <v>0</v>
      </c>
      <c r="D762">
        <v>1</v>
      </c>
      <c r="E762">
        <v>1</v>
      </c>
      <c r="F762">
        <v>0</v>
      </c>
      <c r="G762">
        <v>0</v>
      </c>
      <c r="H762">
        <f t="shared" si="11"/>
        <v>2</v>
      </c>
    </row>
    <row r="763" spans="1:8">
      <c r="A763">
        <v>3577</v>
      </c>
      <c r="C763">
        <v>0</v>
      </c>
      <c r="D763">
        <v>1</v>
      </c>
      <c r="E763">
        <v>0</v>
      </c>
      <c r="F763">
        <v>1</v>
      </c>
      <c r="G763">
        <v>0</v>
      </c>
      <c r="H763">
        <f t="shared" si="11"/>
        <v>2</v>
      </c>
    </row>
    <row r="764" spans="1:8">
      <c r="A764">
        <v>3579</v>
      </c>
      <c r="C764">
        <v>0</v>
      </c>
      <c r="D764">
        <v>1</v>
      </c>
      <c r="E764">
        <v>2</v>
      </c>
      <c r="F764">
        <v>0</v>
      </c>
      <c r="G764">
        <v>0</v>
      </c>
      <c r="H764">
        <f t="shared" si="11"/>
        <v>3</v>
      </c>
    </row>
    <row r="765" spans="1:8">
      <c r="A765">
        <v>3580</v>
      </c>
      <c r="C765">
        <v>0</v>
      </c>
      <c r="D765">
        <v>1</v>
      </c>
      <c r="E765">
        <v>0</v>
      </c>
      <c r="F765">
        <v>0</v>
      </c>
      <c r="G765">
        <v>0</v>
      </c>
      <c r="H765">
        <f t="shared" si="11"/>
        <v>1</v>
      </c>
    </row>
    <row r="766" spans="1:8">
      <c r="A766">
        <v>3581</v>
      </c>
      <c r="C766">
        <v>0</v>
      </c>
      <c r="D766">
        <v>1</v>
      </c>
      <c r="E766">
        <v>0</v>
      </c>
      <c r="F766">
        <v>1</v>
      </c>
      <c r="G766">
        <v>1</v>
      </c>
      <c r="H766">
        <f t="shared" si="11"/>
        <v>3</v>
      </c>
    </row>
    <row r="767" spans="1:8">
      <c r="A767">
        <v>3583</v>
      </c>
      <c r="C767">
        <v>0</v>
      </c>
      <c r="D767">
        <v>1</v>
      </c>
      <c r="E767">
        <v>1</v>
      </c>
      <c r="F767">
        <v>1</v>
      </c>
      <c r="G767">
        <v>0</v>
      </c>
      <c r="H767">
        <f t="shared" si="11"/>
        <v>3</v>
      </c>
    </row>
    <row r="768" spans="1:8">
      <c r="A768">
        <v>3584</v>
      </c>
      <c r="C768">
        <v>0</v>
      </c>
      <c r="D768">
        <v>0</v>
      </c>
      <c r="E768">
        <v>0</v>
      </c>
      <c r="F768">
        <v>0</v>
      </c>
      <c r="G768">
        <v>0</v>
      </c>
      <c r="H768">
        <f t="shared" si="11"/>
        <v>0</v>
      </c>
    </row>
    <row r="769" spans="1:8">
      <c r="A769">
        <v>3587</v>
      </c>
      <c r="C769">
        <v>0</v>
      </c>
      <c r="D769">
        <v>1</v>
      </c>
      <c r="E769">
        <v>1</v>
      </c>
      <c r="F769">
        <v>1</v>
      </c>
      <c r="G769">
        <v>1</v>
      </c>
      <c r="H769">
        <f t="shared" si="11"/>
        <v>4</v>
      </c>
    </row>
    <row r="770" spans="1:8">
      <c r="A770">
        <v>3588</v>
      </c>
      <c r="C770">
        <v>1</v>
      </c>
      <c r="D770">
        <v>1</v>
      </c>
      <c r="E770">
        <v>1</v>
      </c>
      <c r="F770">
        <v>0</v>
      </c>
      <c r="G770">
        <v>0</v>
      </c>
      <c r="H770">
        <f t="shared" si="11"/>
        <v>3</v>
      </c>
    </row>
    <row r="771" spans="1:8">
      <c r="A771">
        <v>3591</v>
      </c>
      <c r="C771">
        <v>0</v>
      </c>
      <c r="D771">
        <v>1</v>
      </c>
      <c r="E771">
        <v>0</v>
      </c>
      <c r="F771">
        <v>1</v>
      </c>
      <c r="G771">
        <v>0</v>
      </c>
      <c r="H771">
        <f t="shared" ref="H771:H834" si="12">SUM(C771:G771)</f>
        <v>2</v>
      </c>
    </row>
    <row r="772" spans="1:8">
      <c r="A772">
        <v>3593</v>
      </c>
      <c r="C772">
        <v>0</v>
      </c>
      <c r="D772">
        <v>1</v>
      </c>
      <c r="E772">
        <v>1</v>
      </c>
      <c r="F772">
        <v>0</v>
      </c>
      <c r="G772">
        <v>1</v>
      </c>
      <c r="H772">
        <f t="shared" si="12"/>
        <v>3</v>
      </c>
    </row>
    <row r="773" spans="1:8">
      <c r="A773">
        <v>3594</v>
      </c>
      <c r="C773">
        <v>0</v>
      </c>
      <c r="D773">
        <v>0</v>
      </c>
      <c r="E773">
        <v>0</v>
      </c>
      <c r="F773">
        <v>0</v>
      </c>
      <c r="G773">
        <v>0</v>
      </c>
      <c r="H773">
        <f t="shared" si="12"/>
        <v>0</v>
      </c>
    </row>
    <row r="774" spans="1:8">
      <c r="A774">
        <v>3596</v>
      </c>
      <c r="C774">
        <v>1</v>
      </c>
      <c r="D774">
        <v>1</v>
      </c>
      <c r="E774">
        <v>1</v>
      </c>
      <c r="F774">
        <v>0</v>
      </c>
      <c r="G774">
        <v>0</v>
      </c>
      <c r="H774">
        <f t="shared" si="12"/>
        <v>3</v>
      </c>
    </row>
    <row r="775" spans="1:8">
      <c r="A775">
        <v>3598</v>
      </c>
      <c r="C775">
        <v>0</v>
      </c>
      <c r="D775">
        <v>1</v>
      </c>
      <c r="E775">
        <v>0</v>
      </c>
      <c r="F775">
        <v>1</v>
      </c>
      <c r="G775">
        <v>0</v>
      </c>
      <c r="H775">
        <f t="shared" si="12"/>
        <v>2</v>
      </c>
    </row>
    <row r="776" spans="1:8">
      <c r="A776">
        <v>3605</v>
      </c>
      <c r="C776">
        <v>0</v>
      </c>
      <c r="D776">
        <v>1</v>
      </c>
      <c r="E776">
        <v>2</v>
      </c>
      <c r="F776">
        <v>1</v>
      </c>
      <c r="G776">
        <v>0</v>
      </c>
      <c r="H776">
        <f t="shared" si="12"/>
        <v>4</v>
      </c>
    </row>
    <row r="777" spans="1:8">
      <c r="A777">
        <v>3607</v>
      </c>
      <c r="C777">
        <v>0</v>
      </c>
      <c r="D777">
        <v>1</v>
      </c>
      <c r="E777">
        <v>0</v>
      </c>
      <c r="F777">
        <v>1</v>
      </c>
      <c r="G777">
        <v>0</v>
      </c>
      <c r="H777">
        <f t="shared" si="12"/>
        <v>2</v>
      </c>
    </row>
    <row r="778" spans="1:8">
      <c r="A778">
        <v>3609</v>
      </c>
      <c r="C778">
        <v>0</v>
      </c>
      <c r="D778">
        <v>1</v>
      </c>
      <c r="E778">
        <v>2</v>
      </c>
      <c r="F778">
        <v>0</v>
      </c>
      <c r="G778">
        <v>0</v>
      </c>
      <c r="H778">
        <f t="shared" si="12"/>
        <v>3</v>
      </c>
    </row>
    <row r="779" spans="1:8">
      <c r="A779">
        <v>3611</v>
      </c>
      <c r="C779">
        <v>1</v>
      </c>
      <c r="D779">
        <v>1</v>
      </c>
      <c r="E779">
        <v>0</v>
      </c>
      <c r="F779">
        <v>1</v>
      </c>
      <c r="G779">
        <v>0</v>
      </c>
      <c r="H779">
        <f t="shared" si="12"/>
        <v>3</v>
      </c>
    </row>
    <row r="780" spans="1:8">
      <c r="A780">
        <v>3615</v>
      </c>
      <c r="C780">
        <v>1</v>
      </c>
      <c r="D780">
        <v>1</v>
      </c>
      <c r="E780">
        <v>1</v>
      </c>
      <c r="F780">
        <v>1</v>
      </c>
      <c r="G780">
        <v>0</v>
      </c>
      <c r="H780">
        <f t="shared" si="12"/>
        <v>4</v>
      </c>
    </row>
    <row r="781" spans="1:8">
      <c r="A781">
        <v>3617</v>
      </c>
      <c r="C781">
        <v>1</v>
      </c>
      <c r="D781">
        <v>1</v>
      </c>
      <c r="E781">
        <v>0</v>
      </c>
      <c r="F781">
        <v>1</v>
      </c>
      <c r="G781">
        <v>0</v>
      </c>
      <c r="H781">
        <f t="shared" si="12"/>
        <v>3</v>
      </c>
    </row>
    <row r="782" spans="1:8">
      <c r="A782">
        <v>3622</v>
      </c>
      <c r="C782">
        <v>0</v>
      </c>
      <c r="D782">
        <v>1</v>
      </c>
      <c r="E782">
        <v>0</v>
      </c>
      <c r="F782">
        <v>1</v>
      </c>
      <c r="G782">
        <v>0</v>
      </c>
      <c r="H782">
        <f t="shared" si="12"/>
        <v>2</v>
      </c>
    </row>
    <row r="783" spans="1:8">
      <c r="A783">
        <v>3623</v>
      </c>
      <c r="C783">
        <v>0</v>
      </c>
      <c r="D783">
        <v>1</v>
      </c>
      <c r="E783">
        <v>1</v>
      </c>
      <c r="F783">
        <v>1</v>
      </c>
      <c r="G783">
        <v>0</v>
      </c>
      <c r="H783">
        <f t="shared" si="12"/>
        <v>3</v>
      </c>
    </row>
    <row r="784" spans="1:8">
      <c r="A784">
        <v>3624</v>
      </c>
      <c r="C784">
        <v>1</v>
      </c>
      <c r="D784">
        <v>1</v>
      </c>
      <c r="E784">
        <v>0</v>
      </c>
      <c r="F784">
        <v>1</v>
      </c>
      <c r="G784">
        <v>0</v>
      </c>
      <c r="H784">
        <f t="shared" si="12"/>
        <v>3</v>
      </c>
    </row>
    <row r="785" spans="1:8">
      <c r="A785">
        <v>3625</v>
      </c>
      <c r="C785">
        <v>0</v>
      </c>
      <c r="D785">
        <v>1</v>
      </c>
      <c r="E785">
        <v>1</v>
      </c>
      <c r="F785">
        <v>0</v>
      </c>
      <c r="G785">
        <v>0</v>
      </c>
      <c r="H785">
        <f t="shared" si="12"/>
        <v>2</v>
      </c>
    </row>
    <row r="786" spans="1:8">
      <c r="A786">
        <v>3628</v>
      </c>
      <c r="C786">
        <v>0</v>
      </c>
      <c r="D786">
        <v>0</v>
      </c>
      <c r="E786">
        <v>0</v>
      </c>
      <c r="F786">
        <v>0</v>
      </c>
      <c r="G786">
        <v>0</v>
      </c>
      <c r="H786">
        <f t="shared" si="12"/>
        <v>0</v>
      </c>
    </row>
    <row r="787" spans="1:8">
      <c r="A787">
        <v>3629</v>
      </c>
      <c r="C787">
        <v>0</v>
      </c>
      <c r="D787">
        <v>1</v>
      </c>
      <c r="E787">
        <v>1</v>
      </c>
      <c r="F787">
        <v>0</v>
      </c>
      <c r="G787">
        <v>0</v>
      </c>
      <c r="H787">
        <f t="shared" si="12"/>
        <v>2</v>
      </c>
    </row>
    <row r="788" spans="1:8">
      <c r="A788">
        <v>3630</v>
      </c>
      <c r="C788">
        <v>0</v>
      </c>
      <c r="D788">
        <v>1</v>
      </c>
      <c r="E788">
        <v>0</v>
      </c>
      <c r="F788">
        <v>0</v>
      </c>
      <c r="G788">
        <v>0</v>
      </c>
      <c r="H788">
        <f t="shared" si="12"/>
        <v>1</v>
      </c>
    </row>
    <row r="789" spans="1:8">
      <c r="A789">
        <v>3631</v>
      </c>
      <c r="C789">
        <v>0</v>
      </c>
      <c r="D789">
        <v>0</v>
      </c>
      <c r="E789">
        <v>1</v>
      </c>
      <c r="F789">
        <v>1</v>
      </c>
      <c r="G789">
        <v>0</v>
      </c>
      <c r="H789">
        <f t="shared" si="12"/>
        <v>2</v>
      </c>
    </row>
    <row r="790" spans="1:8">
      <c r="A790">
        <v>3632</v>
      </c>
      <c r="C790">
        <v>1</v>
      </c>
      <c r="D790">
        <v>1</v>
      </c>
      <c r="E790">
        <v>2</v>
      </c>
      <c r="F790">
        <v>0</v>
      </c>
      <c r="G790">
        <v>0</v>
      </c>
      <c r="H790">
        <f t="shared" si="12"/>
        <v>4</v>
      </c>
    </row>
    <row r="791" spans="1:8">
      <c r="A791">
        <v>3642</v>
      </c>
      <c r="C791">
        <v>0</v>
      </c>
      <c r="D791">
        <v>0</v>
      </c>
      <c r="E791">
        <v>0</v>
      </c>
      <c r="F791">
        <v>1</v>
      </c>
      <c r="G791">
        <v>0</v>
      </c>
      <c r="H791">
        <f t="shared" si="12"/>
        <v>1</v>
      </c>
    </row>
    <row r="792" spans="1:8">
      <c r="A792">
        <v>3645</v>
      </c>
      <c r="C792">
        <v>0</v>
      </c>
      <c r="D792">
        <v>1</v>
      </c>
      <c r="E792">
        <v>1</v>
      </c>
      <c r="F792">
        <v>0</v>
      </c>
      <c r="G792">
        <v>0</v>
      </c>
      <c r="H792">
        <f t="shared" si="12"/>
        <v>2</v>
      </c>
    </row>
    <row r="793" spans="1:8">
      <c r="A793">
        <v>3646</v>
      </c>
      <c r="C793">
        <v>1</v>
      </c>
      <c r="D793">
        <v>1</v>
      </c>
      <c r="E793">
        <v>0</v>
      </c>
      <c r="F793">
        <v>1</v>
      </c>
      <c r="G793">
        <v>0</v>
      </c>
      <c r="H793">
        <f t="shared" si="12"/>
        <v>3</v>
      </c>
    </row>
    <row r="794" spans="1:8">
      <c r="A794">
        <v>3652</v>
      </c>
      <c r="C794">
        <v>0</v>
      </c>
      <c r="D794">
        <v>1</v>
      </c>
      <c r="E794">
        <v>0</v>
      </c>
      <c r="F794">
        <v>0</v>
      </c>
      <c r="G794">
        <v>0</v>
      </c>
      <c r="H794">
        <f t="shared" si="12"/>
        <v>1</v>
      </c>
    </row>
    <row r="795" spans="1:8">
      <c r="A795">
        <v>3653</v>
      </c>
      <c r="C795">
        <v>1</v>
      </c>
      <c r="D795">
        <v>1</v>
      </c>
      <c r="E795">
        <v>0</v>
      </c>
      <c r="F795">
        <v>1</v>
      </c>
      <c r="G795">
        <v>0</v>
      </c>
      <c r="H795">
        <f t="shared" si="12"/>
        <v>3</v>
      </c>
    </row>
    <row r="796" spans="1:8">
      <c r="A796">
        <v>3658</v>
      </c>
      <c r="C796">
        <v>0</v>
      </c>
      <c r="D796">
        <v>1</v>
      </c>
      <c r="E796">
        <v>0</v>
      </c>
      <c r="F796">
        <v>1</v>
      </c>
      <c r="G796">
        <v>0</v>
      </c>
      <c r="H796">
        <f t="shared" si="12"/>
        <v>2</v>
      </c>
    </row>
    <row r="797" spans="1:8">
      <c r="A797">
        <v>3661</v>
      </c>
      <c r="C797">
        <v>0</v>
      </c>
      <c r="D797">
        <v>1</v>
      </c>
      <c r="E797">
        <v>0</v>
      </c>
      <c r="F797">
        <v>1</v>
      </c>
      <c r="G797">
        <v>0</v>
      </c>
      <c r="H797">
        <f t="shared" si="12"/>
        <v>2</v>
      </c>
    </row>
    <row r="798" spans="1:8">
      <c r="A798">
        <v>3662</v>
      </c>
      <c r="C798">
        <v>0</v>
      </c>
      <c r="D798">
        <v>0</v>
      </c>
      <c r="E798">
        <v>1</v>
      </c>
      <c r="F798">
        <v>0</v>
      </c>
      <c r="G798">
        <v>0</v>
      </c>
      <c r="H798">
        <f t="shared" si="12"/>
        <v>1</v>
      </c>
    </row>
    <row r="799" spans="1:8">
      <c r="A799">
        <v>3663</v>
      </c>
      <c r="C799">
        <v>0</v>
      </c>
      <c r="D799">
        <v>0</v>
      </c>
      <c r="E799">
        <v>0</v>
      </c>
      <c r="F799">
        <v>1</v>
      </c>
      <c r="G799">
        <v>0</v>
      </c>
      <c r="H799">
        <f t="shared" si="12"/>
        <v>1</v>
      </c>
    </row>
    <row r="800" spans="1:8">
      <c r="A800">
        <v>3664</v>
      </c>
      <c r="C800">
        <v>0</v>
      </c>
      <c r="D800">
        <v>0</v>
      </c>
      <c r="E800">
        <v>1</v>
      </c>
      <c r="F800">
        <v>1</v>
      </c>
      <c r="G800">
        <v>0</v>
      </c>
      <c r="H800">
        <f t="shared" si="12"/>
        <v>2</v>
      </c>
    </row>
    <row r="801" spans="1:8">
      <c r="A801">
        <v>3665</v>
      </c>
      <c r="C801">
        <v>1</v>
      </c>
      <c r="D801">
        <v>1</v>
      </c>
      <c r="E801">
        <v>0</v>
      </c>
      <c r="F801">
        <v>1</v>
      </c>
      <c r="G801">
        <v>0</v>
      </c>
      <c r="H801">
        <f t="shared" si="12"/>
        <v>3</v>
      </c>
    </row>
    <row r="802" spans="1:8">
      <c r="A802">
        <v>3666</v>
      </c>
      <c r="C802">
        <v>0</v>
      </c>
      <c r="D802">
        <v>1</v>
      </c>
      <c r="E802">
        <v>0</v>
      </c>
      <c r="F802">
        <v>1</v>
      </c>
      <c r="G802">
        <v>0</v>
      </c>
      <c r="H802">
        <f t="shared" si="12"/>
        <v>2</v>
      </c>
    </row>
    <row r="803" spans="1:8">
      <c r="A803">
        <v>3669</v>
      </c>
      <c r="C803">
        <v>1</v>
      </c>
      <c r="D803">
        <v>1</v>
      </c>
      <c r="E803">
        <v>2</v>
      </c>
      <c r="F803">
        <v>0</v>
      </c>
      <c r="G803">
        <v>0</v>
      </c>
      <c r="H803">
        <f t="shared" si="12"/>
        <v>4</v>
      </c>
    </row>
    <row r="804" spans="1:8">
      <c r="A804">
        <v>3672</v>
      </c>
      <c r="C804">
        <v>0</v>
      </c>
      <c r="D804">
        <v>1</v>
      </c>
      <c r="E804">
        <v>1</v>
      </c>
      <c r="F804">
        <v>0</v>
      </c>
      <c r="G804">
        <v>1</v>
      </c>
      <c r="H804">
        <f t="shared" si="12"/>
        <v>3</v>
      </c>
    </row>
    <row r="805" spans="1:8">
      <c r="A805">
        <v>3673</v>
      </c>
      <c r="C805">
        <v>0</v>
      </c>
      <c r="D805">
        <v>0</v>
      </c>
      <c r="E805">
        <v>2</v>
      </c>
      <c r="F805">
        <v>1</v>
      </c>
      <c r="G805">
        <v>0</v>
      </c>
      <c r="H805">
        <f t="shared" si="12"/>
        <v>3</v>
      </c>
    </row>
    <row r="806" spans="1:8">
      <c r="A806">
        <v>3675</v>
      </c>
      <c r="C806">
        <v>1</v>
      </c>
      <c r="D806">
        <v>1</v>
      </c>
      <c r="E806">
        <v>1</v>
      </c>
      <c r="F806">
        <v>1</v>
      </c>
      <c r="G806">
        <v>0</v>
      </c>
      <c r="H806">
        <f t="shared" si="12"/>
        <v>4</v>
      </c>
    </row>
    <row r="807" spans="1:8">
      <c r="A807">
        <v>3679</v>
      </c>
      <c r="C807">
        <v>1</v>
      </c>
      <c r="D807">
        <v>1</v>
      </c>
      <c r="E807">
        <v>0</v>
      </c>
      <c r="F807">
        <v>0</v>
      </c>
      <c r="G807">
        <v>1</v>
      </c>
      <c r="H807">
        <f t="shared" si="12"/>
        <v>3</v>
      </c>
    </row>
    <row r="808" spans="1:8">
      <c r="A808">
        <v>3680</v>
      </c>
      <c r="C808">
        <v>1</v>
      </c>
      <c r="D808">
        <v>1</v>
      </c>
      <c r="E808">
        <v>0</v>
      </c>
      <c r="F808">
        <v>1</v>
      </c>
      <c r="G808">
        <v>0</v>
      </c>
      <c r="H808">
        <f t="shared" si="12"/>
        <v>3</v>
      </c>
    </row>
    <row r="809" spans="1:8">
      <c r="A809">
        <v>3682</v>
      </c>
      <c r="C809">
        <v>0</v>
      </c>
      <c r="D809">
        <v>0</v>
      </c>
      <c r="E809">
        <v>0</v>
      </c>
      <c r="F809">
        <v>0</v>
      </c>
      <c r="G809">
        <v>0</v>
      </c>
      <c r="H809">
        <f t="shared" si="12"/>
        <v>0</v>
      </c>
    </row>
    <row r="810" spans="1:8">
      <c r="A810">
        <v>3684</v>
      </c>
      <c r="C810">
        <v>1</v>
      </c>
      <c r="D810">
        <v>1</v>
      </c>
      <c r="E810">
        <v>0</v>
      </c>
      <c r="F810">
        <v>1</v>
      </c>
      <c r="G810">
        <v>0</v>
      </c>
      <c r="H810">
        <f t="shared" si="12"/>
        <v>3</v>
      </c>
    </row>
    <row r="811" spans="1:8">
      <c r="A811">
        <v>3685</v>
      </c>
      <c r="C811">
        <v>0</v>
      </c>
      <c r="D811">
        <v>0</v>
      </c>
      <c r="E811">
        <v>1</v>
      </c>
      <c r="F811">
        <v>0</v>
      </c>
      <c r="G811">
        <v>1</v>
      </c>
      <c r="H811">
        <f t="shared" si="12"/>
        <v>2</v>
      </c>
    </row>
    <row r="812" spans="1:8">
      <c r="A812">
        <v>3686</v>
      </c>
      <c r="C812">
        <v>0</v>
      </c>
      <c r="D812">
        <v>1</v>
      </c>
      <c r="E812">
        <v>0</v>
      </c>
      <c r="F812">
        <v>1</v>
      </c>
      <c r="G812">
        <v>0</v>
      </c>
      <c r="H812">
        <f t="shared" si="12"/>
        <v>2</v>
      </c>
    </row>
    <row r="813" spans="1:8">
      <c r="A813">
        <v>3687</v>
      </c>
      <c r="C813">
        <v>0</v>
      </c>
      <c r="D813">
        <v>1</v>
      </c>
      <c r="E813">
        <v>2</v>
      </c>
      <c r="F813">
        <v>0</v>
      </c>
      <c r="G813">
        <v>0</v>
      </c>
      <c r="H813">
        <f t="shared" si="12"/>
        <v>3</v>
      </c>
    </row>
    <row r="814" spans="1:8">
      <c r="A814">
        <v>3689</v>
      </c>
      <c r="C814">
        <v>0</v>
      </c>
      <c r="D814">
        <v>0</v>
      </c>
      <c r="E814">
        <v>1</v>
      </c>
      <c r="F814">
        <v>0</v>
      </c>
      <c r="G814">
        <v>0</v>
      </c>
      <c r="H814">
        <f t="shared" si="12"/>
        <v>1</v>
      </c>
    </row>
    <row r="815" spans="1:8">
      <c r="A815">
        <v>3691</v>
      </c>
      <c r="C815">
        <v>1</v>
      </c>
      <c r="D815">
        <v>1</v>
      </c>
      <c r="E815">
        <v>0</v>
      </c>
      <c r="F815">
        <v>1</v>
      </c>
      <c r="G815">
        <v>0</v>
      </c>
      <c r="H815">
        <f t="shared" si="12"/>
        <v>3</v>
      </c>
    </row>
    <row r="816" spans="1:8">
      <c r="A816">
        <v>3693</v>
      </c>
      <c r="C816">
        <v>1</v>
      </c>
      <c r="D816">
        <v>1</v>
      </c>
      <c r="E816">
        <v>1</v>
      </c>
      <c r="F816">
        <v>1</v>
      </c>
      <c r="G816">
        <v>0</v>
      </c>
      <c r="H816">
        <f t="shared" si="12"/>
        <v>4</v>
      </c>
    </row>
    <row r="817" spans="1:8">
      <c r="A817">
        <v>3694</v>
      </c>
      <c r="C817">
        <v>1</v>
      </c>
      <c r="D817">
        <v>1</v>
      </c>
      <c r="E817">
        <v>2</v>
      </c>
      <c r="F817">
        <v>0</v>
      </c>
      <c r="G817">
        <v>1</v>
      </c>
      <c r="H817">
        <f t="shared" si="12"/>
        <v>5</v>
      </c>
    </row>
    <row r="818" spans="1:8">
      <c r="A818">
        <v>3698</v>
      </c>
      <c r="C818">
        <v>0</v>
      </c>
      <c r="D818">
        <v>0</v>
      </c>
      <c r="E818">
        <v>0</v>
      </c>
      <c r="F818">
        <v>1</v>
      </c>
      <c r="G818">
        <v>0</v>
      </c>
      <c r="H818">
        <f t="shared" si="12"/>
        <v>1</v>
      </c>
    </row>
    <row r="819" spans="1:8">
      <c r="A819">
        <v>3701</v>
      </c>
      <c r="C819">
        <v>0</v>
      </c>
      <c r="D819">
        <v>1</v>
      </c>
      <c r="E819">
        <v>0</v>
      </c>
      <c r="F819">
        <v>1</v>
      </c>
      <c r="G819">
        <v>0</v>
      </c>
      <c r="H819">
        <f t="shared" si="12"/>
        <v>2</v>
      </c>
    </row>
    <row r="820" spans="1:8">
      <c r="A820">
        <v>3702</v>
      </c>
      <c r="C820">
        <v>0</v>
      </c>
      <c r="D820">
        <v>1</v>
      </c>
      <c r="E820">
        <v>0</v>
      </c>
      <c r="F820">
        <v>0</v>
      </c>
      <c r="G820">
        <v>0</v>
      </c>
      <c r="H820">
        <f t="shared" si="12"/>
        <v>1</v>
      </c>
    </row>
    <row r="821" spans="1:8">
      <c r="A821">
        <v>3703</v>
      </c>
      <c r="C821">
        <v>0</v>
      </c>
      <c r="D821">
        <v>0</v>
      </c>
      <c r="E821">
        <v>0</v>
      </c>
      <c r="F821">
        <v>0</v>
      </c>
      <c r="G821">
        <v>0</v>
      </c>
      <c r="H821">
        <f t="shared" si="12"/>
        <v>0</v>
      </c>
    </row>
    <row r="822" spans="1:8">
      <c r="A822">
        <v>3704</v>
      </c>
      <c r="C822">
        <v>1</v>
      </c>
      <c r="D822">
        <v>1</v>
      </c>
      <c r="E822">
        <v>0</v>
      </c>
      <c r="F822">
        <v>1</v>
      </c>
      <c r="G822">
        <v>0</v>
      </c>
      <c r="H822">
        <f t="shared" si="12"/>
        <v>3</v>
      </c>
    </row>
    <row r="823" spans="1:8">
      <c r="A823">
        <v>3705</v>
      </c>
      <c r="C823">
        <v>1</v>
      </c>
      <c r="D823">
        <v>1</v>
      </c>
      <c r="E823">
        <v>0</v>
      </c>
      <c r="F823">
        <v>0</v>
      </c>
      <c r="G823">
        <v>0</v>
      </c>
      <c r="H823">
        <f t="shared" si="12"/>
        <v>2</v>
      </c>
    </row>
    <row r="824" spans="1:8">
      <c r="A824">
        <v>3706</v>
      </c>
      <c r="C824">
        <v>0</v>
      </c>
      <c r="D824">
        <v>1</v>
      </c>
      <c r="E824">
        <v>0</v>
      </c>
      <c r="F824">
        <v>1</v>
      </c>
      <c r="G824">
        <v>1</v>
      </c>
      <c r="H824">
        <f t="shared" si="12"/>
        <v>3</v>
      </c>
    </row>
    <row r="825" spans="1:8">
      <c r="A825">
        <v>3707</v>
      </c>
      <c r="C825">
        <v>1</v>
      </c>
      <c r="D825">
        <v>0</v>
      </c>
      <c r="E825">
        <v>0</v>
      </c>
      <c r="F825">
        <v>0</v>
      </c>
      <c r="G825">
        <v>0</v>
      </c>
      <c r="H825">
        <f t="shared" si="12"/>
        <v>1</v>
      </c>
    </row>
    <row r="826" spans="1:8">
      <c r="A826">
        <v>4102</v>
      </c>
      <c r="C826">
        <v>1</v>
      </c>
      <c r="D826">
        <v>1</v>
      </c>
      <c r="E826">
        <v>0</v>
      </c>
      <c r="F826">
        <v>0</v>
      </c>
      <c r="G826">
        <v>1</v>
      </c>
      <c r="H826">
        <f t="shared" si="12"/>
        <v>3</v>
      </c>
    </row>
    <row r="827" spans="1:8">
      <c r="A827">
        <v>4103</v>
      </c>
      <c r="C827">
        <v>1</v>
      </c>
      <c r="D827">
        <v>1</v>
      </c>
      <c r="E827">
        <v>1</v>
      </c>
      <c r="F827">
        <v>0</v>
      </c>
      <c r="G827">
        <v>0</v>
      </c>
      <c r="H827">
        <f t="shared" si="12"/>
        <v>3</v>
      </c>
    </row>
    <row r="828" spans="1:8">
      <c r="A828">
        <v>4104</v>
      </c>
      <c r="C828">
        <v>0</v>
      </c>
      <c r="D828">
        <v>1</v>
      </c>
      <c r="E828">
        <v>2</v>
      </c>
      <c r="F828">
        <v>0</v>
      </c>
      <c r="G828">
        <v>0</v>
      </c>
      <c r="H828">
        <f t="shared" si="12"/>
        <v>3</v>
      </c>
    </row>
    <row r="829" spans="1:8">
      <c r="A829">
        <v>4105</v>
      </c>
      <c r="C829">
        <v>0</v>
      </c>
      <c r="D829">
        <v>1</v>
      </c>
      <c r="E829">
        <v>1</v>
      </c>
      <c r="F829">
        <v>1</v>
      </c>
      <c r="G829">
        <v>0</v>
      </c>
      <c r="H829">
        <f t="shared" si="12"/>
        <v>3</v>
      </c>
    </row>
    <row r="830" spans="1:8">
      <c r="A830">
        <v>4106</v>
      </c>
      <c r="C830">
        <v>0</v>
      </c>
      <c r="D830">
        <v>0</v>
      </c>
      <c r="E830">
        <v>0</v>
      </c>
      <c r="F830">
        <v>1</v>
      </c>
      <c r="G830">
        <v>0</v>
      </c>
      <c r="H830">
        <f t="shared" si="12"/>
        <v>1</v>
      </c>
    </row>
    <row r="831" spans="1:8">
      <c r="A831">
        <v>4107</v>
      </c>
      <c r="C831">
        <v>1</v>
      </c>
      <c r="D831">
        <v>1</v>
      </c>
      <c r="E831">
        <v>0</v>
      </c>
      <c r="F831">
        <v>1</v>
      </c>
      <c r="G831">
        <v>0</v>
      </c>
      <c r="H831">
        <f t="shared" si="12"/>
        <v>3</v>
      </c>
    </row>
    <row r="832" spans="1:8">
      <c r="A832">
        <v>4108</v>
      </c>
      <c r="C832">
        <v>0</v>
      </c>
      <c r="D832">
        <v>1</v>
      </c>
      <c r="E832">
        <v>1</v>
      </c>
      <c r="F832">
        <v>2</v>
      </c>
      <c r="G832">
        <v>0</v>
      </c>
      <c r="H832">
        <f t="shared" si="12"/>
        <v>4</v>
      </c>
    </row>
    <row r="833" spans="1:8">
      <c r="A833">
        <v>4109</v>
      </c>
      <c r="C833">
        <v>0</v>
      </c>
      <c r="D833">
        <v>1</v>
      </c>
      <c r="E833">
        <v>0</v>
      </c>
      <c r="F833">
        <v>1</v>
      </c>
      <c r="G833">
        <v>0</v>
      </c>
      <c r="H833">
        <f t="shared" si="12"/>
        <v>2</v>
      </c>
    </row>
    <row r="834" spans="1:8">
      <c r="A834">
        <v>4111</v>
      </c>
      <c r="C834">
        <v>0</v>
      </c>
      <c r="D834">
        <v>1</v>
      </c>
      <c r="E834">
        <v>1</v>
      </c>
      <c r="F834">
        <v>1</v>
      </c>
      <c r="G834">
        <v>0</v>
      </c>
      <c r="H834">
        <f t="shared" si="12"/>
        <v>3</v>
      </c>
    </row>
    <row r="835" spans="1:8">
      <c r="A835">
        <v>4113</v>
      </c>
      <c r="C835">
        <v>0</v>
      </c>
      <c r="D835">
        <v>1</v>
      </c>
      <c r="E835">
        <v>1</v>
      </c>
      <c r="F835">
        <v>0</v>
      </c>
      <c r="G835">
        <v>0</v>
      </c>
      <c r="H835">
        <f t="shared" ref="H835:H898" si="13">SUM(C835:G835)</f>
        <v>2</v>
      </c>
    </row>
    <row r="836" spans="1:8">
      <c r="A836">
        <v>4114</v>
      </c>
      <c r="C836">
        <v>0</v>
      </c>
      <c r="D836">
        <v>1</v>
      </c>
      <c r="E836">
        <v>1</v>
      </c>
      <c r="F836">
        <v>1</v>
      </c>
      <c r="G836">
        <v>0</v>
      </c>
      <c r="H836">
        <f t="shared" si="13"/>
        <v>3</v>
      </c>
    </row>
    <row r="837" spans="1:8">
      <c r="A837">
        <v>4119</v>
      </c>
      <c r="C837">
        <v>0</v>
      </c>
      <c r="D837">
        <v>1</v>
      </c>
      <c r="E837">
        <v>0</v>
      </c>
      <c r="F837">
        <v>1</v>
      </c>
      <c r="G837">
        <v>0</v>
      </c>
      <c r="H837">
        <f t="shared" si="13"/>
        <v>2</v>
      </c>
    </row>
    <row r="838" spans="1:8">
      <c r="A838">
        <v>4120</v>
      </c>
      <c r="C838">
        <v>0</v>
      </c>
      <c r="D838">
        <v>1</v>
      </c>
      <c r="E838">
        <v>2</v>
      </c>
      <c r="F838">
        <v>1</v>
      </c>
      <c r="G838">
        <v>0</v>
      </c>
      <c r="H838">
        <f t="shared" si="13"/>
        <v>4</v>
      </c>
    </row>
    <row r="839" spans="1:8">
      <c r="A839">
        <v>4121</v>
      </c>
      <c r="C839">
        <v>1</v>
      </c>
      <c r="D839">
        <v>1</v>
      </c>
      <c r="E839">
        <v>1</v>
      </c>
      <c r="F839">
        <v>0</v>
      </c>
      <c r="G839">
        <v>0</v>
      </c>
      <c r="H839">
        <f t="shared" si="13"/>
        <v>3</v>
      </c>
    </row>
    <row r="840" spans="1:8">
      <c r="A840">
        <v>4123</v>
      </c>
      <c r="C840">
        <v>0</v>
      </c>
      <c r="D840">
        <v>1</v>
      </c>
      <c r="E840">
        <v>2</v>
      </c>
      <c r="F840">
        <v>0</v>
      </c>
      <c r="G840">
        <v>0</v>
      </c>
      <c r="H840">
        <f t="shared" si="13"/>
        <v>3</v>
      </c>
    </row>
    <row r="841" spans="1:8">
      <c r="A841">
        <v>4126</v>
      </c>
      <c r="C841">
        <v>1</v>
      </c>
      <c r="D841">
        <v>1</v>
      </c>
      <c r="E841">
        <v>1</v>
      </c>
      <c r="F841">
        <v>1</v>
      </c>
      <c r="G841">
        <v>0</v>
      </c>
      <c r="H841">
        <f t="shared" si="13"/>
        <v>4</v>
      </c>
    </row>
    <row r="842" spans="1:8">
      <c r="A842">
        <v>4127</v>
      </c>
      <c r="C842">
        <v>0</v>
      </c>
      <c r="D842">
        <v>0</v>
      </c>
      <c r="E842">
        <v>0</v>
      </c>
      <c r="F842">
        <v>0</v>
      </c>
      <c r="G842">
        <v>0</v>
      </c>
      <c r="H842">
        <f t="shared" si="13"/>
        <v>0</v>
      </c>
    </row>
    <row r="843" spans="1:8">
      <c r="A843">
        <v>4128</v>
      </c>
      <c r="C843">
        <v>0</v>
      </c>
      <c r="D843">
        <v>1</v>
      </c>
      <c r="E843">
        <v>1</v>
      </c>
      <c r="F843">
        <v>0</v>
      </c>
      <c r="G843">
        <v>0</v>
      </c>
      <c r="H843">
        <f t="shared" si="13"/>
        <v>2</v>
      </c>
    </row>
    <row r="844" spans="1:8">
      <c r="A844">
        <v>4129</v>
      </c>
      <c r="C844">
        <v>0</v>
      </c>
      <c r="D844">
        <v>1</v>
      </c>
      <c r="E844">
        <v>0</v>
      </c>
      <c r="F844">
        <v>1</v>
      </c>
      <c r="G844">
        <v>1</v>
      </c>
      <c r="H844">
        <f t="shared" si="13"/>
        <v>3</v>
      </c>
    </row>
    <row r="845" spans="1:8">
      <c r="A845">
        <v>4130</v>
      </c>
      <c r="C845">
        <v>0</v>
      </c>
      <c r="D845">
        <v>1</v>
      </c>
      <c r="E845">
        <v>1</v>
      </c>
      <c r="F845">
        <v>1</v>
      </c>
      <c r="G845">
        <v>0</v>
      </c>
      <c r="H845">
        <f t="shared" si="13"/>
        <v>3</v>
      </c>
    </row>
    <row r="846" spans="1:8">
      <c r="A846">
        <v>4131</v>
      </c>
      <c r="C846">
        <v>0</v>
      </c>
      <c r="D846">
        <v>1</v>
      </c>
      <c r="E846">
        <v>1</v>
      </c>
      <c r="F846">
        <v>0</v>
      </c>
      <c r="G846">
        <v>0</v>
      </c>
      <c r="H846">
        <f t="shared" si="13"/>
        <v>2</v>
      </c>
    </row>
    <row r="847" spans="1:8">
      <c r="A847">
        <v>4133</v>
      </c>
      <c r="C847">
        <v>0</v>
      </c>
      <c r="D847">
        <v>0</v>
      </c>
      <c r="E847">
        <v>1</v>
      </c>
      <c r="F847">
        <v>0</v>
      </c>
      <c r="G847">
        <v>1</v>
      </c>
      <c r="H847">
        <f t="shared" si="13"/>
        <v>2</v>
      </c>
    </row>
    <row r="848" spans="1:8">
      <c r="A848">
        <v>4137</v>
      </c>
      <c r="C848">
        <v>1</v>
      </c>
      <c r="D848">
        <v>1</v>
      </c>
      <c r="E848">
        <v>0</v>
      </c>
      <c r="F848">
        <v>0</v>
      </c>
      <c r="G848">
        <v>0</v>
      </c>
      <c r="H848">
        <f t="shared" si="13"/>
        <v>2</v>
      </c>
    </row>
    <row r="849" spans="1:8">
      <c r="A849">
        <v>4138</v>
      </c>
      <c r="C849">
        <v>0</v>
      </c>
      <c r="D849">
        <v>1</v>
      </c>
      <c r="E849">
        <v>2</v>
      </c>
      <c r="F849">
        <v>0</v>
      </c>
      <c r="G849">
        <v>0</v>
      </c>
      <c r="H849">
        <f t="shared" si="13"/>
        <v>3</v>
      </c>
    </row>
    <row r="850" spans="1:8">
      <c r="A850">
        <v>4139</v>
      </c>
      <c r="C850">
        <v>0</v>
      </c>
      <c r="D850">
        <v>1</v>
      </c>
      <c r="E850">
        <v>0</v>
      </c>
      <c r="F850">
        <v>0</v>
      </c>
      <c r="G850">
        <v>1</v>
      </c>
      <c r="H850">
        <f t="shared" si="13"/>
        <v>2</v>
      </c>
    </row>
    <row r="851" spans="1:8">
      <c r="A851">
        <v>4141</v>
      </c>
      <c r="C851">
        <v>0</v>
      </c>
      <c r="D851">
        <v>0</v>
      </c>
      <c r="E851">
        <v>0</v>
      </c>
      <c r="F851">
        <v>1</v>
      </c>
      <c r="G851">
        <v>0</v>
      </c>
      <c r="H851">
        <f t="shared" si="13"/>
        <v>1</v>
      </c>
    </row>
    <row r="852" spans="1:8">
      <c r="A852">
        <v>4142</v>
      </c>
      <c r="C852">
        <v>0</v>
      </c>
      <c r="D852">
        <v>1</v>
      </c>
      <c r="E852">
        <v>1</v>
      </c>
      <c r="F852">
        <v>0</v>
      </c>
      <c r="G852">
        <v>0</v>
      </c>
      <c r="H852">
        <f t="shared" si="13"/>
        <v>2</v>
      </c>
    </row>
    <row r="853" spans="1:8">
      <c r="A853">
        <v>4144</v>
      </c>
      <c r="C853">
        <v>0</v>
      </c>
      <c r="D853">
        <v>0</v>
      </c>
      <c r="E853">
        <v>2</v>
      </c>
      <c r="F853">
        <v>1</v>
      </c>
      <c r="G853">
        <v>0</v>
      </c>
      <c r="H853">
        <f t="shared" si="13"/>
        <v>3</v>
      </c>
    </row>
    <row r="854" spans="1:8">
      <c r="A854">
        <v>4152</v>
      </c>
      <c r="C854">
        <v>0</v>
      </c>
      <c r="D854">
        <v>0</v>
      </c>
      <c r="E854">
        <v>1</v>
      </c>
      <c r="F854">
        <v>0</v>
      </c>
      <c r="G854">
        <v>0</v>
      </c>
      <c r="H854">
        <f t="shared" si="13"/>
        <v>1</v>
      </c>
    </row>
    <row r="855" spans="1:8">
      <c r="A855">
        <v>4153</v>
      </c>
      <c r="C855">
        <v>1</v>
      </c>
      <c r="D855">
        <v>1</v>
      </c>
      <c r="E855">
        <v>0</v>
      </c>
      <c r="F855">
        <v>1</v>
      </c>
      <c r="G855">
        <v>0</v>
      </c>
      <c r="H855">
        <f t="shared" si="13"/>
        <v>3</v>
      </c>
    </row>
    <row r="856" spans="1:8">
      <c r="A856">
        <v>4154</v>
      </c>
      <c r="C856">
        <v>0</v>
      </c>
      <c r="D856">
        <v>0</v>
      </c>
      <c r="E856">
        <v>1</v>
      </c>
      <c r="F856">
        <v>1</v>
      </c>
      <c r="G856">
        <v>0</v>
      </c>
      <c r="H856">
        <f t="shared" si="13"/>
        <v>2</v>
      </c>
    </row>
    <row r="857" spans="1:8">
      <c r="A857">
        <v>4157</v>
      </c>
      <c r="C857">
        <v>0</v>
      </c>
      <c r="D857">
        <v>1</v>
      </c>
      <c r="E857">
        <v>2</v>
      </c>
      <c r="F857">
        <v>0</v>
      </c>
      <c r="G857">
        <v>0</v>
      </c>
      <c r="H857">
        <f t="shared" si="13"/>
        <v>3</v>
      </c>
    </row>
    <row r="858" spans="1:8">
      <c r="A858">
        <v>4160</v>
      </c>
      <c r="C858">
        <v>0</v>
      </c>
      <c r="D858">
        <v>1</v>
      </c>
      <c r="E858">
        <v>0</v>
      </c>
      <c r="F858">
        <v>0</v>
      </c>
      <c r="G858">
        <v>0</v>
      </c>
      <c r="H858">
        <f t="shared" si="13"/>
        <v>1</v>
      </c>
    </row>
    <row r="859" spans="1:8">
      <c r="A859">
        <v>4161</v>
      </c>
      <c r="C859">
        <v>0</v>
      </c>
      <c r="D859">
        <v>1</v>
      </c>
      <c r="E859">
        <v>0</v>
      </c>
      <c r="F859">
        <v>1</v>
      </c>
      <c r="G859">
        <v>0</v>
      </c>
      <c r="H859">
        <f t="shared" si="13"/>
        <v>2</v>
      </c>
    </row>
    <row r="860" spans="1:8">
      <c r="A860">
        <v>4162</v>
      </c>
      <c r="C860">
        <v>0</v>
      </c>
      <c r="D860">
        <v>1</v>
      </c>
      <c r="E860">
        <v>1</v>
      </c>
      <c r="F860">
        <v>1</v>
      </c>
      <c r="G860">
        <v>1</v>
      </c>
      <c r="H860">
        <f t="shared" si="13"/>
        <v>4</v>
      </c>
    </row>
    <row r="861" spans="1:8">
      <c r="A861">
        <v>4163</v>
      </c>
      <c r="C861">
        <v>1</v>
      </c>
      <c r="D861">
        <v>1</v>
      </c>
      <c r="E861">
        <v>0</v>
      </c>
      <c r="F861">
        <v>1</v>
      </c>
      <c r="G861">
        <v>0</v>
      </c>
      <c r="H861">
        <f t="shared" si="13"/>
        <v>3</v>
      </c>
    </row>
    <row r="862" spans="1:8">
      <c r="A862">
        <v>4164</v>
      </c>
      <c r="C862">
        <v>0</v>
      </c>
      <c r="D862">
        <v>1</v>
      </c>
      <c r="E862">
        <v>0</v>
      </c>
      <c r="F862">
        <v>1</v>
      </c>
      <c r="G862">
        <v>0</v>
      </c>
      <c r="H862">
        <f t="shared" si="13"/>
        <v>2</v>
      </c>
    </row>
    <row r="863" spans="1:8">
      <c r="A863">
        <v>4167</v>
      </c>
      <c r="C863">
        <v>0</v>
      </c>
      <c r="D863">
        <v>1</v>
      </c>
      <c r="E863">
        <v>0</v>
      </c>
      <c r="F863">
        <v>0</v>
      </c>
      <c r="G863">
        <v>0</v>
      </c>
      <c r="H863">
        <f t="shared" si="13"/>
        <v>1</v>
      </c>
    </row>
    <row r="864" spans="1:8">
      <c r="A864">
        <v>4168</v>
      </c>
      <c r="C864">
        <v>0</v>
      </c>
      <c r="D864">
        <v>1</v>
      </c>
      <c r="E864">
        <v>0</v>
      </c>
      <c r="F864">
        <v>0</v>
      </c>
      <c r="G864">
        <v>0</v>
      </c>
      <c r="H864">
        <f t="shared" si="13"/>
        <v>1</v>
      </c>
    </row>
    <row r="865" spans="1:8">
      <c r="A865">
        <v>4171</v>
      </c>
      <c r="C865">
        <v>1</v>
      </c>
      <c r="D865">
        <v>1</v>
      </c>
      <c r="E865">
        <v>0</v>
      </c>
      <c r="F865">
        <v>0</v>
      </c>
      <c r="G865">
        <v>0</v>
      </c>
      <c r="H865">
        <f t="shared" si="13"/>
        <v>2</v>
      </c>
    </row>
    <row r="866" spans="1:8">
      <c r="A866">
        <v>4173</v>
      </c>
      <c r="C866">
        <v>0</v>
      </c>
      <c r="D866">
        <v>0</v>
      </c>
      <c r="E866">
        <v>1</v>
      </c>
      <c r="F866">
        <v>0</v>
      </c>
      <c r="G866">
        <v>0</v>
      </c>
      <c r="H866">
        <f t="shared" si="13"/>
        <v>1</v>
      </c>
    </row>
    <row r="867" spans="1:8">
      <c r="A867">
        <v>4174</v>
      </c>
      <c r="C867">
        <v>0</v>
      </c>
      <c r="D867">
        <v>0</v>
      </c>
      <c r="E867">
        <v>1</v>
      </c>
      <c r="F867">
        <v>0</v>
      </c>
      <c r="G867">
        <v>0</v>
      </c>
      <c r="H867">
        <f t="shared" si="13"/>
        <v>1</v>
      </c>
    </row>
    <row r="868" spans="1:8">
      <c r="A868">
        <v>4175</v>
      </c>
      <c r="C868">
        <v>0</v>
      </c>
      <c r="D868">
        <v>1</v>
      </c>
      <c r="E868">
        <v>0</v>
      </c>
      <c r="F868">
        <v>0</v>
      </c>
      <c r="G868">
        <v>0</v>
      </c>
      <c r="H868">
        <f t="shared" si="13"/>
        <v>1</v>
      </c>
    </row>
    <row r="869" spans="1:8">
      <c r="A869">
        <v>4180</v>
      </c>
      <c r="C869">
        <v>0</v>
      </c>
      <c r="D869">
        <v>1</v>
      </c>
      <c r="E869">
        <v>1</v>
      </c>
      <c r="F869">
        <v>0</v>
      </c>
      <c r="G869">
        <v>0</v>
      </c>
      <c r="H869">
        <f t="shared" si="13"/>
        <v>2</v>
      </c>
    </row>
    <row r="870" spans="1:8">
      <c r="A870">
        <v>4188</v>
      </c>
      <c r="C870">
        <v>0</v>
      </c>
      <c r="D870">
        <v>1</v>
      </c>
      <c r="E870">
        <v>1</v>
      </c>
      <c r="F870">
        <v>0</v>
      </c>
      <c r="G870">
        <v>0</v>
      </c>
      <c r="H870">
        <f t="shared" si="13"/>
        <v>2</v>
      </c>
    </row>
    <row r="871" spans="1:8">
      <c r="A871">
        <v>4190</v>
      </c>
      <c r="C871">
        <v>0</v>
      </c>
      <c r="D871">
        <v>1</v>
      </c>
      <c r="E871">
        <v>0</v>
      </c>
      <c r="F871">
        <v>1</v>
      </c>
      <c r="G871">
        <v>0</v>
      </c>
      <c r="H871">
        <f t="shared" si="13"/>
        <v>2</v>
      </c>
    </row>
    <row r="872" spans="1:8">
      <c r="A872">
        <v>4192</v>
      </c>
      <c r="C872">
        <v>0</v>
      </c>
      <c r="D872">
        <v>1</v>
      </c>
      <c r="E872">
        <v>0</v>
      </c>
      <c r="F872">
        <v>1</v>
      </c>
      <c r="G872">
        <v>0</v>
      </c>
      <c r="H872">
        <f t="shared" si="13"/>
        <v>2</v>
      </c>
    </row>
    <row r="873" spans="1:8">
      <c r="A873">
        <v>4198</v>
      </c>
      <c r="C873">
        <v>1</v>
      </c>
      <c r="D873">
        <v>1</v>
      </c>
      <c r="E873">
        <v>2</v>
      </c>
      <c r="F873">
        <v>0</v>
      </c>
      <c r="G873">
        <v>0</v>
      </c>
      <c r="H873">
        <f t="shared" si="13"/>
        <v>4</v>
      </c>
    </row>
    <row r="874" spans="1:8">
      <c r="A874">
        <v>4205</v>
      </c>
      <c r="C874">
        <v>1</v>
      </c>
      <c r="D874">
        <v>1</v>
      </c>
      <c r="E874">
        <v>0</v>
      </c>
      <c r="F874">
        <v>1</v>
      </c>
      <c r="G874">
        <v>1</v>
      </c>
      <c r="H874">
        <f t="shared" si="13"/>
        <v>4</v>
      </c>
    </row>
    <row r="875" spans="1:8">
      <c r="A875">
        <v>4207</v>
      </c>
      <c r="C875">
        <v>0</v>
      </c>
      <c r="D875">
        <v>0</v>
      </c>
      <c r="E875">
        <v>0</v>
      </c>
      <c r="F875">
        <v>1</v>
      </c>
      <c r="G875">
        <v>0</v>
      </c>
      <c r="H875">
        <f t="shared" si="13"/>
        <v>1</v>
      </c>
    </row>
    <row r="876" spans="1:8">
      <c r="A876">
        <v>4303</v>
      </c>
      <c r="C876">
        <v>1</v>
      </c>
      <c r="D876">
        <v>1</v>
      </c>
      <c r="E876">
        <v>0</v>
      </c>
      <c r="F876">
        <v>0</v>
      </c>
      <c r="G876">
        <v>0</v>
      </c>
      <c r="H876">
        <f t="shared" si="13"/>
        <v>2</v>
      </c>
    </row>
    <row r="877" spans="1:8">
      <c r="A877">
        <v>4304</v>
      </c>
      <c r="C877">
        <v>0</v>
      </c>
      <c r="D877">
        <v>0</v>
      </c>
      <c r="E877">
        <v>0</v>
      </c>
      <c r="F877">
        <v>0</v>
      </c>
      <c r="G877">
        <v>0</v>
      </c>
      <c r="H877">
        <f t="shared" si="13"/>
        <v>0</v>
      </c>
    </row>
    <row r="878" spans="1:8">
      <c r="A878">
        <v>4305</v>
      </c>
      <c r="C878">
        <v>1</v>
      </c>
      <c r="D878">
        <v>1</v>
      </c>
      <c r="E878">
        <v>1</v>
      </c>
      <c r="F878">
        <v>1</v>
      </c>
      <c r="G878">
        <v>0</v>
      </c>
      <c r="H878">
        <f t="shared" si="13"/>
        <v>4</v>
      </c>
    </row>
    <row r="879" spans="1:8">
      <c r="A879">
        <v>4306</v>
      </c>
      <c r="C879">
        <v>0</v>
      </c>
      <c r="D879">
        <v>0</v>
      </c>
      <c r="E879">
        <v>0</v>
      </c>
      <c r="F879">
        <v>0</v>
      </c>
      <c r="G879">
        <v>0</v>
      </c>
      <c r="H879">
        <f t="shared" si="13"/>
        <v>0</v>
      </c>
    </row>
    <row r="880" spans="1:8">
      <c r="A880">
        <v>4401</v>
      </c>
      <c r="C880">
        <v>0</v>
      </c>
      <c r="D880">
        <v>1</v>
      </c>
      <c r="E880">
        <v>0</v>
      </c>
      <c r="F880">
        <v>1</v>
      </c>
      <c r="G880">
        <v>0</v>
      </c>
      <c r="H880">
        <f t="shared" si="13"/>
        <v>2</v>
      </c>
    </row>
    <row r="881" spans="1:8">
      <c r="A881">
        <v>4402</v>
      </c>
      <c r="C881">
        <v>0</v>
      </c>
      <c r="D881">
        <v>0</v>
      </c>
      <c r="E881">
        <v>2</v>
      </c>
      <c r="F881">
        <v>0</v>
      </c>
      <c r="G881">
        <v>0</v>
      </c>
      <c r="H881">
        <f t="shared" si="13"/>
        <v>2</v>
      </c>
    </row>
    <row r="882" spans="1:8">
      <c r="A882">
        <v>4406</v>
      </c>
      <c r="C882">
        <v>0</v>
      </c>
      <c r="D882">
        <v>1</v>
      </c>
      <c r="E882">
        <v>0</v>
      </c>
      <c r="F882">
        <v>0</v>
      </c>
      <c r="G882">
        <v>0</v>
      </c>
      <c r="H882">
        <f t="shared" si="13"/>
        <v>1</v>
      </c>
    </row>
    <row r="883" spans="1:8">
      <c r="A883">
        <v>4413</v>
      </c>
      <c r="C883">
        <v>1</v>
      </c>
      <c r="D883">
        <v>1</v>
      </c>
      <c r="E883">
        <v>1</v>
      </c>
      <c r="F883">
        <v>0</v>
      </c>
      <c r="G883">
        <v>1</v>
      </c>
      <c r="H883">
        <f t="shared" si="13"/>
        <v>4</v>
      </c>
    </row>
    <row r="884" spans="1:8">
      <c r="A884">
        <v>4414</v>
      </c>
      <c r="C884">
        <v>0</v>
      </c>
      <c r="D884">
        <v>1</v>
      </c>
      <c r="E884">
        <v>0</v>
      </c>
      <c r="F884">
        <v>0</v>
      </c>
      <c r="G884">
        <v>0</v>
      </c>
      <c r="H884">
        <f t="shared" si="13"/>
        <v>1</v>
      </c>
    </row>
    <row r="885" spans="1:8">
      <c r="A885">
        <v>4416</v>
      </c>
      <c r="C885">
        <v>0</v>
      </c>
      <c r="D885">
        <v>0</v>
      </c>
      <c r="E885">
        <v>0</v>
      </c>
      <c r="F885">
        <v>0</v>
      </c>
      <c r="G885">
        <v>0</v>
      </c>
      <c r="H885">
        <f t="shared" si="13"/>
        <v>0</v>
      </c>
    </row>
    <row r="886" spans="1:8">
      <c r="A886">
        <v>4417</v>
      </c>
      <c r="C886">
        <v>0</v>
      </c>
      <c r="D886">
        <v>1</v>
      </c>
      <c r="E886">
        <v>1</v>
      </c>
      <c r="F886">
        <v>1</v>
      </c>
      <c r="G886">
        <v>0</v>
      </c>
      <c r="H886">
        <f t="shared" si="13"/>
        <v>3</v>
      </c>
    </row>
    <row r="887" spans="1:8">
      <c r="A887">
        <v>4419</v>
      </c>
      <c r="C887">
        <v>0</v>
      </c>
      <c r="D887">
        <v>1</v>
      </c>
      <c r="E887">
        <v>0</v>
      </c>
      <c r="F887">
        <v>0</v>
      </c>
      <c r="G887">
        <v>0</v>
      </c>
      <c r="H887">
        <f t="shared" si="13"/>
        <v>1</v>
      </c>
    </row>
    <row r="888" spans="1:8">
      <c r="A888">
        <v>4420</v>
      </c>
      <c r="C888">
        <v>0</v>
      </c>
      <c r="D888">
        <v>0</v>
      </c>
      <c r="E888">
        <v>0</v>
      </c>
      <c r="F888">
        <v>0</v>
      </c>
      <c r="G888">
        <v>1</v>
      </c>
      <c r="H888">
        <f t="shared" si="13"/>
        <v>1</v>
      </c>
    </row>
    <row r="889" spans="1:8">
      <c r="A889">
        <v>4426</v>
      </c>
      <c r="C889">
        <v>1</v>
      </c>
      <c r="D889">
        <v>1</v>
      </c>
      <c r="E889">
        <v>0</v>
      </c>
      <c r="F889">
        <v>1</v>
      </c>
      <c r="G889">
        <v>1</v>
      </c>
      <c r="H889">
        <f t="shared" si="13"/>
        <v>4</v>
      </c>
    </row>
    <row r="890" spans="1:8">
      <c r="A890">
        <v>4429</v>
      </c>
      <c r="C890">
        <v>1</v>
      </c>
      <c r="D890">
        <v>1</v>
      </c>
      <c r="E890">
        <v>0</v>
      </c>
      <c r="F890">
        <v>1</v>
      </c>
      <c r="G890">
        <v>0</v>
      </c>
      <c r="H890">
        <f t="shared" si="13"/>
        <v>3</v>
      </c>
    </row>
    <row r="891" spans="1:8">
      <c r="A891">
        <v>4430</v>
      </c>
      <c r="C891">
        <v>0</v>
      </c>
      <c r="D891">
        <v>1</v>
      </c>
      <c r="E891">
        <v>0</v>
      </c>
      <c r="F891">
        <v>1</v>
      </c>
      <c r="G891">
        <v>0</v>
      </c>
      <c r="H891">
        <f t="shared" si="13"/>
        <v>2</v>
      </c>
    </row>
    <row r="892" spans="1:8">
      <c r="A892">
        <v>4432</v>
      </c>
      <c r="C892">
        <v>1</v>
      </c>
      <c r="D892">
        <v>1</v>
      </c>
      <c r="E892">
        <v>0</v>
      </c>
      <c r="F892">
        <v>1</v>
      </c>
      <c r="G892">
        <v>0</v>
      </c>
      <c r="H892">
        <f t="shared" si="13"/>
        <v>3</v>
      </c>
    </row>
    <row r="893" spans="1:8">
      <c r="A893">
        <v>4433</v>
      </c>
      <c r="C893">
        <v>0</v>
      </c>
      <c r="D893">
        <v>1</v>
      </c>
      <c r="E893">
        <v>0</v>
      </c>
      <c r="F893">
        <v>1</v>
      </c>
      <c r="G893">
        <v>0</v>
      </c>
      <c r="H893">
        <f t="shared" si="13"/>
        <v>2</v>
      </c>
    </row>
    <row r="894" spans="1:8">
      <c r="A894">
        <v>4502</v>
      </c>
      <c r="C894">
        <v>0</v>
      </c>
      <c r="D894">
        <v>1</v>
      </c>
      <c r="E894">
        <v>2</v>
      </c>
      <c r="F894">
        <v>0</v>
      </c>
      <c r="G894">
        <v>0</v>
      </c>
      <c r="H894">
        <f t="shared" si="13"/>
        <v>3</v>
      </c>
    </row>
    <row r="895" spans="1:8">
      <c r="A895">
        <v>4503</v>
      </c>
      <c r="C895">
        <v>1</v>
      </c>
      <c r="D895">
        <v>1</v>
      </c>
      <c r="E895">
        <v>0</v>
      </c>
      <c r="F895">
        <v>1</v>
      </c>
      <c r="G895">
        <v>0</v>
      </c>
      <c r="H895">
        <f t="shared" si="13"/>
        <v>3</v>
      </c>
    </row>
    <row r="896" spans="1:8">
      <c r="A896">
        <v>4506</v>
      </c>
      <c r="C896">
        <v>1</v>
      </c>
      <c r="D896">
        <v>1</v>
      </c>
      <c r="E896">
        <v>2</v>
      </c>
      <c r="F896">
        <v>1</v>
      </c>
      <c r="G896">
        <v>1</v>
      </c>
      <c r="H896">
        <f t="shared" si="13"/>
        <v>6</v>
      </c>
    </row>
    <row r="897" spans="1:8">
      <c r="A897">
        <v>4510</v>
      </c>
      <c r="C897">
        <v>1</v>
      </c>
      <c r="D897">
        <v>1</v>
      </c>
      <c r="E897">
        <v>0</v>
      </c>
      <c r="F897">
        <v>0</v>
      </c>
      <c r="G897">
        <v>0</v>
      </c>
      <c r="H897">
        <f t="shared" si="13"/>
        <v>2</v>
      </c>
    </row>
    <row r="898" spans="1:8">
      <c r="A898">
        <v>4513</v>
      </c>
      <c r="C898">
        <v>1</v>
      </c>
      <c r="D898">
        <v>1</v>
      </c>
      <c r="E898">
        <v>0</v>
      </c>
      <c r="F898">
        <v>1</v>
      </c>
      <c r="G898">
        <v>0</v>
      </c>
      <c r="H898">
        <f t="shared" si="13"/>
        <v>3</v>
      </c>
    </row>
    <row r="899" spans="1:8">
      <c r="A899">
        <v>4523</v>
      </c>
      <c r="C899">
        <v>0</v>
      </c>
      <c r="D899">
        <v>0</v>
      </c>
      <c r="E899">
        <v>1</v>
      </c>
      <c r="F899">
        <v>1</v>
      </c>
      <c r="G899">
        <v>0</v>
      </c>
      <c r="H899">
        <f t="shared" ref="H899:H962" si="14">SUM(C899:G899)</f>
        <v>2</v>
      </c>
    </row>
    <row r="900" spans="1:8">
      <c r="A900">
        <v>4526</v>
      </c>
      <c r="C900">
        <v>0</v>
      </c>
      <c r="D900">
        <v>1</v>
      </c>
      <c r="E900">
        <v>0</v>
      </c>
      <c r="F900">
        <v>1</v>
      </c>
      <c r="G900">
        <v>0</v>
      </c>
      <c r="H900">
        <f t="shared" si="14"/>
        <v>2</v>
      </c>
    </row>
    <row r="901" spans="1:8">
      <c r="A901">
        <v>4527</v>
      </c>
      <c r="C901">
        <v>0</v>
      </c>
      <c r="D901">
        <v>1</v>
      </c>
      <c r="E901">
        <v>0</v>
      </c>
      <c r="F901">
        <v>0</v>
      </c>
      <c r="G901">
        <v>0</v>
      </c>
      <c r="H901">
        <f t="shared" si="14"/>
        <v>1</v>
      </c>
    </row>
    <row r="902" spans="1:8">
      <c r="A902">
        <v>4528</v>
      </c>
      <c r="C902">
        <v>0</v>
      </c>
      <c r="D902">
        <v>1</v>
      </c>
      <c r="E902">
        <v>0</v>
      </c>
      <c r="F902">
        <v>1</v>
      </c>
      <c r="G902">
        <v>0</v>
      </c>
      <c r="H902">
        <f t="shared" si="14"/>
        <v>2</v>
      </c>
    </row>
    <row r="903" spans="1:8">
      <c r="A903">
        <v>4529</v>
      </c>
      <c r="C903">
        <v>1</v>
      </c>
      <c r="D903">
        <v>1</v>
      </c>
      <c r="E903">
        <v>2</v>
      </c>
      <c r="F903">
        <v>0</v>
      </c>
      <c r="G903">
        <v>0</v>
      </c>
      <c r="H903">
        <f t="shared" si="14"/>
        <v>4</v>
      </c>
    </row>
    <row r="904" spans="1:8">
      <c r="A904">
        <v>4530</v>
      </c>
      <c r="C904">
        <v>0</v>
      </c>
      <c r="D904">
        <v>1</v>
      </c>
      <c r="E904">
        <v>1</v>
      </c>
      <c r="F904">
        <v>1</v>
      </c>
      <c r="G904">
        <v>0</v>
      </c>
      <c r="H904">
        <f t="shared" si="14"/>
        <v>3</v>
      </c>
    </row>
    <row r="905" spans="1:8">
      <c r="A905">
        <v>4532</v>
      </c>
      <c r="C905">
        <v>0</v>
      </c>
      <c r="D905">
        <v>1</v>
      </c>
      <c r="E905">
        <v>0</v>
      </c>
      <c r="F905">
        <v>1</v>
      </c>
      <c r="G905">
        <v>0</v>
      </c>
      <c r="H905">
        <f t="shared" si="14"/>
        <v>2</v>
      </c>
    </row>
    <row r="906" spans="1:8">
      <c r="A906">
        <v>4533</v>
      </c>
      <c r="C906">
        <v>0</v>
      </c>
      <c r="D906">
        <v>1</v>
      </c>
      <c r="E906">
        <v>0</v>
      </c>
      <c r="F906">
        <v>0</v>
      </c>
      <c r="G906">
        <v>0</v>
      </c>
      <c r="H906">
        <f t="shared" si="14"/>
        <v>1</v>
      </c>
    </row>
    <row r="907" spans="1:8">
      <c r="A907">
        <v>4534</v>
      </c>
      <c r="C907">
        <v>1</v>
      </c>
      <c r="D907">
        <v>1</v>
      </c>
      <c r="E907">
        <v>1</v>
      </c>
      <c r="F907">
        <v>1</v>
      </c>
      <c r="G907">
        <v>0</v>
      </c>
      <c r="H907">
        <f t="shared" si="14"/>
        <v>4</v>
      </c>
    </row>
    <row r="908" spans="1:8">
      <c r="A908">
        <v>4535</v>
      </c>
      <c r="C908">
        <v>1</v>
      </c>
      <c r="D908">
        <v>1</v>
      </c>
      <c r="E908">
        <v>1</v>
      </c>
      <c r="F908">
        <v>1</v>
      </c>
      <c r="G908">
        <v>0</v>
      </c>
      <c r="H908">
        <f t="shared" si="14"/>
        <v>4</v>
      </c>
    </row>
    <row r="909" spans="1:8">
      <c r="A909">
        <v>4536</v>
      </c>
      <c r="C909">
        <v>1</v>
      </c>
      <c r="D909">
        <v>1</v>
      </c>
      <c r="E909">
        <v>2</v>
      </c>
      <c r="F909">
        <v>1</v>
      </c>
      <c r="G909">
        <v>0</v>
      </c>
      <c r="H909">
        <f t="shared" si="14"/>
        <v>5</v>
      </c>
    </row>
    <row r="910" spans="1:8">
      <c r="A910">
        <v>4541</v>
      </c>
      <c r="C910">
        <v>0</v>
      </c>
      <c r="D910">
        <v>1</v>
      </c>
      <c r="E910">
        <v>0</v>
      </c>
      <c r="F910">
        <v>1</v>
      </c>
      <c r="G910">
        <v>0</v>
      </c>
      <c r="H910">
        <f t="shared" si="14"/>
        <v>2</v>
      </c>
    </row>
    <row r="911" spans="1:8">
      <c r="A911">
        <v>4542</v>
      </c>
      <c r="C911">
        <v>0</v>
      </c>
      <c r="D911">
        <v>1</v>
      </c>
      <c r="E911">
        <v>2</v>
      </c>
      <c r="F911">
        <v>1</v>
      </c>
      <c r="G911">
        <v>0</v>
      </c>
      <c r="H911">
        <f t="shared" si="14"/>
        <v>4</v>
      </c>
    </row>
    <row r="912" spans="1:8">
      <c r="A912">
        <v>4549</v>
      </c>
      <c r="C912">
        <v>0</v>
      </c>
      <c r="D912">
        <v>1</v>
      </c>
      <c r="E912">
        <v>2</v>
      </c>
      <c r="F912">
        <v>1</v>
      </c>
      <c r="G912">
        <v>0</v>
      </c>
      <c r="H912">
        <f t="shared" si="14"/>
        <v>4</v>
      </c>
    </row>
    <row r="913" spans="1:8">
      <c r="A913">
        <v>4550</v>
      </c>
      <c r="C913">
        <v>0</v>
      </c>
      <c r="D913">
        <v>0</v>
      </c>
      <c r="E913">
        <v>0</v>
      </c>
      <c r="F913">
        <v>1</v>
      </c>
      <c r="G913">
        <v>0</v>
      </c>
      <c r="H913">
        <f t="shared" si="14"/>
        <v>1</v>
      </c>
    </row>
    <row r="914" spans="1:8">
      <c r="A914">
        <v>4551</v>
      </c>
      <c r="C914">
        <v>1</v>
      </c>
      <c r="D914">
        <v>1</v>
      </c>
      <c r="E914">
        <v>0</v>
      </c>
      <c r="F914">
        <v>0</v>
      </c>
      <c r="G914">
        <v>0</v>
      </c>
      <c r="H914">
        <f t="shared" si="14"/>
        <v>2</v>
      </c>
    </row>
    <row r="915" spans="1:8">
      <c r="A915">
        <v>4555</v>
      </c>
      <c r="C915">
        <v>0</v>
      </c>
      <c r="D915">
        <v>1</v>
      </c>
      <c r="E915">
        <v>0</v>
      </c>
      <c r="F915">
        <v>1</v>
      </c>
      <c r="G915">
        <v>0</v>
      </c>
      <c r="H915">
        <f t="shared" si="14"/>
        <v>2</v>
      </c>
    </row>
    <row r="916" spans="1:8">
      <c r="A916">
        <v>4557</v>
      </c>
      <c r="C916">
        <v>0</v>
      </c>
      <c r="D916">
        <v>0</v>
      </c>
      <c r="E916">
        <v>0</v>
      </c>
      <c r="F916">
        <v>0</v>
      </c>
      <c r="G916">
        <v>0</v>
      </c>
      <c r="H916">
        <f t="shared" si="14"/>
        <v>0</v>
      </c>
    </row>
    <row r="917" spans="1:8">
      <c r="A917">
        <v>4609</v>
      </c>
      <c r="C917">
        <v>1</v>
      </c>
      <c r="D917">
        <v>1</v>
      </c>
      <c r="E917">
        <v>2</v>
      </c>
      <c r="F917">
        <v>0</v>
      </c>
      <c r="G917">
        <v>0</v>
      </c>
      <c r="H917">
        <f t="shared" si="14"/>
        <v>4</v>
      </c>
    </row>
    <row r="918" spans="1:8">
      <c r="A918">
        <v>4702</v>
      </c>
      <c r="C918">
        <v>0</v>
      </c>
      <c r="D918">
        <v>0</v>
      </c>
      <c r="E918">
        <v>0</v>
      </c>
      <c r="F918">
        <v>1</v>
      </c>
      <c r="G918">
        <v>0</v>
      </c>
      <c r="H918">
        <f t="shared" si="14"/>
        <v>1</v>
      </c>
    </row>
    <row r="919" spans="1:8">
      <c r="A919">
        <v>4706</v>
      </c>
      <c r="C919">
        <v>1</v>
      </c>
      <c r="D919">
        <v>1</v>
      </c>
      <c r="E919">
        <v>1</v>
      </c>
      <c r="F919">
        <v>1</v>
      </c>
      <c r="G919">
        <v>0</v>
      </c>
      <c r="H919">
        <f t="shared" si="14"/>
        <v>4</v>
      </c>
    </row>
    <row r="920" spans="1:8">
      <c r="A920">
        <v>4711</v>
      </c>
      <c r="C920">
        <v>1</v>
      </c>
      <c r="D920">
        <v>1</v>
      </c>
      <c r="E920">
        <v>0</v>
      </c>
      <c r="F920">
        <v>1</v>
      </c>
      <c r="G920">
        <v>0</v>
      </c>
      <c r="H920">
        <f t="shared" si="14"/>
        <v>3</v>
      </c>
    </row>
    <row r="921" spans="1:8">
      <c r="A921">
        <v>4712</v>
      </c>
      <c r="C921">
        <v>0</v>
      </c>
      <c r="D921">
        <v>1</v>
      </c>
      <c r="E921">
        <v>0</v>
      </c>
      <c r="F921">
        <v>1</v>
      </c>
      <c r="G921">
        <v>0</v>
      </c>
      <c r="H921">
        <f t="shared" si="14"/>
        <v>2</v>
      </c>
    </row>
    <row r="922" spans="1:8">
      <c r="A922">
        <v>4714</v>
      </c>
      <c r="C922">
        <v>0</v>
      </c>
      <c r="D922">
        <v>1</v>
      </c>
      <c r="E922">
        <v>0</v>
      </c>
      <c r="F922">
        <v>0</v>
      </c>
      <c r="G922">
        <v>1</v>
      </c>
      <c r="H922">
        <f t="shared" si="14"/>
        <v>2</v>
      </c>
    </row>
    <row r="923" spans="1:8">
      <c r="A923">
        <v>4716</v>
      </c>
      <c r="C923">
        <v>0</v>
      </c>
      <c r="D923">
        <v>1</v>
      </c>
      <c r="E923">
        <v>1</v>
      </c>
      <c r="F923">
        <v>0</v>
      </c>
      <c r="G923">
        <v>0</v>
      </c>
      <c r="H923">
        <f t="shared" si="14"/>
        <v>2</v>
      </c>
    </row>
    <row r="924" spans="1:8">
      <c r="A924">
        <v>4720</v>
      </c>
      <c r="C924">
        <v>1</v>
      </c>
      <c r="D924">
        <v>1</v>
      </c>
      <c r="E924">
        <v>1</v>
      </c>
      <c r="F924">
        <v>0</v>
      </c>
      <c r="G924">
        <v>0</v>
      </c>
      <c r="H924">
        <f t="shared" si="14"/>
        <v>3</v>
      </c>
    </row>
    <row r="925" spans="1:8">
      <c r="A925">
        <v>4721</v>
      </c>
      <c r="C925">
        <v>1</v>
      </c>
      <c r="D925">
        <v>1</v>
      </c>
      <c r="E925">
        <v>0</v>
      </c>
      <c r="F925">
        <v>1</v>
      </c>
      <c r="G925">
        <v>0</v>
      </c>
      <c r="H925">
        <f t="shared" si="14"/>
        <v>3</v>
      </c>
    </row>
    <row r="926" spans="1:8">
      <c r="A926">
        <v>4722</v>
      </c>
      <c r="C926">
        <v>1</v>
      </c>
      <c r="D926">
        <v>1</v>
      </c>
      <c r="E926">
        <v>0</v>
      </c>
      <c r="F926">
        <v>1</v>
      </c>
      <c r="G926">
        <v>0</v>
      </c>
      <c r="H926">
        <f t="shared" si="14"/>
        <v>3</v>
      </c>
    </row>
    <row r="927" spans="1:8">
      <c r="A927">
        <v>4725</v>
      </c>
      <c r="C927">
        <v>0</v>
      </c>
      <c r="D927">
        <v>0</v>
      </c>
      <c r="E927">
        <v>0</v>
      </c>
      <c r="F927">
        <v>0</v>
      </c>
      <c r="G927">
        <v>0</v>
      </c>
      <c r="H927">
        <f t="shared" si="14"/>
        <v>0</v>
      </c>
    </row>
    <row r="928" spans="1:8">
      <c r="A928">
        <v>4726</v>
      </c>
      <c r="C928">
        <v>0</v>
      </c>
      <c r="D928">
        <v>1</v>
      </c>
      <c r="E928">
        <v>2</v>
      </c>
      <c r="F928">
        <v>0</v>
      </c>
      <c r="G928">
        <v>0</v>
      </c>
      <c r="H928">
        <f t="shared" si="14"/>
        <v>3</v>
      </c>
    </row>
    <row r="929" spans="1:8">
      <c r="A929">
        <v>4728</v>
      </c>
      <c r="C929">
        <v>0</v>
      </c>
      <c r="D929">
        <v>1</v>
      </c>
      <c r="E929">
        <v>2</v>
      </c>
      <c r="F929">
        <v>1</v>
      </c>
      <c r="G929">
        <v>0</v>
      </c>
      <c r="H929">
        <f t="shared" si="14"/>
        <v>4</v>
      </c>
    </row>
    <row r="930" spans="1:8">
      <c r="A930">
        <v>4729</v>
      </c>
      <c r="C930">
        <v>1</v>
      </c>
      <c r="D930">
        <v>1</v>
      </c>
      <c r="E930">
        <v>0</v>
      </c>
      <c r="F930">
        <v>0</v>
      </c>
      <c r="G930">
        <v>0</v>
      </c>
      <c r="H930">
        <f t="shared" si="14"/>
        <v>2</v>
      </c>
    </row>
    <row r="931" spans="1:8">
      <c r="A931">
        <v>4733</v>
      </c>
      <c r="C931">
        <v>1</v>
      </c>
      <c r="D931">
        <v>1</v>
      </c>
      <c r="E931">
        <v>0</v>
      </c>
      <c r="F931">
        <v>0</v>
      </c>
      <c r="G931">
        <v>0</v>
      </c>
      <c r="H931">
        <f t="shared" si="14"/>
        <v>2</v>
      </c>
    </row>
    <row r="932" spans="1:8">
      <c r="A932">
        <v>4735</v>
      </c>
      <c r="C932">
        <v>1</v>
      </c>
      <c r="D932">
        <v>1</v>
      </c>
      <c r="E932">
        <v>0</v>
      </c>
      <c r="F932">
        <v>1</v>
      </c>
      <c r="G932">
        <v>0</v>
      </c>
      <c r="H932">
        <f t="shared" si="14"/>
        <v>3</v>
      </c>
    </row>
    <row r="933" spans="1:8">
      <c r="A933">
        <v>4736</v>
      </c>
      <c r="C933">
        <v>1</v>
      </c>
      <c r="D933">
        <v>1</v>
      </c>
      <c r="E933">
        <v>1</v>
      </c>
      <c r="F933">
        <v>1</v>
      </c>
      <c r="G933">
        <v>1</v>
      </c>
      <c r="H933">
        <f t="shared" si="14"/>
        <v>5</v>
      </c>
    </row>
    <row r="934" spans="1:8">
      <c r="A934">
        <v>4737</v>
      </c>
      <c r="C934">
        <v>0</v>
      </c>
      <c r="D934">
        <v>1</v>
      </c>
      <c r="E934">
        <v>1</v>
      </c>
      <c r="F934">
        <v>1</v>
      </c>
      <c r="G934">
        <v>0</v>
      </c>
      <c r="H934">
        <f t="shared" si="14"/>
        <v>3</v>
      </c>
    </row>
    <row r="935" spans="1:8">
      <c r="A935">
        <v>4739</v>
      </c>
      <c r="C935">
        <v>0</v>
      </c>
      <c r="D935">
        <v>0</v>
      </c>
      <c r="E935">
        <v>0</v>
      </c>
      <c r="F935">
        <v>1</v>
      </c>
      <c r="G935">
        <v>0</v>
      </c>
      <c r="H935">
        <f t="shared" si="14"/>
        <v>1</v>
      </c>
    </row>
    <row r="936" spans="1:8">
      <c r="A936">
        <v>4743</v>
      </c>
      <c r="C936">
        <v>0</v>
      </c>
      <c r="D936">
        <v>0</v>
      </c>
      <c r="E936">
        <v>0</v>
      </c>
      <c r="F936">
        <v>0</v>
      </c>
      <c r="G936">
        <v>1</v>
      </c>
      <c r="H936">
        <f t="shared" si="14"/>
        <v>1</v>
      </c>
    </row>
    <row r="937" spans="1:8">
      <c r="A937">
        <v>4745</v>
      </c>
      <c r="C937">
        <v>0</v>
      </c>
      <c r="D937">
        <v>0</v>
      </c>
      <c r="E937">
        <v>0</v>
      </c>
      <c r="F937">
        <v>0</v>
      </c>
      <c r="G937">
        <v>0</v>
      </c>
      <c r="H937">
        <f t="shared" si="14"/>
        <v>0</v>
      </c>
    </row>
    <row r="938" spans="1:8">
      <c r="A938">
        <v>4746</v>
      </c>
      <c r="C938">
        <v>1</v>
      </c>
      <c r="D938">
        <v>1</v>
      </c>
      <c r="E938">
        <v>2</v>
      </c>
      <c r="F938">
        <v>1</v>
      </c>
      <c r="G938">
        <v>0</v>
      </c>
      <c r="H938">
        <f t="shared" si="14"/>
        <v>5</v>
      </c>
    </row>
    <row r="939" spans="1:8">
      <c r="A939">
        <v>4747</v>
      </c>
      <c r="C939">
        <v>0</v>
      </c>
      <c r="D939">
        <v>1</v>
      </c>
      <c r="E939">
        <v>0</v>
      </c>
      <c r="F939">
        <v>1</v>
      </c>
      <c r="G939">
        <v>0</v>
      </c>
      <c r="H939">
        <f t="shared" si="14"/>
        <v>2</v>
      </c>
    </row>
    <row r="940" spans="1:8">
      <c r="A940">
        <v>4755</v>
      </c>
      <c r="C940">
        <v>1</v>
      </c>
      <c r="D940">
        <v>1</v>
      </c>
      <c r="E940">
        <v>0</v>
      </c>
      <c r="F940">
        <v>1</v>
      </c>
      <c r="G940">
        <v>0</v>
      </c>
      <c r="H940">
        <f t="shared" si="14"/>
        <v>3</v>
      </c>
    </row>
    <row r="941" spans="1:8">
      <c r="A941">
        <v>4903</v>
      </c>
      <c r="C941">
        <v>0</v>
      </c>
      <c r="D941">
        <v>1</v>
      </c>
      <c r="E941">
        <v>1</v>
      </c>
      <c r="F941">
        <v>0</v>
      </c>
      <c r="G941">
        <v>0</v>
      </c>
      <c r="H941">
        <f t="shared" si="14"/>
        <v>2</v>
      </c>
    </row>
    <row r="942" spans="1:8">
      <c r="A942">
        <v>4904</v>
      </c>
      <c r="C942">
        <v>1</v>
      </c>
      <c r="D942">
        <v>1</v>
      </c>
      <c r="E942">
        <v>0</v>
      </c>
      <c r="F942">
        <v>1</v>
      </c>
      <c r="G942">
        <v>0</v>
      </c>
      <c r="H942">
        <f t="shared" si="14"/>
        <v>3</v>
      </c>
    </row>
    <row r="943" spans="1:8">
      <c r="A943">
        <v>4905</v>
      </c>
      <c r="C943">
        <v>1</v>
      </c>
      <c r="D943">
        <v>1</v>
      </c>
      <c r="E943">
        <v>1</v>
      </c>
      <c r="F943">
        <v>1</v>
      </c>
      <c r="G943">
        <v>0</v>
      </c>
      <c r="H943">
        <f t="shared" si="14"/>
        <v>4</v>
      </c>
    </row>
    <row r="944" spans="1:8">
      <c r="A944">
        <v>4906</v>
      </c>
      <c r="C944">
        <v>1</v>
      </c>
      <c r="D944">
        <v>1</v>
      </c>
      <c r="E944">
        <v>1</v>
      </c>
      <c r="F944">
        <v>1</v>
      </c>
      <c r="G944">
        <v>0</v>
      </c>
      <c r="H944">
        <f t="shared" si="14"/>
        <v>4</v>
      </c>
    </row>
    <row r="945" spans="1:8">
      <c r="A945">
        <v>4908</v>
      </c>
      <c r="C945">
        <v>0</v>
      </c>
      <c r="D945">
        <v>1</v>
      </c>
      <c r="E945">
        <v>1</v>
      </c>
      <c r="F945">
        <v>1</v>
      </c>
      <c r="G945">
        <v>0</v>
      </c>
      <c r="H945">
        <f t="shared" si="14"/>
        <v>3</v>
      </c>
    </row>
    <row r="946" spans="1:8">
      <c r="A946">
        <v>4909</v>
      </c>
      <c r="C946">
        <v>1</v>
      </c>
      <c r="D946">
        <v>1</v>
      </c>
      <c r="E946">
        <v>0</v>
      </c>
      <c r="F946">
        <v>1</v>
      </c>
      <c r="G946">
        <v>0</v>
      </c>
      <c r="H946">
        <f t="shared" si="14"/>
        <v>3</v>
      </c>
    </row>
    <row r="947" spans="1:8">
      <c r="A947">
        <v>4911</v>
      </c>
      <c r="C947">
        <v>0</v>
      </c>
      <c r="D947">
        <v>1</v>
      </c>
      <c r="E947">
        <v>0</v>
      </c>
      <c r="F947">
        <v>0</v>
      </c>
      <c r="G947">
        <v>0</v>
      </c>
      <c r="H947">
        <f t="shared" si="14"/>
        <v>1</v>
      </c>
    </row>
    <row r="948" spans="1:8">
      <c r="A948">
        <v>4912</v>
      </c>
      <c r="C948">
        <v>0</v>
      </c>
      <c r="D948">
        <v>1</v>
      </c>
      <c r="E948">
        <v>0</v>
      </c>
      <c r="F948">
        <v>1</v>
      </c>
      <c r="G948">
        <v>0</v>
      </c>
      <c r="H948">
        <f t="shared" si="14"/>
        <v>2</v>
      </c>
    </row>
    <row r="949" spans="1:8">
      <c r="A949">
        <v>4915</v>
      </c>
      <c r="C949">
        <v>1</v>
      </c>
      <c r="D949">
        <v>1</v>
      </c>
      <c r="E949">
        <v>1</v>
      </c>
      <c r="F949">
        <v>1</v>
      </c>
      <c r="G949">
        <v>1</v>
      </c>
      <c r="H949">
        <f t="shared" si="14"/>
        <v>5</v>
      </c>
    </row>
    <row r="950" spans="1:8">
      <c r="A950">
        <v>4916</v>
      </c>
      <c r="C950">
        <v>1</v>
      </c>
      <c r="D950">
        <v>1</v>
      </c>
      <c r="E950">
        <v>2</v>
      </c>
      <c r="F950">
        <v>0</v>
      </c>
      <c r="G950">
        <v>0</v>
      </c>
      <c r="H950">
        <f t="shared" si="14"/>
        <v>4</v>
      </c>
    </row>
    <row r="951" spans="1:8">
      <c r="A951">
        <v>4919</v>
      </c>
      <c r="C951">
        <v>0</v>
      </c>
      <c r="D951">
        <v>1</v>
      </c>
      <c r="E951">
        <v>0</v>
      </c>
      <c r="F951">
        <v>0</v>
      </c>
      <c r="G951">
        <v>0</v>
      </c>
      <c r="H951">
        <f t="shared" si="14"/>
        <v>1</v>
      </c>
    </row>
    <row r="952" spans="1:8">
      <c r="A952">
        <v>4924</v>
      </c>
      <c r="C952">
        <v>0</v>
      </c>
      <c r="D952">
        <v>0</v>
      </c>
      <c r="E952">
        <v>0</v>
      </c>
      <c r="F952">
        <v>0</v>
      </c>
      <c r="G952">
        <v>0</v>
      </c>
      <c r="H952">
        <f t="shared" si="14"/>
        <v>0</v>
      </c>
    </row>
    <row r="953" spans="1:8">
      <c r="A953">
        <v>4927</v>
      </c>
      <c r="C953">
        <v>1</v>
      </c>
      <c r="D953">
        <v>1</v>
      </c>
      <c r="E953">
        <v>0</v>
      </c>
      <c r="F953">
        <v>0</v>
      </c>
      <c r="G953">
        <v>1</v>
      </c>
      <c r="H953">
        <f t="shared" si="14"/>
        <v>3</v>
      </c>
    </row>
    <row r="954" spans="1:8">
      <c r="A954">
        <v>4930</v>
      </c>
      <c r="C954">
        <v>0</v>
      </c>
      <c r="D954">
        <v>1</v>
      </c>
      <c r="E954">
        <v>1</v>
      </c>
      <c r="F954">
        <v>0</v>
      </c>
      <c r="G954">
        <v>1</v>
      </c>
      <c r="H954">
        <f t="shared" si="14"/>
        <v>3</v>
      </c>
    </row>
    <row r="955" spans="1:8">
      <c r="A955">
        <v>4933</v>
      </c>
      <c r="C955">
        <v>1</v>
      </c>
      <c r="D955">
        <v>1</v>
      </c>
      <c r="E955">
        <v>0</v>
      </c>
      <c r="F955">
        <v>1</v>
      </c>
      <c r="G955">
        <v>0</v>
      </c>
      <c r="H955">
        <f t="shared" si="14"/>
        <v>3</v>
      </c>
    </row>
    <row r="956" spans="1:8">
      <c r="A956">
        <v>4934</v>
      </c>
      <c r="C956">
        <v>0</v>
      </c>
      <c r="D956">
        <v>1</v>
      </c>
      <c r="E956">
        <v>2</v>
      </c>
      <c r="F956">
        <v>1</v>
      </c>
      <c r="G956">
        <v>0</v>
      </c>
      <c r="H956">
        <f t="shared" si="14"/>
        <v>4</v>
      </c>
    </row>
    <row r="957" spans="1:8">
      <c r="A957">
        <v>4935</v>
      </c>
      <c r="C957">
        <v>1</v>
      </c>
      <c r="D957">
        <v>1</v>
      </c>
      <c r="E957">
        <v>2</v>
      </c>
      <c r="F957">
        <v>1</v>
      </c>
      <c r="G957">
        <v>1</v>
      </c>
      <c r="H957">
        <f t="shared" si="14"/>
        <v>6</v>
      </c>
    </row>
    <row r="958" spans="1:8">
      <c r="A958">
        <v>4938</v>
      </c>
      <c r="C958">
        <v>0</v>
      </c>
      <c r="D958">
        <v>0</v>
      </c>
      <c r="E958">
        <v>1</v>
      </c>
      <c r="F958">
        <v>0</v>
      </c>
      <c r="G958">
        <v>0</v>
      </c>
      <c r="H958">
        <f t="shared" si="14"/>
        <v>1</v>
      </c>
    </row>
    <row r="959" spans="1:8">
      <c r="A959">
        <v>4939</v>
      </c>
      <c r="C959">
        <v>0</v>
      </c>
      <c r="D959">
        <v>1</v>
      </c>
      <c r="E959">
        <v>0</v>
      </c>
      <c r="F959">
        <v>1</v>
      </c>
      <c r="G959">
        <v>0</v>
      </c>
      <c r="H959">
        <f t="shared" si="14"/>
        <v>2</v>
      </c>
    </row>
    <row r="960" spans="1:8">
      <c r="A960">
        <v>4942</v>
      </c>
      <c r="C960">
        <v>0</v>
      </c>
      <c r="D960">
        <v>0</v>
      </c>
      <c r="E960">
        <v>0</v>
      </c>
      <c r="F960">
        <v>1</v>
      </c>
      <c r="G960">
        <v>0</v>
      </c>
      <c r="H960">
        <f t="shared" si="14"/>
        <v>1</v>
      </c>
    </row>
    <row r="961" spans="1:8">
      <c r="A961">
        <v>4944</v>
      </c>
      <c r="C961">
        <v>0</v>
      </c>
      <c r="D961">
        <v>0</v>
      </c>
      <c r="E961">
        <v>1</v>
      </c>
      <c r="F961">
        <v>1</v>
      </c>
      <c r="G961">
        <v>0</v>
      </c>
      <c r="H961">
        <f t="shared" si="14"/>
        <v>2</v>
      </c>
    </row>
    <row r="962" spans="1:8">
      <c r="A962">
        <v>4946</v>
      </c>
      <c r="C962">
        <v>0</v>
      </c>
      <c r="D962">
        <v>0</v>
      </c>
      <c r="E962">
        <v>2</v>
      </c>
      <c r="F962">
        <v>0</v>
      </c>
      <c r="G962">
        <v>0</v>
      </c>
      <c r="H962">
        <f t="shared" si="14"/>
        <v>2</v>
      </c>
    </row>
    <row r="963" spans="1:8">
      <c r="A963">
        <v>4947</v>
      </c>
      <c r="C963">
        <v>1</v>
      </c>
      <c r="D963">
        <v>1</v>
      </c>
      <c r="E963">
        <v>1</v>
      </c>
      <c r="F963">
        <v>0</v>
      </c>
      <c r="G963">
        <v>1</v>
      </c>
      <c r="H963">
        <f t="shared" ref="H963:H1026" si="15">SUM(C963:G963)</f>
        <v>4</v>
      </c>
    </row>
    <row r="964" spans="1:8">
      <c r="A964">
        <v>4950</v>
      </c>
      <c r="C964">
        <v>1</v>
      </c>
      <c r="D964">
        <v>1</v>
      </c>
      <c r="E964">
        <v>2</v>
      </c>
      <c r="F964">
        <v>1</v>
      </c>
      <c r="G964">
        <v>0</v>
      </c>
      <c r="H964">
        <f t="shared" si="15"/>
        <v>5</v>
      </c>
    </row>
    <row r="965" spans="1:8">
      <c r="A965">
        <v>4952</v>
      </c>
      <c r="C965">
        <v>1</v>
      </c>
      <c r="D965">
        <v>1</v>
      </c>
      <c r="E965">
        <v>0</v>
      </c>
      <c r="F965">
        <v>1</v>
      </c>
      <c r="G965">
        <v>0</v>
      </c>
      <c r="H965">
        <f t="shared" si="15"/>
        <v>3</v>
      </c>
    </row>
    <row r="966" spans="1:8">
      <c r="A966">
        <v>4953</v>
      </c>
      <c r="C966">
        <v>0</v>
      </c>
      <c r="D966">
        <v>0</v>
      </c>
      <c r="E966">
        <v>1</v>
      </c>
      <c r="F966">
        <v>0</v>
      </c>
      <c r="G966">
        <v>0</v>
      </c>
      <c r="H966">
        <f t="shared" si="15"/>
        <v>1</v>
      </c>
    </row>
    <row r="967" spans="1:8">
      <c r="A967">
        <v>4956</v>
      </c>
      <c r="C967">
        <v>0</v>
      </c>
      <c r="D967">
        <v>1</v>
      </c>
      <c r="E967">
        <v>0</v>
      </c>
      <c r="F967">
        <v>1</v>
      </c>
      <c r="G967">
        <v>0</v>
      </c>
      <c r="H967">
        <f t="shared" si="15"/>
        <v>2</v>
      </c>
    </row>
    <row r="968" spans="1:8">
      <c r="A968">
        <v>4958</v>
      </c>
      <c r="C968">
        <v>0</v>
      </c>
      <c r="D968">
        <v>1</v>
      </c>
      <c r="E968">
        <v>0</v>
      </c>
      <c r="F968">
        <v>1</v>
      </c>
      <c r="G968">
        <v>0</v>
      </c>
      <c r="H968">
        <f t="shared" si="15"/>
        <v>2</v>
      </c>
    </row>
    <row r="969" spans="1:8">
      <c r="A969">
        <v>4960</v>
      </c>
      <c r="C969">
        <v>0</v>
      </c>
      <c r="D969">
        <v>1</v>
      </c>
      <c r="E969">
        <v>0</v>
      </c>
      <c r="F969">
        <v>1</v>
      </c>
      <c r="G969">
        <v>0</v>
      </c>
      <c r="H969">
        <f t="shared" si="15"/>
        <v>2</v>
      </c>
    </row>
    <row r="970" spans="1:8">
      <c r="A970">
        <v>4965</v>
      </c>
      <c r="C970">
        <v>0</v>
      </c>
      <c r="D970">
        <v>0</v>
      </c>
      <c r="E970">
        <v>1</v>
      </c>
      <c r="F970">
        <v>1</v>
      </c>
      <c r="G970">
        <v>1</v>
      </c>
      <c r="H970">
        <f t="shared" si="15"/>
        <v>3</v>
      </c>
    </row>
    <row r="971" spans="1:8">
      <c r="A971">
        <v>4966</v>
      </c>
      <c r="C971">
        <v>0</v>
      </c>
      <c r="D971">
        <v>0</v>
      </c>
      <c r="E971">
        <v>2</v>
      </c>
      <c r="F971">
        <v>0</v>
      </c>
      <c r="G971">
        <v>0</v>
      </c>
      <c r="H971">
        <f t="shared" si="15"/>
        <v>2</v>
      </c>
    </row>
    <row r="972" spans="1:8">
      <c r="A972">
        <v>4971</v>
      </c>
      <c r="C972">
        <v>0</v>
      </c>
      <c r="D972">
        <v>0</v>
      </c>
      <c r="E972">
        <v>0</v>
      </c>
      <c r="F972">
        <v>1</v>
      </c>
      <c r="G972">
        <v>0</v>
      </c>
      <c r="H972">
        <f t="shared" si="15"/>
        <v>1</v>
      </c>
    </row>
    <row r="973" spans="1:8">
      <c r="A973">
        <v>4972</v>
      </c>
      <c r="C973">
        <v>1</v>
      </c>
      <c r="D973">
        <v>1</v>
      </c>
      <c r="E973">
        <v>0</v>
      </c>
      <c r="F973">
        <v>1</v>
      </c>
      <c r="G973">
        <v>0</v>
      </c>
      <c r="H973">
        <f t="shared" si="15"/>
        <v>3</v>
      </c>
    </row>
    <row r="974" spans="1:8">
      <c r="A974">
        <v>4973</v>
      </c>
      <c r="C974">
        <v>0</v>
      </c>
      <c r="D974">
        <v>1</v>
      </c>
      <c r="E974">
        <v>2</v>
      </c>
      <c r="F974">
        <v>1</v>
      </c>
      <c r="G974">
        <v>0</v>
      </c>
      <c r="H974">
        <f t="shared" si="15"/>
        <v>4</v>
      </c>
    </row>
    <row r="975" spans="1:8">
      <c r="A975">
        <v>4974</v>
      </c>
      <c r="C975">
        <v>1</v>
      </c>
      <c r="D975">
        <v>1</v>
      </c>
      <c r="E975">
        <v>0</v>
      </c>
      <c r="F975">
        <v>0</v>
      </c>
      <c r="G975">
        <v>0</v>
      </c>
      <c r="H975">
        <f t="shared" si="15"/>
        <v>2</v>
      </c>
    </row>
    <row r="976" spans="1:8">
      <c r="A976">
        <v>4976</v>
      </c>
      <c r="C976">
        <v>0</v>
      </c>
      <c r="D976">
        <v>1</v>
      </c>
      <c r="E976">
        <v>0</v>
      </c>
      <c r="F976">
        <v>1</v>
      </c>
      <c r="G976">
        <v>0</v>
      </c>
      <c r="H976">
        <f t="shared" si="15"/>
        <v>2</v>
      </c>
    </row>
    <row r="977" spans="1:8">
      <c r="A977">
        <v>4977</v>
      </c>
      <c r="C977">
        <v>0</v>
      </c>
      <c r="D977">
        <v>1</v>
      </c>
      <c r="E977">
        <v>2</v>
      </c>
      <c r="F977">
        <v>1</v>
      </c>
      <c r="G977">
        <v>0</v>
      </c>
      <c r="H977">
        <f t="shared" si="15"/>
        <v>4</v>
      </c>
    </row>
    <row r="978" spans="1:8">
      <c r="A978">
        <v>4979</v>
      </c>
      <c r="C978">
        <v>1</v>
      </c>
      <c r="D978">
        <v>1</v>
      </c>
      <c r="E978">
        <v>0</v>
      </c>
      <c r="F978">
        <v>1</v>
      </c>
      <c r="G978">
        <v>0</v>
      </c>
      <c r="H978">
        <f t="shared" si="15"/>
        <v>3</v>
      </c>
    </row>
    <row r="979" spans="1:8">
      <c r="A979">
        <v>4984</v>
      </c>
      <c r="C979">
        <v>1</v>
      </c>
      <c r="D979">
        <v>1</v>
      </c>
      <c r="E979">
        <v>1</v>
      </c>
      <c r="F979">
        <v>1</v>
      </c>
      <c r="G979">
        <v>0</v>
      </c>
      <c r="H979">
        <f t="shared" si="15"/>
        <v>4</v>
      </c>
    </row>
    <row r="980" spans="1:8">
      <c r="A980">
        <v>4987</v>
      </c>
      <c r="C980">
        <v>1</v>
      </c>
      <c r="D980">
        <v>1</v>
      </c>
      <c r="E980">
        <v>0</v>
      </c>
      <c r="F980">
        <v>0</v>
      </c>
      <c r="G980">
        <v>0</v>
      </c>
      <c r="H980">
        <f t="shared" si="15"/>
        <v>2</v>
      </c>
    </row>
    <row r="981" spans="1:8">
      <c r="A981">
        <v>4991</v>
      </c>
      <c r="C981">
        <v>1</v>
      </c>
      <c r="D981">
        <v>1</v>
      </c>
      <c r="E981">
        <v>0</v>
      </c>
      <c r="F981">
        <v>1</v>
      </c>
      <c r="G981">
        <v>1</v>
      </c>
      <c r="H981">
        <f t="shared" si="15"/>
        <v>4</v>
      </c>
    </row>
    <row r="982" spans="1:8">
      <c r="A982">
        <v>4994</v>
      </c>
      <c r="C982">
        <v>0</v>
      </c>
      <c r="D982">
        <v>1</v>
      </c>
      <c r="E982">
        <v>2</v>
      </c>
      <c r="F982">
        <v>1</v>
      </c>
      <c r="G982">
        <v>0</v>
      </c>
      <c r="H982">
        <f t="shared" si="15"/>
        <v>4</v>
      </c>
    </row>
    <row r="983" spans="1:8">
      <c r="A983">
        <v>4995</v>
      </c>
      <c r="C983">
        <v>0</v>
      </c>
      <c r="D983">
        <v>1</v>
      </c>
      <c r="E983">
        <v>0</v>
      </c>
      <c r="F983">
        <v>1</v>
      </c>
      <c r="G983">
        <v>0</v>
      </c>
      <c r="H983">
        <f t="shared" si="15"/>
        <v>2</v>
      </c>
    </row>
    <row r="984" spans="1:8">
      <c r="A984">
        <v>4999</v>
      </c>
      <c r="C984">
        <v>0</v>
      </c>
      <c r="D984">
        <v>1</v>
      </c>
      <c r="E984">
        <v>2</v>
      </c>
      <c r="F984">
        <v>1</v>
      </c>
      <c r="G984">
        <v>0</v>
      </c>
      <c r="H984">
        <f t="shared" si="15"/>
        <v>4</v>
      </c>
    </row>
    <row r="985" spans="1:8">
      <c r="A985">
        <v>5007</v>
      </c>
      <c r="C985">
        <v>0</v>
      </c>
      <c r="D985">
        <v>1</v>
      </c>
      <c r="E985">
        <v>0</v>
      </c>
      <c r="F985">
        <v>1</v>
      </c>
      <c r="G985">
        <v>0</v>
      </c>
      <c r="H985">
        <f t="shared" si="15"/>
        <v>2</v>
      </c>
    </row>
    <row r="986" spans="1:8">
      <c r="A986">
        <v>5009</v>
      </c>
      <c r="C986">
        <v>1</v>
      </c>
      <c r="D986">
        <v>1</v>
      </c>
      <c r="E986">
        <v>0</v>
      </c>
      <c r="F986">
        <v>1</v>
      </c>
      <c r="G986">
        <v>0</v>
      </c>
      <c r="H986">
        <f t="shared" si="15"/>
        <v>3</v>
      </c>
    </row>
    <row r="987" spans="1:8">
      <c r="A987">
        <v>5011</v>
      </c>
      <c r="C987">
        <v>0</v>
      </c>
      <c r="D987">
        <v>1</v>
      </c>
      <c r="E987">
        <v>2</v>
      </c>
      <c r="F987">
        <v>0</v>
      </c>
      <c r="G987">
        <v>0</v>
      </c>
      <c r="H987">
        <f t="shared" si="15"/>
        <v>3</v>
      </c>
    </row>
    <row r="988" spans="1:8">
      <c r="A988">
        <v>5013</v>
      </c>
      <c r="C988">
        <v>0</v>
      </c>
      <c r="D988">
        <v>1</v>
      </c>
      <c r="E988">
        <v>0</v>
      </c>
      <c r="F988">
        <v>1</v>
      </c>
      <c r="G988">
        <v>0</v>
      </c>
      <c r="H988">
        <f t="shared" si="15"/>
        <v>2</v>
      </c>
    </row>
    <row r="989" spans="1:8">
      <c r="A989">
        <v>5014</v>
      </c>
      <c r="C989">
        <v>0</v>
      </c>
      <c r="D989">
        <v>0</v>
      </c>
      <c r="E989">
        <v>2</v>
      </c>
      <c r="F989">
        <v>1</v>
      </c>
      <c r="G989">
        <v>0</v>
      </c>
      <c r="H989">
        <f t="shared" si="15"/>
        <v>3</v>
      </c>
    </row>
    <row r="990" spans="1:8">
      <c r="A990">
        <v>5015</v>
      </c>
      <c r="C990">
        <v>0</v>
      </c>
      <c r="D990">
        <v>1</v>
      </c>
      <c r="E990">
        <v>2</v>
      </c>
      <c r="F990">
        <v>0</v>
      </c>
      <c r="G990">
        <v>0</v>
      </c>
      <c r="H990">
        <f t="shared" si="15"/>
        <v>3</v>
      </c>
    </row>
    <row r="991" spans="1:8">
      <c r="A991">
        <v>5016</v>
      </c>
      <c r="C991">
        <v>0</v>
      </c>
      <c r="D991">
        <v>1</v>
      </c>
      <c r="E991">
        <v>0</v>
      </c>
      <c r="F991">
        <v>1</v>
      </c>
      <c r="G991">
        <v>0</v>
      </c>
      <c r="H991">
        <f t="shared" si="15"/>
        <v>2</v>
      </c>
    </row>
    <row r="992" spans="1:8">
      <c r="A992">
        <v>5102</v>
      </c>
      <c r="C992">
        <v>0</v>
      </c>
      <c r="D992">
        <v>1</v>
      </c>
      <c r="E992">
        <v>0</v>
      </c>
      <c r="F992">
        <v>0</v>
      </c>
      <c r="G992">
        <v>0</v>
      </c>
      <c r="H992">
        <f t="shared" si="15"/>
        <v>1</v>
      </c>
    </row>
    <row r="993" spans="1:8">
      <c r="A993">
        <v>5201</v>
      </c>
      <c r="C993">
        <v>1</v>
      </c>
      <c r="D993">
        <v>1</v>
      </c>
      <c r="E993">
        <v>2</v>
      </c>
      <c r="F993">
        <v>0</v>
      </c>
      <c r="G993">
        <v>0</v>
      </c>
      <c r="H993">
        <f t="shared" si="15"/>
        <v>4</v>
      </c>
    </row>
    <row r="994" spans="1:8">
      <c r="A994">
        <v>5202</v>
      </c>
      <c r="C994">
        <v>0</v>
      </c>
      <c r="D994">
        <v>1</v>
      </c>
      <c r="E994">
        <v>1</v>
      </c>
      <c r="F994">
        <v>0</v>
      </c>
      <c r="G994">
        <v>0</v>
      </c>
      <c r="H994">
        <f t="shared" si="15"/>
        <v>2</v>
      </c>
    </row>
    <row r="995" spans="1:8">
      <c r="A995">
        <v>5203</v>
      </c>
      <c r="C995">
        <v>0</v>
      </c>
      <c r="D995">
        <v>1</v>
      </c>
      <c r="E995">
        <v>2</v>
      </c>
      <c r="F995">
        <v>0</v>
      </c>
      <c r="G995">
        <v>0</v>
      </c>
      <c r="H995">
        <f t="shared" si="15"/>
        <v>3</v>
      </c>
    </row>
    <row r="996" spans="1:8">
      <c r="A996">
        <v>5205</v>
      </c>
      <c r="C996">
        <v>0</v>
      </c>
      <c r="D996">
        <v>0</v>
      </c>
      <c r="E996">
        <v>0</v>
      </c>
      <c r="F996">
        <v>0</v>
      </c>
      <c r="G996">
        <v>0</v>
      </c>
      <c r="H996">
        <f t="shared" si="15"/>
        <v>0</v>
      </c>
    </row>
    <row r="997" spans="1:8">
      <c r="A997">
        <v>5206</v>
      </c>
      <c r="C997">
        <v>1</v>
      </c>
      <c r="D997">
        <v>1</v>
      </c>
      <c r="E997">
        <v>1</v>
      </c>
      <c r="F997">
        <v>1</v>
      </c>
      <c r="G997">
        <v>1</v>
      </c>
      <c r="H997">
        <f t="shared" si="15"/>
        <v>5</v>
      </c>
    </row>
    <row r="998" spans="1:8">
      <c r="A998">
        <v>5209</v>
      </c>
      <c r="C998">
        <v>1</v>
      </c>
      <c r="D998">
        <v>1</v>
      </c>
      <c r="E998">
        <v>1</v>
      </c>
      <c r="F998">
        <v>0</v>
      </c>
      <c r="G998">
        <v>0</v>
      </c>
      <c r="H998">
        <f t="shared" si="15"/>
        <v>3</v>
      </c>
    </row>
    <row r="999" spans="1:8">
      <c r="A999">
        <v>5210</v>
      </c>
      <c r="C999">
        <v>0</v>
      </c>
      <c r="D999">
        <v>0</v>
      </c>
      <c r="E999">
        <v>1</v>
      </c>
      <c r="F999">
        <v>1</v>
      </c>
      <c r="G999">
        <v>0</v>
      </c>
      <c r="H999">
        <f t="shared" si="15"/>
        <v>2</v>
      </c>
    </row>
    <row r="1000" spans="1:8">
      <c r="A1000">
        <v>5211</v>
      </c>
      <c r="C1000">
        <v>0</v>
      </c>
      <c r="D1000">
        <v>1</v>
      </c>
      <c r="E1000">
        <v>2</v>
      </c>
      <c r="F1000">
        <v>0</v>
      </c>
      <c r="G1000">
        <v>0</v>
      </c>
      <c r="H1000">
        <f t="shared" si="15"/>
        <v>3</v>
      </c>
    </row>
    <row r="1001" spans="1:8">
      <c r="A1001">
        <v>5212</v>
      </c>
      <c r="C1001">
        <v>0</v>
      </c>
      <c r="D1001">
        <v>1</v>
      </c>
      <c r="E1001">
        <v>1</v>
      </c>
      <c r="F1001">
        <v>0</v>
      </c>
      <c r="G1001">
        <v>0</v>
      </c>
      <c r="H1001">
        <f t="shared" si="15"/>
        <v>2</v>
      </c>
    </row>
    <row r="1002" spans="1:8">
      <c r="A1002">
        <v>5213</v>
      </c>
      <c r="C1002">
        <v>0</v>
      </c>
      <c r="D1002">
        <v>1</v>
      </c>
      <c r="E1002">
        <v>0</v>
      </c>
      <c r="F1002">
        <v>0</v>
      </c>
      <c r="G1002">
        <v>0</v>
      </c>
      <c r="H1002">
        <f t="shared" si="15"/>
        <v>1</v>
      </c>
    </row>
    <row r="1003" spans="1:8">
      <c r="A1003">
        <v>5215</v>
      </c>
      <c r="C1003">
        <v>0</v>
      </c>
      <c r="D1003">
        <v>1</v>
      </c>
      <c r="E1003">
        <v>2</v>
      </c>
      <c r="F1003">
        <v>1</v>
      </c>
      <c r="G1003">
        <v>0</v>
      </c>
      <c r="H1003">
        <f t="shared" si="15"/>
        <v>4</v>
      </c>
    </row>
    <row r="1004" spans="1:8">
      <c r="A1004">
        <v>5225</v>
      </c>
      <c r="C1004">
        <v>1</v>
      </c>
      <c r="D1004">
        <v>1</v>
      </c>
      <c r="E1004">
        <v>0</v>
      </c>
      <c r="F1004">
        <v>1</v>
      </c>
      <c r="G1004">
        <v>1</v>
      </c>
      <c r="H1004">
        <f t="shared" si="15"/>
        <v>4</v>
      </c>
    </row>
    <row r="1005" spans="1:8">
      <c r="A1005">
        <v>5227</v>
      </c>
      <c r="C1005">
        <v>1</v>
      </c>
      <c r="D1005">
        <v>1</v>
      </c>
      <c r="E1005">
        <v>2</v>
      </c>
      <c r="F1005">
        <v>0</v>
      </c>
      <c r="G1005">
        <v>0</v>
      </c>
      <c r="H1005">
        <f t="shared" si="15"/>
        <v>4</v>
      </c>
    </row>
    <row r="1006" spans="1:8">
      <c r="A1006">
        <v>5230</v>
      </c>
      <c r="C1006">
        <v>0</v>
      </c>
      <c r="D1006">
        <v>1</v>
      </c>
      <c r="E1006">
        <v>1</v>
      </c>
      <c r="F1006">
        <v>1</v>
      </c>
      <c r="G1006">
        <v>0</v>
      </c>
      <c r="H1006">
        <f t="shared" si="15"/>
        <v>3</v>
      </c>
    </row>
    <row r="1007" spans="1:8">
      <c r="A1007">
        <v>5234</v>
      </c>
      <c r="C1007">
        <v>0</v>
      </c>
      <c r="D1007">
        <v>1</v>
      </c>
      <c r="E1007">
        <v>1</v>
      </c>
      <c r="F1007">
        <v>1</v>
      </c>
      <c r="G1007">
        <v>0</v>
      </c>
      <c r="H1007">
        <f t="shared" si="15"/>
        <v>3</v>
      </c>
    </row>
    <row r="1008" spans="1:8">
      <c r="A1008">
        <v>5243</v>
      </c>
      <c r="C1008">
        <v>0</v>
      </c>
      <c r="D1008">
        <v>0</v>
      </c>
      <c r="E1008">
        <v>0</v>
      </c>
      <c r="F1008">
        <v>1</v>
      </c>
      <c r="G1008">
        <v>0</v>
      </c>
      <c r="H1008">
        <f t="shared" si="15"/>
        <v>1</v>
      </c>
    </row>
    <row r="1009" spans="1:8">
      <c r="A1009">
        <v>5245</v>
      </c>
      <c r="C1009">
        <v>1</v>
      </c>
      <c r="D1009">
        <v>1</v>
      </c>
      <c r="E1009">
        <v>2</v>
      </c>
      <c r="F1009">
        <v>1</v>
      </c>
      <c r="G1009">
        <v>1</v>
      </c>
      <c r="H1009">
        <f t="shared" si="15"/>
        <v>6</v>
      </c>
    </row>
    <row r="1010" spans="1:8">
      <c r="A1010">
        <v>5251</v>
      </c>
      <c r="C1010">
        <v>0</v>
      </c>
      <c r="D1010">
        <v>1</v>
      </c>
      <c r="E1010">
        <v>0</v>
      </c>
      <c r="F1010">
        <v>1</v>
      </c>
      <c r="G1010">
        <v>0</v>
      </c>
      <c r="H1010">
        <f t="shared" si="15"/>
        <v>2</v>
      </c>
    </row>
    <row r="1011" spans="1:8">
      <c r="A1011">
        <v>5255</v>
      </c>
      <c r="C1011">
        <v>0</v>
      </c>
      <c r="D1011">
        <v>0</v>
      </c>
      <c r="E1011">
        <v>2</v>
      </c>
      <c r="F1011">
        <v>0</v>
      </c>
      <c r="G1011">
        <v>0</v>
      </c>
      <c r="H1011">
        <f t="shared" si="15"/>
        <v>2</v>
      </c>
    </row>
    <row r="1012" spans="1:8">
      <c r="A1012">
        <v>5259</v>
      </c>
      <c r="C1012">
        <v>0</v>
      </c>
      <c r="D1012">
        <v>0</v>
      </c>
      <c r="E1012">
        <v>0</v>
      </c>
      <c r="F1012">
        <v>0</v>
      </c>
      <c r="G1012">
        <v>0</v>
      </c>
      <c r="H1012">
        <f t="shared" si="15"/>
        <v>0</v>
      </c>
    </row>
    <row r="1013" spans="1:8">
      <c r="A1013">
        <v>5263</v>
      </c>
      <c r="C1013">
        <v>1</v>
      </c>
      <c r="D1013">
        <v>1</v>
      </c>
      <c r="E1013">
        <v>1</v>
      </c>
      <c r="F1013">
        <v>0</v>
      </c>
      <c r="G1013">
        <v>0</v>
      </c>
      <c r="H1013">
        <f t="shared" si="15"/>
        <v>3</v>
      </c>
    </row>
    <row r="1014" spans="1:8">
      <c r="A1014">
        <v>5264</v>
      </c>
      <c r="C1014">
        <v>1</v>
      </c>
      <c r="D1014">
        <v>1</v>
      </c>
      <c r="E1014">
        <v>0</v>
      </c>
      <c r="F1014">
        <v>1</v>
      </c>
      <c r="G1014">
        <v>0</v>
      </c>
      <c r="H1014">
        <f t="shared" si="15"/>
        <v>3</v>
      </c>
    </row>
    <row r="1015" spans="1:8">
      <c r="A1015">
        <v>5266</v>
      </c>
      <c r="C1015">
        <v>0</v>
      </c>
      <c r="D1015">
        <v>1</v>
      </c>
      <c r="E1015">
        <v>1</v>
      </c>
      <c r="F1015">
        <v>1</v>
      </c>
      <c r="G1015">
        <v>0</v>
      </c>
      <c r="H1015">
        <f t="shared" si="15"/>
        <v>3</v>
      </c>
    </row>
    <row r="1016" spans="1:8">
      <c r="A1016">
        <v>5269</v>
      </c>
      <c r="C1016">
        <v>1</v>
      </c>
      <c r="D1016">
        <v>1</v>
      </c>
      <c r="E1016">
        <v>2</v>
      </c>
      <c r="F1016">
        <v>1</v>
      </c>
      <c r="G1016">
        <v>1</v>
      </c>
      <c r="H1016">
        <f t="shared" si="15"/>
        <v>6</v>
      </c>
    </row>
    <row r="1017" spans="1:8">
      <c r="A1017">
        <v>5272</v>
      </c>
      <c r="C1017">
        <v>0</v>
      </c>
      <c r="D1017">
        <v>0</v>
      </c>
      <c r="E1017">
        <v>0</v>
      </c>
      <c r="F1017">
        <v>1</v>
      </c>
      <c r="G1017">
        <v>0</v>
      </c>
      <c r="H1017">
        <f t="shared" si="15"/>
        <v>1</v>
      </c>
    </row>
    <row r="1018" spans="1:8">
      <c r="A1018">
        <v>5274</v>
      </c>
      <c r="C1018">
        <v>1</v>
      </c>
      <c r="D1018">
        <v>1</v>
      </c>
      <c r="E1018">
        <v>2</v>
      </c>
      <c r="F1018">
        <v>1</v>
      </c>
      <c r="G1018">
        <v>1</v>
      </c>
      <c r="H1018">
        <f t="shared" si="15"/>
        <v>6</v>
      </c>
    </row>
    <row r="1019" spans="1:8">
      <c r="A1019">
        <v>5276</v>
      </c>
      <c r="C1019">
        <v>0</v>
      </c>
      <c r="D1019">
        <v>1</v>
      </c>
      <c r="E1019">
        <v>0</v>
      </c>
      <c r="F1019">
        <v>1</v>
      </c>
      <c r="G1019">
        <v>0</v>
      </c>
      <c r="H1019">
        <f t="shared" si="15"/>
        <v>2</v>
      </c>
    </row>
    <row r="1020" spans="1:8">
      <c r="A1020">
        <v>5278</v>
      </c>
      <c r="C1020">
        <v>0</v>
      </c>
      <c r="D1020">
        <v>0</v>
      </c>
      <c r="E1020">
        <v>2</v>
      </c>
      <c r="F1020">
        <v>0</v>
      </c>
      <c r="G1020">
        <v>0</v>
      </c>
      <c r="H1020">
        <f t="shared" si="15"/>
        <v>2</v>
      </c>
    </row>
    <row r="1021" spans="1:8">
      <c r="A1021">
        <v>5284</v>
      </c>
      <c r="C1021">
        <v>1</v>
      </c>
      <c r="D1021">
        <v>1</v>
      </c>
      <c r="E1021">
        <v>1</v>
      </c>
      <c r="F1021">
        <v>1</v>
      </c>
      <c r="G1021">
        <v>0</v>
      </c>
      <c r="H1021">
        <f t="shared" si="15"/>
        <v>4</v>
      </c>
    </row>
    <row r="1022" spans="1:8">
      <c r="A1022">
        <v>5285</v>
      </c>
      <c r="C1022">
        <v>1</v>
      </c>
      <c r="D1022">
        <v>1</v>
      </c>
      <c r="E1022">
        <v>1</v>
      </c>
      <c r="F1022">
        <v>1</v>
      </c>
      <c r="G1022">
        <v>0</v>
      </c>
      <c r="H1022">
        <f t="shared" si="15"/>
        <v>4</v>
      </c>
    </row>
    <row r="1023" spans="1:8">
      <c r="A1023">
        <v>5287</v>
      </c>
      <c r="C1023">
        <v>0</v>
      </c>
      <c r="D1023">
        <v>0</v>
      </c>
      <c r="E1023">
        <v>0</v>
      </c>
      <c r="F1023">
        <v>1</v>
      </c>
      <c r="G1023">
        <v>1</v>
      </c>
      <c r="H1023">
        <f t="shared" si="15"/>
        <v>2</v>
      </c>
    </row>
    <row r="1024" spans="1:8">
      <c r="A1024">
        <v>5288</v>
      </c>
      <c r="C1024">
        <v>1</v>
      </c>
      <c r="D1024">
        <v>1</v>
      </c>
      <c r="E1024">
        <v>1</v>
      </c>
      <c r="F1024">
        <v>1</v>
      </c>
      <c r="G1024">
        <v>0</v>
      </c>
      <c r="H1024">
        <f t="shared" si="15"/>
        <v>4</v>
      </c>
    </row>
    <row r="1025" spans="1:8">
      <c r="A1025">
        <v>5289</v>
      </c>
      <c r="C1025">
        <v>0</v>
      </c>
      <c r="D1025">
        <v>1</v>
      </c>
      <c r="E1025">
        <v>2</v>
      </c>
      <c r="F1025">
        <v>1</v>
      </c>
      <c r="G1025">
        <v>0</v>
      </c>
      <c r="H1025">
        <f t="shared" si="15"/>
        <v>4</v>
      </c>
    </row>
    <row r="1026" spans="1:8">
      <c r="A1026">
        <v>5291</v>
      </c>
      <c r="C1026">
        <v>0</v>
      </c>
      <c r="D1026">
        <v>1</v>
      </c>
      <c r="E1026">
        <v>0</v>
      </c>
      <c r="F1026">
        <v>0</v>
      </c>
      <c r="G1026">
        <v>0</v>
      </c>
      <c r="H1026">
        <f t="shared" si="15"/>
        <v>1</v>
      </c>
    </row>
    <row r="1027" spans="1:8">
      <c r="A1027">
        <v>5301</v>
      </c>
      <c r="C1027">
        <v>0</v>
      </c>
      <c r="D1027">
        <v>0</v>
      </c>
      <c r="E1027">
        <v>0</v>
      </c>
      <c r="F1027">
        <v>0</v>
      </c>
      <c r="G1027">
        <v>0</v>
      </c>
      <c r="H1027">
        <f t="shared" ref="H1027:H1090" si="16">SUM(C1027:G1027)</f>
        <v>0</v>
      </c>
    </row>
    <row r="1028" spans="1:8">
      <c r="A1028">
        <v>5302</v>
      </c>
      <c r="C1028">
        <v>1</v>
      </c>
      <c r="D1028">
        <v>1</v>
      </c>
      <c r="E1028">
        <v>0</v>
      </c>
      <c r="F1028">
        <v>0</v>
      </c>
      <c r="G1028">
        <v>0</v>
      </c>
      <c r="H1028">
        <f t="shared" si="16"/>
        <v>2</v>
      </c>
    </row>
    <row r="1029" spans="1:8">
      <c r="A1029">
        <v>5304</v>
      </c>
      <c r="C1029">
        <v>1</v>
      </c>
      <c r="D1029">
        <v>1</v>
      </c>
      <c r="E1029">
        <v>0</v>
      </c>
      <c r="F1029">
        <v>1</v>
      </c>
      <c r="G1029">
        <v>1</v>
      </c>
      <c r="H1029">
        <f t="shared" si="16"/>
        <v>4</v>
      </c>
    </row>
    <row r="1030" spans="1:8">
      <c r="A1030">
        <v>5305</v>
      </c>
      <c r="C1030">
        <v>0</v>
      </c>
      <c r="D1030">
        <v>0</v>
      </c>
      <c r="E1030">
        <v>0</v>
      </c>
      <c r="F1030">
        <v>1</v>
      </c>
      <c r="G1030">
        <v>0</v>
      </c>
      <c r="H1030">
        <f t="shared" si="16"/>
        <v>1</v>
      </c>
    </row>
    <row r="1031" spans="1:8">
      <c r="A1031">
        <v>5306</v>
      </c>
      <c r="C1031">
        <v>1</v>
      </c>
      <c r="D1031">
        <v>1</v>
      </c>
      <c r="E1031">
        <v>1</v>
      </c>
      <c r="F1031">
        <v>1</v>
      </c>
      <c r="G1031">
        <v>0</v>
      </c>
      <c r="H1031">
        <f t="shared" si="16"/>
        <v>4</v>
      </c>
    </row>
    <row r="1032" spans="1:8">
      <c r="A1032">
        <v>5309</v>
      </c>
      <c r="C1032">
        <v>0</v>
      </c>
      <c r="D1032">
        <v>1</v>
      </c>
      <c r="E1032">
        <v>0</v>
      </c>
      <c r="F1032">
        <v>1</v>
      </c>
      <c r="G1032">
        <v>0</v>
      </c>
      <c r="H1032">
        <f t="shared" si="16"/>
        <v>2</v>
      </c>
    </row>
    <row r="1033" spans="1:8">
      <c r="A1033">
        <v>5310</v>
      </c>
      <c r="C1033">
        <v>0</v>
      </c>
      <c r="D1033">
        <v>1</v>
      </c>
      <c r="E1033">
        <v>1</v>
      </c>
      <c r="F1033">
        <v>0</v>
      </c>
      <c r="G1033">
        <v>0</v>
      </c>
      <c r="H1033">
        <f t="shared" si="16"/>
        <v>2</v>
      </c>
    </row>
    <row r="1034" spans="1:8">
      <c r="A1034">
        <v>5312</v>
      </c>
      <c r="C1034">
        <v>1</v>
      </c>
      <c r="D1034">
        <v>1</v>
      </c>
      <c r="E1034">
        <v>0</v>
      </c>
      <c r="F1034">
        <v>1</v>
      </c>
      <c r="G1034">
        <v>1</v>
      </c>
      <c r="H1034">
        <f t="shared" si="16"/>
        <v>4</v>
      </c>
    </row>
    <row r="1035" spans="1:8">
      <c r="A1035">
        <v>5314</v>
      </c>
      <c r="C1035">
        <v>1</v>
      </c>
      <c r="D1035">
        <v>0</v>
      </c>
      <c r="E1035">
        <v>0</v>
      </c>
      <c r="F1035">
        <v>0</v>
      </c>
      <c r="G1035">
        <v>0</v>
      </c>
      <c r="H1035">
        <f t="shared" si="16"/>
        <v>1</v>
      </c>
    </row>
    <row r="1036" spans="1:8">
      <c r="A1036">
        <v>5315</v>
      </c>
      <c r="C1036">
        <v>1</v>
      </c>
      <c r="D1036">
        <v>1</v>
      </c>
      <c r="E1036">
        <v>0</v>
      </c>
      <c r="F1036">
        <v>1</v>
      </c>
      <c r="G1036">
        <v>0</v>
      </c>
      <c r="H1036">
        <f t="shared" si="16"/>
        <v>3</v>
      </c>
    </row>
    <row r="1037" spans="1:8">
      <c r="A1037">
        <v>5317</v>
      </c>
      <c r="C1037">
        <v>0</v>
      </c>
      <c r="D1037">
        <v>1</v>
      </c>
      <c r="E1037">
        <v>0</v>
      </c>
      <c r="F1037">
        <v>1</v>
      </c>
      <c r="G1037">
        <v>0</v>
      </c>
      <c r="H1037">
        <f t="shared" si="16"/>
        <v>2</v>
      </c>
    </row>
    <row r="1038" spans="1:8">
      <c r="A1038">
        <v>5321</v>
      </c>
      <c r="C1038">
        <v>0</v>
      </c>
      <c r="D1038">
        <v>1</v>
      </c>
      <c r="E1038">
        <v>0</v>
      </c>
      <c r="F1038">
        <v>1</v>
      </c>
      <c r="G1038">
        <v>0</v>
      </c>
      <c r="H1038">
        <f t="shared" si="16"/>
        <v>2</v>
      </c>
    </row>
    <row r="1039" spans="1:8">
      <c r="A1039">
        <v>5324</v>
      </c>
      <c r="C1039">
        <v>0</v>
      </c>
      <c r="D1039">
        <v>1</v>
      </c>
      <c r="E1039">
        <v>0</v>
      </c>
      <c r="F1039">
        <v>0</v>
      </c>
      <c r="G1039">
        <v>0</v>
      </c>
      <c r="H1039">
        <f t="shared" si="16"/>
        <v>1</v>
      </c>
    </row>
    <row r="1040" spans="1:8">
      <c r="A1040">
        <v>5328</v>
      </c>
      <c r="C1040">
        <v>1</v>
      </c>
      <c r="D1040">
        <v>1</v>
      </c>
      <c r="E1040">
        <v>0</v>
      </c>
      <c r="F1040">
        <v>1</v>
      </c>
      <c r="G1040">
        <v>0</v>
      </c>
      <c r="H1040">
        <f t="shared" si="16"/>
        <v>3</v>
      </c>
    </row>
    <row r="1041" spans="1:8">
      <c r="A1041">
        <v>5340</v>
      </c>
      <c r="C1041">
        <v>0</v>
      </c>
      <c r="D1041">
        <v>1</v>
      </c>
      <c r="E1041">
        <v>0</v>
      </c>
      <c r="F1041">
        <v>0</v>
      </c>
      <c r="G1041">
        <v>0</v>
      </c>
      <c r="H1041">
        <f t="shared" si="16"/>
        <v>1</v>
      </c>
    </row>
    <row r="1042" spans="1:8">
      <c r="A1042">
        <v>5344</v>
      </c>
      <c r="C1042">
        <v>0</v>
      </c>
      <c r="D1042">
        <v>1</v>
      </c>
      <c r="E1042">
        <v>2</v>
      </c>
      <c r="F1042">
        <v>1</v>
      </c>
      <c r="G1042">
        <v>0</v>
      </c>
      <c r="H1042">
        <f t="shared" si="16"/>
        <v>4</v>
      </c>
    </row>
    <row r="1043" spans="1:8">
      <c r="A1043">
        <v>5345</v>
      </c>
      <c r="C1043">
        <v>0</v>
      </c>
      <c r="D1043">
        <v>1</v>
      </c>
      <c r="E1043">
        <v>1</v>
      </c>
      <c r="F1043">
        <v>1</v>
      </c>
      <c r="G1043">
        <v>0</v>
      </c>
      <c r="H1043">
        <f t="shared" si="16"/>
        <v>3</v>
      </c>
    </row>
    <row r="1044" spans="1:8">
      <c r="A1044">
        <v>5347</v>
      </c>
      <c r="C1044">
        <v>0</v>
      </c>
      <c r="D1044">
        <v>0</v>
      </c>
      <c r="E1044">
        <v>0</v>
      </c>
      <c r="F1044">
        <v>1</v>
      </c>
      <c r="G1044">
        <v>0</v>
      </c>
      <c r="H1044">
        <f t="shared" si="16"/>
        <v>1</v>
      </c>
    </row>
    <row r="1045" spans="1:8">
      <c r="A1045">
        <v>5348</v>
      </c>
      <c r="C1045">
        <v>1</v>
      </c>
      <c r="D1045">
        <v>1</v>
      </c>
      <c r="E1045">
        <v>2</v>
      </c>
      <c r="F1045">
        <v>1</v>
      </c>
      <c r="G1045">
        <v>0</v>
      </c>
      <c r="H1045">
        <f t="shared" si="16"/>
        <v>5</v>
      </c>
    </row>
    <row r="1046" spans="1:8">
      <c r="A1046">
        <v>5349</v>
      </c>
      <c r="C1046">
        <v>0</v>
      </c>
      <c r="D1046">
        <v>0</v>
      </c>
      <c r="E1046">
        <v>0</v>
      </c>
      <c r="F1046">
        <v>1</v>
      </c>
      <c r="G1046">
        <v>0</v>
      </c>
      <c r="H1046">
        <f t="shared" si="16"/>
        <v>1</v>
      </c>
    </row>
    <row r="1047" spans="1:8">
      <c r="A1047">
        <v>5351</v>
      </c>
      <c r="C1047">
        <v>0</v>
      </c>
      <c r="D1047">
        <v>0</v>
      </c>
      <c r="E1047">
        <v>0</v>
      </c>
      <c r="F1047">
        <v>0</v>
      </c>
      <c r="G1047">
        <v>0</v>
      </c>
      <c r="H1047">
        <f t="shared" si="16"/>
        <v>0</v>
      </c>
    </row>
    <row r="1048" spans="1:8">
      <c r="A1048">
        <v>5353</v>
      </c>
      <c r="C1048">
        <v>1</v>
      </c>
      <c r="D1048">
        <v>1</v>
      </c>
      <c r="E1048">
        <v>1</v>
      </c>
      <c r="F1048">
        <v>1</v>
      </c>
      <c r="G1048">
        <v>0</v>
      </c>
      <c r="H1048">
        <f t="shared" si="16"/>
        <v>4</v>
      </c>
    </row>
    <row r="1049" spans="1:8">
      <c r="A1049">
        <v>5355</v>
      </c>
      <c r="C1049">
        <v>0</v>
      </c>
      <c r="D1049">
        <v>1</v>
      </c>
      <c r="E1049">
        <v>0</v>
      </c>
      <c r="F1049">
        <v>1</v>
      </c>
      <c r="G1049">
        <v>0</v>
      </c>
      <c r="H1049">
        <f t="shared" si="16"/>
        <v>2</v>
      </c>
    </row>
    <row r="1050" spans="1:8">
      <c r="A1050">
        <v>5356</v>
      </c>
      <c r="C1050">
        <v>0</v>
      </c>
      <c r="D1050">
        <v>1</v>
      </c>
      <c r="E1050">
        <v>0</v>
      </c>
      <c r="F1050">
        <v>0</v>
      </c>
      <c r="G1050">
        <v>0</v>
      </c>
      <c r="H1050">
        <f t="shared" si="16"/>
        <v>1</v>
      </c>
    </row>
    <row r="1051" spans="1:8">
      <c r="A1051">
        <v>5364</v>
      </c>
      <c r="C1051">
        <v>0</v>
      </c>
      <c r="D1051">
        <v>1</v>
      </c>
      <c r="E1051">
        <v>2</v>
      </c>
      <c r="F1051">
        <v>0</v>
      </c>
      <c r="G1051">
        <v>0</v>
      </c>
      <c r="H1051">
        <f t="shared" si="16"/>
        <v>3</v>
      </c>
    </row>
    <row r="1052" spans="1:8">
      <c r="A1052">
        <v>5371</v>
      </c>
      <c r="C1052">
        <v>0</v>
      </c>
      <c r="D1052">
        <v>1</v>
      </c>
      <c r="E1052">
        <v>0</v>
      </c>
      <c r="F1052">
        <v>0</v>
      </c>
      <c r="G1052">
        <v>0</v>
      </c>
      <c r="H1052">
        <f t="shared" si="16"/>
        <v>1</v>
      </c>
    </row>
    <row r="1053" spans="1:8">
      <c r="A1053">
        <v>5381</v>
      </c>
      <c r="C1053">
        <v>0</v>
      </c>
      <c r="D1053">
        <v>1</v>
      </c>
      <c r="E1053">
        <v>0</v>
      </c>
      <c r="F1053">
        <v>0</v>
      </c>
      <c r="G1053">
        <v>0</v>
      </c>
      <c r="H1053">
        <f t="shared" si="16"/>
        <v>1</v>
      </c>
    </row>
    <row r="1054" spans="1:8">
      <c r="A1054">
        <v>5383</v>
      </c>
      <c r="C1054">
        <v>0</v>
      </c>
      <c r="D1054">
        <v>0</v>
      </c>
      <c r="E1054">
        <v>0</v>
      </c>
      <c r="F1054">
        <v>0</v>
      </c>
      <c r="G1054">
        <v>0</v>
      </c>
      <c r="H1054">
        <f t="shared" si="16"/>
        <v>0</v>
      </c>
    </row>
    <row r="1055" spans="1:8">
      <c r="A1055">
        <v>5384</v>
      </c>
      <c r="C1055">
        <v>0</v>
      </c>
      <c r="D1055">
        <v>0</v>
      </c>
      <c r="E1055">
        <v>0</v>
      </c>
      <c r="F1055">
        <v>0</v>
      </c>
      <c r="G1055">
        <v>0</v>
      </c>
      <c r="H1055">
        <f t="shared" si="16"/>
        <v>0</v>
      </c>
    </row>
    <row r="1056" spans="1:8">
      <c r="A1056">
        <v>5386</v>
      </c>
      <c r="C1056">
        <v>0</v>
      </c>
      <c r="D1056">
        <v>1</v>
      </c>
      <c r="E1056">
        <v>0</v>
      </c>
      <c r="F1056">
        <v>1</v>
      </c>
      <c r="G1056">
        <v>0</v>
      </c>
      <c r="H1056">
        <f t="shared" si="16"/>
        <v>2</v>
      </c>
    </row>
    <row r="1057" spans="1:8">
      <c r="A1057">
        <v>5388</v>
      </c>
      <c r="C1057">
        <v>1</v>
      </c>
      <c r="D1057">
        <v>1</v>
      </c>
      <c r="E1057">
        <v>1</v>
      </c>
      <c r="F1057">
        <v>1</v>
      </c>
      <c r="G1057">
        <v>1</v>
      </c>
      <c r="H1057">
        <f t="shared" si="16"/>
        <v>5</v>
      </c>
    </row>
    <row r="1058" spans="1:8">
      <c r="A1058">
        <v>5392</v>
      </c>
      <c r="C1058">
        <v>0</v>
      </c>
      <c r="D1058">
        <v>0</v>
      </c>
      <c r="E1058">
        <v>0</v>
      </c>
      <c r="F1058">
        <v>1</v>
      </c>
      <c r="G1058">
        <v>1</v>
      </c>
      <c r="H1058">
        <f t="shared" si="16"/>
        <v>2</v>
      </c>
    </row>
    <row r="1059" spans="1:8">
      <c r="A1059">
        <v>5395</v>
      </c>
      <c r="C1059">
        <v>0</v>
      </c>
      <c r="D1059">
        <v>1</v>
      </c>
      <c r="E1059">
        <v>0</v>
      </c>
      <c r="F1059">
        <v>1</v>
      </c>
      <c r="G1059">
        <v>0</v>
      </c>
      <c r="H1059">
        <f t="shared" si="16"/>
        <v>2</v>
      </c>
    </row>
    <row r="1060" spans="1:8">
      <c r="A1060">
        <v>5398</v>
      </c>
      <c r="C1060">
        <v>0</v>
      </c>
      <c r="D1060">
        <v>1</v>
      </c>
      <c r="E1060">
        <v>0</v>
      </c>
      <c r="F1060">
        <v>1</v>
      </c>
      <c r="G1060">
        <v>0</v>
      </c>
      <c r="H1060">
        <f t="shared" si="16"/>
        <v>2</v>
      </c>
    </row>
    <row r="1061" spans="1:8">
      <c r="A1061">
        <v>5403</v>
      </c>
      <c r="C1061">
        <v>0</v>
      </c>
      <c r="D1061">
        <v>0</v>
      </c>
      <c r="E1061">
        <v>0</v>
      </c>
      <c r="F1061">
        <v>1</v>
      </c>
      <c r="G1061">
        <v>0</v>
      </c>
      <c r="H1061">
        <f t="shared" si="16"/>
        <v>1</v>
      </c>
    </row>
    <row r="1062" spans="1:8">
      <c r="A1062">
        <v>5410</v>
      </c>
      <c r="C1062">
        <v>0</v>
      </c>
      <c r="D1062">
        <v>1</v>
      </c>
      <c r="E1062">
        <v>0</v>
      </c>
      <c r="F1062">
        <v>0</v>
      </c>
      <c r="G1062">
        <v>0</v>
      </c>
      <c r="H1062">
        <f t="shared" si="16"/>
        <v>1</v>
      </c>
    </row>
    <row r="1063" spans="1:8">
      <c r="A1063">
        <v>5425</v>
      </c>
      <c r="C1063">
        <v>1</v>
      </c>
      <c r="D1063">
        <v>1</v>
      </c>
      <c r="E1063">
        <v>0</v>
      </c>
      <c r="F1063">
        <v>1</v>
      </c>
      <c r="G1063">
        <v>0</v>
      </c>
      <c r="H1063">
        <f t="shared" si="16"/>
        <v>3</v>
      </c>
    </row>
    <row r="1064" spans="1:8">
      <c r="A1064">
        <v>5426</v>
      </c>
      <c r="C1064">
        <v>0</v>
      </c>
      <c r="D1064">
        <v>1</v>
      </c>
      <c r="E1064">
        <v>0</v>
      </c>
      <c r="F1064">
        <v>1</v>
      </c>
      <c r="G1064">
        <v>0</v>
      </c>
      <c r="H1064">
        <f t="shared" si="16"/>
        <v>2</v>
      </c>
    </row>
    <row r="1065" spans="1:8">
      <c r="A1065">
        <v>5432</v>
      </c>
      <c r="C1065">
        <v>1</v>
      </c>
      <c r="D1065">
        <v>1</v>
      </c>
      <c r="E1065">
        <v>0</v>
      </c>
      <c r="F1065">
        <v>1</v>
      </c>
      <c r="G1065">
        <v>0</v>
      </c>
      <c r="H1065">
        <f t="shared" si="16"/>
        <v>3</v>
      </c>
    </row>
    <row r="1066" spans="1:8">
      <c r="A1066">
        <v>5434</v>
      </c>
      <c r="C1066">
        <v>1</v>
      </c>
      <c r="D1066">
        <v>1</v>
      </c>
      <c r="E1066">
        <v>0</v>
      </c>
      <c r="F1066">
        <v>1</v>
      </c>
      <c r="G1066">
        <v>0</v>
      </c>
      <c r="H1066">
        <f t="shared" si="16"/>
        <v>3</v>
      </c>
    </row>
    <row r="1067" spans="1:8">
      <c r="A1067">
        <v>5438</v>
      </c>
      <c r="C1067">
        <v>1</v>
      </c>
      <c r="D1067">
        <v>1</v>
      </c>
      <c r="E1067">
        <v>1</v>
      </c>
      <c r="F1067">
        <v>1</v>
      </c>
      <c r="G1067">
        <v>0</v>
      </c>
      <c r="H1067">
        <f t="shared" si="16"/>
        <v>4</v>
      </c>
    </row>
    <row r="1068" spans="1:8">
      <c r="A1068">
        <v>5439</v>
      </c>
      <c r="C1068">
        <v>1</v>
      </c>
      <c r="D1068">
        <v>1</v>
      </c>
      <c r="E1068">
        <v>0</v>
      </c>
      <c r="F1068">
        <v>1</v>
      </c>
      <c r="G1068">
        <v>0</v>
      </c>
      <c r="H1068">
        <f t="shared" si="16"/>
        <v>3</v>
      </c>
    </row>
    <row r="1069" spans="1:8">
      <c r="A1069">
        <v>5443</v>
      </c>
      <c r="C1069">
        <v>1</v>
      </c>
      <c r="D1069">
        <v>1</v>
      </c>
      <c r="E1069">
        <v>0</v>
      </c>
      <c r="F1069">
        <v>1</v>
      </c>
      <c r="G1069">
        <v>1</v>
      </c>
      <c r="H1069">
        <f t="shared" si="16"/>
        <v>4</v>
      </c>
    </row>
    <row r="1070" spans="1:8">
      <c r="A1070">
        <v>5450</v>
      </c>
      <c r="C1070">
        <v>1</v>
      </c>
      <c r="D1070">
        <v>1</v>
      </c>
      <c r="E1070">
        <v>1</v>
      </c>
      <c r="F1070">
        <v>0</v>
      </c>
      <c r="G1070">
        <v>0</v>
      </c>
      <c r="H1070">
        <f t="shared" si="16"/>
        <v>3</v>
      </c>
    </row>
    <row r="1071" spans="1:8">
      <c r="A1071">
        <v>5452</v>
      </c>
      <c r="C1071">
        <v>0</v>
      </c>
      <c r="D1071">
        <v>1</v>
      </c>
      <c r="E1071">
        <v>0</v>
      </c>
      <c r="F1071">
        <v>0</v>
      </c>
      <c r="G1071">
        <v>0</v>
      </c>
      <c r="H1071">
        <f t="shared" si="16"/>
        <v>1</v>
      </c>
    </row>
    <row r="1072" spans="1:8">
      <c r="A1072">
        <v>5455</v>
      </c>
      <c r="C1072">
        <v>0</v>
      </c>
      <c r="D1072">
        <v>0</v>
      </c>
      <c r="E1072">
        <v>0</v>
      </c>
      <c r="F1072">
        <v>0</v>
      </c>
      <c r="G1072">
        <v>0</v>
      </c>
      <c r="H1072">
        <f t="shared" si="16"/>
        <v>0</v>
      </c>
    </row>
    <row r="1073" spans="1:8">
      <c r="A1073">
        <v>5457</v>
      </c>
      <c r="C1073">
        <v>0</v>
      </c>
      <c r="D1073">
        <v>0</v>
      </c>
      <c r="E1073">
        <v>0</v>
      </c>
      <c r="F1073">
        <v>0</v>
      </c>
      <c r="G1073">
        <v>0</v>
      </c>
      <c r="H1073">
        <f t="shared" si="16"/>
        <v>0</v>
      </c>
    </row>
    <row r="1074" spans="1:8">
      <c r="A1074">
        <v>5460</v>
      </c>
      <c r="C1074">
        <v>0</v>
      </c>
      <c r="D1074">
        <v>0</v>
      </c>
      <c r="E1074">
        <v>0</v>
      </c>
      <c r="F1074">
        <v>1</v>
      </c>
      <c r="G1074">
        <v>0</v>
      </c>
      <c r="H1074">
        <f t="shared" si="16"/>
        <v>1</v>
      </c>
    </row>
    <row r="1075" spans="1:8">
      <c r="A1075">
        <v>5464</v>
      </c>
      <c r="C1075">
        <v>0</v>
      </c>
      <c r="D1075">
        <v>1</v>
      </c>
      <c r="E1075">
        <v>0</v>
      </c>
      <c r="F1075">
        <v>1</v>
      </c>
      <c r="G1075">
        <v>0</v>
      </c>
      <c r="H1075">
        <f t="shared" si="16"/>
        <v>2</v>
      </c>
    </row>
    <row r="1076" spans="1:8">
      <c r="A1076">
        <v>5465</v>
      </c>
      <c r="C1076">
        <v>0</v>
      </c>
      <c r="D1076">
        <v>0</v>
      </c>
      <c r="E1076">
        <v>1</v>
      </c>
      <c r="F1076">
        <v>1</v>
      </c>
      <c r="G1076">
        <v>0</v>
      </c>
      <c r="H1076">
        <f t="shared" si="16"/>
        <v>2</v>
      </c>
    </row>
    <row r="1077" spans="1:8">
      <c r="A1077">
        <v>5468</v>
      </c>
      <c r="C1077">
        <v>0</v>
      </c>
      <c r="D1077">
        <v>1</v>
      </c>
      <c r="E1077">
        <v>0</v>
      </c>
      <c r="F1077">
        <v>0</v>
      </c>
      <c r="G1077">
        <v>1</v>
      </c>
      <c r="H1077">
        <f t="shared" si="16"/>
        <v>2</v>
      </c>
    </row>
    <row r="1078" spans="1:8">
      <c r="A1078">
        <v>5469</v>
      </c>
      <c r="C1078">
        <v>0</v>
      </c>
      <c r="D1078">
        <v>1</v>
      </c>
      <c r="E1078">
        <v>0</v>
      </c>
      <c r="F1078">
        <v>0</v>
      </c>
      <c r="G1078">
        <v>0</v>
      </c>
      <c r="H1078">
        <f t="shared" si="16"/>
        <v>1</v>
      </c>
    </row>
    <row r="1079" spans="1:8">
      <c r="A1079">
        <v>5471</v>
      </c>
      <c r="C1079">
        <v>0</v>
      </c>
      <c r="D1079">
        <v>0</v>
      </c>
      <c r="E1079">
        <v>0</v>
      </c>
      <c r="F1079">
        <v>1</v>
      </c>
      <c r="G1079">
        <v>0</v>
      </c>
      <c r="H1079">
        <f t="shared" si="16"/>
        <v>1</v>
      </c>
    </row>
    <row r="1080" spans="1:8">
      <c r="A1080">
        <v>5474</v>
      </c>
      <c r="C1080">
        <v>1</v>
      </c>
      <c r="D1080">
        <v>1</v>
      </c>
      <c r="E1080">
        <v>1</v>
      </c>
      <c r="F1080">
        <v>1</v>
      </c>
      <c r="G1080">
        <v>0</v>
      </c>
      <c r="H1080">
        <f t="shared" si="16"/>
        <v>4</v>
      </c>
    </row>
    <row r="1081" spans="1:8">
      <c r="A1081">
        <v>5475</v>
      </c>
      <c r="C1081">
        <v>0</v>
      </c>
      <c r="D1081">
        <v>1</v>
      </c>
      <c r="E1081">
        <v>0</v>
      </c>
      <c r="F1081">
        <v>0</v>
      </c>
      <c r="G1081">
        <v>0</v>
      </c>
      <c r="H1081">
        <f t="shared" si="16"/>
        <v>1</v>
      </c>
    </row>
    <row r="1082" spans="1:8">
      <c r="A1082">
        <v>5478</v>
      </c>
      <c r="C1082">
        <v>0</v>
      </c>
      <c r="D1082">
        <v>1</v>
      </c>
      <c r="E1082">
        <v>2</v>
      </c>
      <c r="F1082">
        <v>0</v>
      </c>
      <c r="G1082">
        <v>0</v>
      </c>
      <c r="H1082">
        <f t="shared" si="16"/>
        <v>3</v>
      </c>
    </row>
    <row r="1083" spans="1:8">
      <c r="A1083">
        <v>5480</v>
      </c>
      <c r="C1083">
        <v>0</v>
      </c>
      <c r="D1083">
        <v>0</v>
      </c>
      <c r="E1083">
        <v>2</v>
      </c>
      <c r="F1083">
        <v>1</v>
      </c>
      <c r="G1083">
        <v>0</v>
      </c>
      <c r="H1083">
        <f t="shared" si="16"/>
        <v>3</v>
      </c>
    </row>
    <row r="1084" spans="1:8">
      <c r="A1084">
        <v>5481</v>
      </c>
      <c r="C1084">
        <v>0</v>
      </c>
      <c r="D1084">
        <v>0</v>
      </c>
      <c r="E1084">
        <v>0</v>
      </c>
      <c r="F1084">
        <v>1</v>
      </c>
      <c r="G1084">
        <v>0</v>
      </c>
      <c r="H1084">
        <f t="shared" si="16"/>
        <v>1</v>
      </c>
    </row>
    <row r="1085" spans="1:8">
      <c r="A1085">
        <v>5483</v>
      </c>
      <c r="C1085">
        <v>0</v>
      </c>
      <c r="D1085">
        <v>1</v>
      </c>
      <c r="E1085">
        <v>0</v>
      </c>
      <c r="F1085">
        <v>1</v>
      </c>
      <c r="G1085">
        <v>1</v>
      </c>
      <c r="H1085">
        <f t="shared" si="16"/>
        <v>3</v>
      </c>
    </row>
    <row r="1086" spans="1:8">
      <c r="A1086">
        <v>5484</v>
      </c>
      <c r="C1086">
        <v>0</v>
      </c>
      <c r="D1086">
        <v>1</v>
      </c>
      <c r="E1086">
        <v>2</v>
      </c>
      <c r="F1086">
        <v>1</v>
      </c>
      <c r="G1086">
        <v>0</v>
      </c>
      <c r="H1086">
        <f t="shared" si="16"/>
        <v>4</v>
      </c>
    </row>
    <row r="1087" spans="1:8">
      <c r="A1087">
        <v>5487</v>
      </c>
      <c r="C1087">
        <v>0</v>
      </c>
      <c r="D1087">
        <v>1</v>
      </c>
      <c r="E1087">
        <v>0</v>
      </c>
      <c r="F1087">
        <v>1</v>
      </c>
      <c r="G1087">
        <v>0</v>
      </c>
      <c r="H1087">
        <f t="shared" si="16"/>
        <v>2</v>
      </c>
    </row>
    <row r="1088" spans="1:8">
      <c r="A1088">
        <v>5488</v>
      </c>
      <c r="C1088">
        <v>0</v>
      </c>
      <c r="D1088">
        <v>0</v>
      </c>
      <c r="E1088">
        <v>1</v>
      </c>
      <c r="F1088">
        <v>1</v>
      </c>
      <c r="G1088">
        <v>0</v>
      </c>
      <c r="H1088">
        <f t="shared" si="16"/>
        <v>2</v>
      </c>
    </row>
    <row r="1089" spans="1:8">
      <c r="A1089">
        <v>5489</v>
      </c>
      <c r="C1089">
        <v>0</v>
      </c>
      <c r="D1089">
        <v>1</v>
      </c>
      <c r="E1089">
        <v>0</v>
      </c>
      <c r="F1089">
        <v>1</v>
      </c>
      <c r="G1089">
        <v>0</v>
      </c>
      <c r="H1089">
        <f t="shared" si="16"/>
        <v>2</v>
      </c>
    </row>
    <row r="1090" spans="1:8">
      <c r="A1090">
        <v>5490</v>
      </c>
      <c r="C1090">
        <v>0</v>
      </c>
      <c r="D1090">
        <v>1</v>
      </c>
      <c r="E1090">
        <v>0</v>
      </c>
      <c r="F1090">
        <v>1</v>
      </c>
      <c r="G1090">
        <v>1</v>
      </c>
      <c r="H1090">
        <f t="shared" si="16"/>
        <v>3</v>
      </c>
    </row>
    <row r="1091" spans="1:8">
      <c r="A1091">
        <v>5491</v>
      </c>
      <c r="C1091">
        <v>0</v>
      </c>
      <c r="D1091">
        <v>1</v>
      </c>
      <c r="E1091">
        <v>0</v>
      </c>
      <c r="F1091">
        <v>1</v>
      </c>
      <c r="G1091">
        <v>0</v>
      </c>
      <c r="H1091">
        <f t="shared" ref="H1091:H1154" si="17">SUM(C1091:G1091)</f>
        <v>2</v>
      </c>
    </row>
    <row r="1092" spans="1:8">
      <c r="A1092">
        <v>5493</v>
      </c>
      <c r="C1092">
        <v>0</v>
      </c>
      <c r="D1092">
        <v>1</v>
      </c>
      <c r="E1092">
        <v>1</v>
      </c>
      <c r="F1092">
        <v>0</v>
      </c>
      <c r="G1092">
        <v>0</v>
      </c>
      <c r="H1092">
        <f t="shared" si="17"/>
        <v>2</v>
      </c>
    </row>
    <row r="1093" spans="1:8">
      <c r="A1093">
        <v>5498</v>
      </c>
      <c r="C1093">
        <v>0</v>
      </c>
      <c r="D1093">
        <v>0</v>
      </c>
      <c r="E1093">
        <v>0</v>
      </c>
      <c r="F1093">
        <v>1</v>
      </c>
      <c r="G1093">
        <v>0</v>
      </c>
      <c r="H1093">
        <f t="shared" si="17"/>
        <v>1</v>
      </c>
    </row>
    <row r="1094" spans="1:8">
      <c r="A1094">
        <v>5506</v>
      </c>
      <c r="C1094">
        <v>0</v>
      </c>
      <c r="D1094">
        <v>0</v>
      </c>
      <c r="E1094">
        <v>0</v>
      </c>
      <c r="F1094">
        <v>0</v>
      </c>
      <c r="G1094">
        <v>0</v>
      </c>
      <c r="H1094">
        <f t="shared" si="17"/>
        <v>0</v>
      </c>
    </row>
    <row r="1095" spans="1:8">
      <c r="A1095">
        <v>5508</v>
      </c>
      <c r="C1095">
        <v>0</v>
      </c>
      <c r="D1095">
        <v>0</v>
      </c>
      <c r="E1095">
        <v>1</v>
      </c>
      <c r="F1095">
        <v>0</v>
      </c>
      <c r="G1095">
        <v>0</v>
      </c>
      <c r="H1095">
        <f t="shared" si="17"/>
        <v>1</v>
      </c>
    </row>
    <row r="1096" spans="1:8">
      <c r="A1096">
        <v>5511</v>
      </c>
      <c r="C1096">
        <v>0</v>
      </c>
      <c r="D1096">
        <v>0</v>
      </c>
      <c r="E1096">
        <v>0</v>
      </c>
      <c r="F1096">
        <v>0</v>
      </c>
      <c r="G1096">
        <v>0</v>
      </c>
      <c r="H1096">
        <f t="shared" si="17"/>
        <v>0</v>
      </c>
    </row>
    <row r="1097" spans="1:8">
      <c r="A1097">
        <v>5512</v>
      </c>
      <c r="C1097">
        <v>0</v>
      </c>
      <c r="D1097">
        <v>0</v>
      </c>
      <c r="E1097">
        <v>0</v>
      </c>
      <c r="F1097">
        <v>0</v>
      </c>
      <c r="G1097">
        <v>0</v>
      </c>
      <c r="H1097">
        <f t="shared" si="17"/>
        <v>0</v>
      </c>
    </row>
    <row r="1098" spans="1:8">
      <c r="A1098">
        <v>5514</v>
      </c>
      <c r="C1098">
        <v>0</v>
      </c>
      <c r="D1098">
        <v>0</v>
      </c>
      <c r="E1098">
        <v>1</v>
      </c>
      <c r="F1098">
        <v>0</v>
      </c>
      <c r="G1098">
        <v>0</v>
      </c>
      <c r="H1098">
        <f t="shared" si="17"/>
        <v>1</v>
      </c>
    </row>
    <row r="1099" spans="1:8">
      <c r="A1099">
        <v>5515</v>
      </c>
      <c r="C1099">
        <v>0</v>
      </c>
      <c r="D1099">
        <v>0</v>
      </c>
      <c r="E1099">
        <v>0</v>
      </c>
      <c r="F1099">
        <v>1</v>
      </c>
      <c r="G1099">
        <v>0</v>
      </c>
      <c r="H1099">
        <f t="shared" si="17"/>
        <v>1</v>
      </c>
    </row>
    <row r="1100" spans="1:8">
      <c r="A1100">
        <v>5516</v>
      </c>
      <c r="C1100">
        <v>0</v>
      </c>
      <c r="D1100">
        <v>0</v>
      </c>
      <c r="E1100">
        <v>0</v>
      </c>
      <c r="F1100">
        <v>1</v>
      </c>
      <c r="G1100">
        <v>0</v>
      </c>
      <c r="H1100">
        <f t="shared" si="17"/>
        <v>1</v>
      </c>
    </row>
    <row r="1101" spans="1:8">
      <c r="A1101">
        <v>5519</v>
      </c>
      <c r="C1101">
        <v>0</v>
      </c>
      <c r="D1101">
        <v>1</v>
      </c>
      <c r="E1101">
        <v>0</v>
      </c>
      <c r="F1101">
        <v>1</v>
      </c>
      <c r="G1101">
        <v>0</v>
      </c>
      <c r="H1101">
        <f t="shared" si="17"/>
        <v>2</v>
      </c>
    </row>
    <row r="1102" spans="1:8">
      <c r="A1102">
        <v>5520</v>
      </c>
      <c r="C1102">
        <v>0</v>
      </c>
      <c r="D1102">
        <v>1</v>
      </c>
      <c r="E1102">
        <v>1</v>
      </c>
      <c r="F1102">
        <v>1</v>
      </c>
      <c r="G1102">
        <v>0</v>
      </c>
      <c r="H1102">
        <f t="shared" si="17"/>
        <v>3</v>
      </c>
    </row>
    <row r="1103" spans="1:8">
      <c r="A1103">
        <v>5521</v>
      </c>
      <c r="C1103">
        <v>0</v>
      </c>
      <c r="D1103">
        <v>0</v>
      </c>
      <c r="E1103">
        <v>0</v>
      </c>
      <c r="F1103">
        <v>0</v>
      </c>
      <c r="G1103">
        <v>0</v>
      </c>
      <c r="H1103">
        <f t="shared" si="17"/>
        <v>0</v>
      </c>
    </row>
    <row r="1104" spans="1:8">
      <c r="A1104">
        <v>5522</v>
      </c>
      <c r="C1104">
        <v>0</v>
      </c>
      <c r="D1104">
        <v>0</v>
      </c>
      <c r="E1104">
        <v>0</v>
      </c>
      <c r="F1104">
        <v>1</v>
      </c>
      <c r="G1104">
        <v>0</v>
      </c>
      <c r="H1104">
        <f t="shared" si="17"/>
        <v>1</v>
      </c>
    </row>
    <row r="1105" spans="1:8">
      <c r="A1105">
        <v>5523</v>
      </c>
      <c r="C1105">
        <v>0</v>
      </c>
      <c r="D1105">
        <v>0</v>
      </c>
      <c r="E1105">
        <v>0</v>
      </c>
      <c r="F1105">
        <v>0</v>
      </c>
      <c r="G1105">
        <v>0</v>
      </c>
      <c r="H1105">
        <f t="shared" si="17"/>
        <v>0</v>
      </c>
    </row>
    <row r="1106" spans="1:8">
      <c r="A1106">
        <v>5525</v>
      </c>
      <c r="C1106">
        <v>0</v>
      </c>
      <c r="D1106">
        <v>1</v>
      </c>
      <c r="E1106">
        <v>0</v>
      </c>
      <c r="F1106">
        <v>0</v>
      </c>
      <c r="G1106">
        <v>0</v>
      </c>
      <c r="H1106">
        <f t="shared" si="17"/>
        <v>1</v>
      </c>
    </row>
    <row r="1107" spans="1:8">
      <c r="A1107">
        <v>5529</v>
      </c>
      <c r="C1107">
        <v>0</v>
      </c>
      <c r="D1107">
        <v>0</v>
      </c>
      <c r="E1107">
        <v>0</v>
      </c>
      <c r="F1107">
        <v>0</v>
      </c>
      <c r="G1107">
        <v>0</v>
      </c>
      <c r="H1107">
        <f t="shared" si="17"/>
        <v>0</v>
      </c>
    </row>
    <row r="1108" spans="1:8">
      <c r="A1108">
        <v>5530</v>
      </c>
      <c r="C1108">
        <v>0</v>
      </c>
      <c r="D1108">
        <v>1</v>
      </c>
      <c r="E1108">
        <v>0</v>
      </c>
      <c r="F1108">
        <v>1</v>
      </c>
      <c r="G1108">
        <v>0</v>
      </c>
      <c r="H1108">
        <f t="shared" si="17"/>
        <v>2</v>
      </c>
    </row>
    <row r="1109" spans="1:8">
      <c r="A1109">
        <v>5531</v>
      </c>
      <c r="C1109">
        <v>0</v>
      </c>
      <c r="D1109">
        <v>1</v>
      </c>
      <c r="E1109">
        <v>0</v>
      </c>
      <c r="F1109">
        <v>0</v>
      </c>
      <c r="G1109">
        <v>0</v>
      </c>
      <c r="H1109">
        <f t="shared" si="17"/>
        <v>1</v>
      </c>
    </row>
    <row r="1110" spans="1:8">
      <c r="A1110">
        <v>5533</v>
      </c>
      <c r="C1110">
        <v>0</v>
      </c>
      <c r="D1110">
        <v>1</v>
      </c>
      <c r="E1110">
        <v>0</v>
      </c>
      <c r="F1110">
        <v>0</v>
      </c>
      <c r="G1110">
        <v>0</v>
      </c>
      <c r="H1110">
        <f t="shared" si="17"/>
        <v>1</v>
      </c>
    </row>
    <row r="1111" spans="1:8">
      <c r="A1111">
        <v>5534</v>
      </c>
      <c r="C1111">
        <v>0</v>
      </c>
      <c r="D1111">
        <v>1</v>
      </c>
      <c r="E1111">
        <v>0</v>
      </c>
      <c r="F1111">
        <v>1</v>
      </c>
      <c r="G1111">
        <v>0</v>
      </c>
      <c r="H1111">
        <f t="shared" si="17"/>
        <v>2</v>
      </c>
    </row>
    <row r="1112" spans="1:8">
      <c r="A1112">
        <v>5536</v>
      </c>
      <c r="C1112">
        <v>0</v>
      </c>
      <c r="D1112">
        <v>1</v>
      </c>
      <c r="E1112">
        <v>0</v>
      </c>
      <c r="F1112">
        <v>1</v>
      </c>
      <c r="G1112">
        <v>0</v>
      </c>
      <c r="H1112">
        <f t="shared" si="17"/>
        <v>2</v>
      </c>
    </row>
    <row r="1113" spans="1:8">
      <c r="A1113">
        <v>5538</v>
      </c>
      <c r="C1113">
        <v>0</v>
      </c>
      <c r="D1113">
        <v>0</v>
      </c>
      <c r="E1113">
        <v>0</v>
      </c>
      <c r="F1113">
        <v>1</v>
      </c>
      <c r="G1113">
        <v>0</v>
      </c>
      <c r="H1113">
        <f t="shared" si="17"/>
        <v>1</v>
      </c>
    </row>
    <row r="1114" spans="1:8">
      <c r="A1114">
        <v>5601</v>
      </c>
      <c r="C1114">
        <v>0</v>
      </c>
      <c r="D1114">
        <v>1</v>
      </c>
      <c r="E1114">
        <v>2</v>
      </c>
      <c r="F1114">
        <v>1</v>
      </c>
      <c r="G1114">
        <v>0</v>
      </c>
      <c r="H1114">
        <f t="shared" si="17"/>
        <v>4</v>
      </c>
    </row>
    <row r="1115" spans="1:8">
      <c r="A1115">
        <v>5603</v>
      </c>
      <c r="C1115">
        <v>0</v>
      </c>
      <c r="D1115">
        <v>1</v>
      </c>
      <c r="E1115">
        <v>0</v>
      </c>
      <c r="F1115">
        <v>1</v>
      </c>
      <c r="G1115">
        <v>0</v>
      </c>
      <c r="H1115">
        <f t="shared" si="17"/>
        <v>2</v>
      </c>
    </row>
    <row r="1116" spans="1:8">
      <c r="A1116">
        <v>5604</v>
      </c>
      <c r="C1116">
        <v>0</v>
      </c>
      <c r="D1116">
        <v>0</v>
      </c>
      <c r="E1116">
        <v>0</v>
      </c>
      <c r="F1116">
        <v>1</v>
      </c>
      <c r="G1116">
        <v>0</v>
      </c>
      <c r="H1116">
        <f t="shared" si="17"/>
        <v>1</v>
      </c>
    </row>
    <row r="1117" spans="1:8">
      <c r="A1117">
        <v>5607</v>
      </c>
      <c r="C1117">
        <v>1</v>
      </c>
      <c r="D1117">
        <v>1</v>
      </c>
      <c r="E1117">
        <v>1</v>
      </c>
      <c r="F1117">
        <v>1</v>
      </c>
      <c r="G1117">
        <v>0</v>
      </c>
      <c r="H1117">
        <f t="shared" si="17"/>
        <v>4</v>
      </c>
    </row>
    <row r="1118" spans="1:8">
      <c r="A1118">
        <v>5608</v>
      </c>
      <c r="C1118">
        <v>0</v>
      </c>
      <c r="D1118">
        <v>1</v>
      </c>
      <c r="E1118">
        <v>0</v>
      </c>
      <c r="F1118">
        <v>1</v>
      </c>
      <c r="G1118">
        <v>0</v>
      </c>
      <c r="H1118">
        <f t="shared" si="17"/>
        <v>2</v>
      </c>
    </row>
    <row r="1119" spans="1:8">
      <c r="A1119">
        <v>5609</v>
      </c>
      <c r="C1119">
        <v>0</v>
      </c>
      <c r="D1119">
        <v>0</v>
      </c>
      <c r="E1119">
        <v>1</v>
      </c>
      <c r="F1119">
        <v>0</v>
      </c>
      <c r="G1119">
        <v>0</v>
      </c>
      <c r="H1119">
        <f t="shared" si="17"/>
        <v>1</v>
      </c>
    </row>
    <row r="1120" spans="1:8">
      <c r="A1120">
        <v>5701</v>
      </c>
      <c r="C1120">
        <v>0</v>
      </c>
      <c r="D1120">
        <v>0</v>
      </c>
      <c r="E1120">
        <v>1</v>
      </c>
      <c r="F1120">
        <v>1</v>
      </c>
      <c r="G1120">
        <v>0</v>
      </c>
      <c r="H1120">
        <f t="shared" si="17"/>
        <v>2</v>
      </c>
    </row>
    <row r="1121" spans="1:8">
      <c r="A1121">
        <v>5703</v>
      </c>
      <c r="C1121">
        <v>0</v>
      </c>
      <c r="D1121">
        <v>1</v>
      </c>
      <c r="E1121">
        <v>0</v>
      </c>
      <c r="F1121">
        <v>0</v>
      </c>
      <c r="G1121">
        <v>0</v>
      </c>
      <c r="H1121">
        <f t="shared" si="17"/>
        <v>1</v>
      </c>
    </row>
    <row r="1122" spans="1:8">
      <c r="A1122">
        <v>5704</v>
      </c>
      <c r="C1122">
        <v>0</v>
      </c>
      <c r="D1122">
        <v>1</v>
      </c>
      <c r="E1122">
        <v>0</v>
      </c>
      <c r="F1122">
        <v>0</v>
      </c>
      <c r="G1122">
        <v>0</v>
      </c>
      <c r="H1122">
        <f t="shared" si="17"/>
        <v>1</v>
      </c>
    </row>
    <row r="1123" spans="1:8">
      <c r="A1123">
        <v>5706</v>
      </c>
      <c r="C1123">
        <v>1</v>
      </c>
      <c r="D1123">
        <v>1</v>
      </c>
      <c r="E1123">
        <v>2</v>
      </c>
      <c r="F1123">
        <v>0</v>
      </c>
      <c r="G1123">
        <v>0</v>
      </c>
      <c r="H1123">
        <f t="shared" si="17"/>
        <v>4</v>
      </c>
    </row>
    <row r="1124" spans="1:8">
      <c r="A1124">
        <v>5871</v>
      </c>
      <c r="C1124">
        <v>1</v>
      </c>
      <c r="D1124">
        <v>1</v>
      </c>
      <c r="E1124">
        <v>2</v>
      </c>
      <c r="F1124">
        <v>0</v>
      </c>
      <c r="G1124">
        <v>0</v>
      </c>
      <c r="H1124">
        <f t="shared" si="17"/>
        <v>4</v>
      </c>
    </row>
    <row r="1125" spans="1:8">
      <c r="A1125">
        <v>5878</v>
      </c>
      <c r="C1125">
        <v>0</v>
      </c>
      <c r="D1125">
        <v>1</v>
      </c>
      <c r="E1125">
        <v>0</v>
      </c>
      <c r="F1125">
        <v>0</v>
      </c>
      <c r="G1125">
        <v>0</v>
      </c>
      <c r="H1125">
        <f t="shared" si="17"/>
        <v>1</v>
      </c>
    </row>
    <row r="1126" spans="1:8">
      <c r="A1126">
        <v>5902</v>
      </c>
      <c r="C1126">
        <v>1</v>
      </c>
      <c r="D1126">
        <v>1</v>
      </c>
      <c r="E1126">
        <v>0</v>
      </c>
      <c r="F1126">
        <v>1</v>
      </c>
      <c r="G1126">
        <v>0</v>
      </c>
      <c r="H1126">
        <f t="shared" si="17"/>
        <v>3</v>
      </c>
    </row>
    <row r="1127" spans="1:8">
      <c r="A1127">
        <v>5903</v>
      </c>
      <c r="C1127">
        <v>1</v>
      </c>
      <c r="D1127">
        <v>1</v>
      </c>
      <c r="E1127">
        <v>0</v>
      </c>
      <c r="F1127">
        <v>0</v>
      </c>
      <c r="G1127">
        <v>0</v>
      </c>
      <c r="H1127">
        <f t="shared" si="17"/>
        <v>2</v>
      </c>
    </row>
    <row r="1128" spans="1:8">
      <c r="A1128">
        <v>5904</v>
      </c>
      <c r="C1128">
        <v>1</v>
      </c>
      <c r="D1128">
        <v>1</v>
      </c>
      <c r="E1128">
        <v>0</v>
      </c>
      <c r="F1128">
        <v>1</v>
      </c>
      <c r="G1128">
        <v>1</v>
      </c>
      <c r="H1128">
        <f t="shared" si="17"/>
        <v>4</v>
      </c>
    </row>
    <row r="1129" spans="1:8">
      <c r="A1129">
        <v>5905</v>
      </c>
      <c r="C1129">
        <v>0</v>
      </c>
      <c r="D1129">
        <v>1</v>
      </c>
      <c r="E1129">
        <v>0</v>
      </c>
      <c r="F1129">
        <v>1</v>
      </c>
      <c r="G1129">
        <v>0</v>
      </c>
      <c r="H1129">
        <f t="shared" si="17"/>
        <v>2</v>
      </c>
    </row>
    <row r="1130" spans="1:8">
      <c r="A1130">
        <v>5906</v>
      </c>
      <c r="C1130">
        <v>0</v>
      </c>
      <c r="D1130">
        <v>1</v>
      </c>
      <c r="E1130">
        <v>2</v>
      </c>
      <c r="F1130">
        <v>0</v>
      </c>
      <c r="G1130">
        <v>0</v>
      </c>
      <c r="H1130">
        <f t="shared" si="17"/>
        <v>3</v>
      </c>
    </row>
    <row r="1131" spans="1:8">
      <c r="A1131">
        <v>5907</v>
      </c>
      <c r="C1131">
        <v>0</v>
      </c>
      <c r="D1131">
        <v>0</v>
      </c>
      <c r="E1131">
        <v>0</v>
      </c>
      <c r="F1131">
        <v>0</v>
      </c>
      <c r="G1131">
        <v>0</v>
      </c>
      <c r="H1131">
        <f t="shared" si="17"/>
        <v>0</v>
      </c>
    </row>
    <row r="1132" spans="1:8">
      <c r="A1132">
        <v>6101</v>
      </c>
      <c r="C1132">
        <v>0</v>
      </c>
      <c r="D1132">
        <v>0</v>
      </c>
      <c r="E1132">
        <v>0</v>
      </c>
      <c r="F1132">
        <v>0</v>
      </c>
      <c r="G1132">
        <v>0</v>
      </c>
      <c r="H1132">
        <f t="shared" si="17"/>
        <v>0</v>
      </c>
    </row>
    <row r="1133" spans="1:8">
      <c r="A1133">
        <v>6103</v>
      </c>
      <c r="C1133">
        <v>0</v>
      </c>
      <c r="D1133">
        <v>1</v>
      </c>
      <c r="E1133">
        <v>2</v>
      </c>
      <c r="F1133">
        <v>0</v>
      </c>
      <c r="G1133">
        <v>1</v>
      </c>
      <c r="H1133">
        <f t="shared" si="17"/>
        <v>4</v>
      </c>
    </row>
    <row r="1134" spans="1:8">
      <c r="A1134">
        <v>6104</v>
      </c>
      <c r="C1134">
        <v>0</v>
      </c>
      <c r="D1134">
        <v>1</v>
      </c>
      <c r="E1134">
        <v>0</v>
      </c>
      <c r="F1134">
        <v>1</v>
      </c>
      <c r="G1134">
        <v>0</v>
      </c>
      <c r="H1134">
        <f t="shared" si="17"/>
        <v>2</v>
      </c>
    </row>
    <row r="1135" spans="1:8">
      <c r="A1135">
        <v>6105</v>
      </c>
      <c r="C1135">
        <v>0</v>
      </c>
      <c r="D1135">
        <v>1</v>
      </c>
      <c r="E1135">
        <v>0</v>
      </c>
      <c r="F1135">
        <v>1</v>
      </c>
      <c r="G1135">
        <v>0</v>
      </c>
      <c r="H1135">
        <f t="shared" si="17"/>
        <v>2</v>
      </c>
    </row>
    <row r="1136" spans="1:8">
      <c r="A1136">
        <v>6107</v>
      </c>
      <c r="C1136">
        <v>0</v>
      </c>
      <c r="D1136">
        <v>1</v>
      </c>
      <c r="E1136">
        <v>0</v>
      </c>
      <c r="F1136">
        <v>0</v>
      </c>
      <c r="G1136">
        <v>0</v>
      </c>
      <c r="H1136">
        <f t="shared" si="17"/>
        <v>1</v>
      </c>
    </row>
    <row r="1137" spans="1:8">
      <c r="A1137">
        <v>6108</v>
      </c>
      <c r="C1137">
        <v>0</v>
      </c>
      <c r="D1137">
        <v>0</v>
      </c>
      <c r="E1137">
        <v>1</v>
      </c>
      <c r="F1137">
        <v>0</v>
      </c>
      <c r="G1137">
        <v>0</v>
      </c>
      <c r="H1137">
        <f t="shared" si="17"/>
        <v>1</v>
      </c>
    </row>
    <row r="1138" spans="1:8">
      <c r="A1138">
        <v>6109</v>
      </c>
      <c r="C1138">
        <v>1</v>
      </c>
      <c r="D1138">
        <v>1</v>
      </c>
      <c r="E1138">
        <v>0</v>
      </c>
      <c r="F1138">
        <v>0</v>
      </c>
      <c r="G1138">
        <v>0</v>
      </c>
      <c r="H1138">
        <f t="shared" si="17"/>
        <v>2</v>
      </c>
    </row>
    <row r="1139" spans="1:8">
      <c r="A1139">
        <v>6111</v>
      </c>
      <c r="C1139">
        <v>1</v>
      </c>
      <c r="D1139">
        <v>1</v>
      </c>
      <c r="E1139">
        <v>1</v>
      </c>
      <c r="F1139">
        <v>0</v>
      </c>
      <c r="G1139">
        <v>1</v>
      </c>
      <c r="H1139">
        <f t="shared" si="17"/>
        <v>4</v>
      </c>
    </row>
    <row r="1140" spans="1:8">
      <c r="A1140">
        <v>6112</v>
      </c>
      <c r="C1140">
        <v>0</v>
      </c>
      <c r="D1140">
        <v>0</v>
      </c>
      <c r="E1140">
        <v>1</v>
      </c>
      <c r="F1140">
        <v>1</v>
      </c>
      <c r="G1140">
        <v>0</v>
      </c>
      <c r="H1140">
        <f t="shared" si="17"/>
        <v>2</v>
      </c>
    </row>
    <row r="1141" spans="1:8">
      <c r="A1141">
        <v>6113</v>
      </c>
      <c r="C1141">
        <v>0</v>
      </c>
      <c r="D1141">
        <v>1</v>
      </c>
      <c r="E1141">
        <v>1</v>
      </c>
      <c r="F1141">
        <v>0</v>
      </c>
      <c r="G1141">
        <v>0</v>
      </c>
      <c r="H1141">
        <f t="shared" si="17"/>
        <v>2</v>
      </c>
    </row>
    <row r="1142" spans="1:8">
      <c r="A1142">
        <v>6114</v>
      </c>
      <c r="C1142">
        <v>0</v>
      </c>
      <c r="D1142">
        <v>1</v>
      </c>
      <c r="E1142">
        <v>0</v>
      </c>
      <c r="F1142">
        <v>1</v>
      </c>
      <c r="G1142">
        <v>0</v>
      </c>
      <c r="H1142">
        <f t="shared" si="17"/>
        <v>2</v>
      </c>
    </row>
    <row r="1143" spans="1:8">
      <c r="A1143">
        <v>6115</v>
      </c>
      <c r="C1143">
        <v>1</v>
      </c>
      <c r="D1143">
        <v>1</v>
      </c>
      <c r="E1143">
        <v>2</v>
      </c>
      <c r="F1143">
        <v>1</v>
      </c>
      <c r="G1143">
        <v>0</v>
      </c>
      <c r="H1143">
        <f t="shared" si="17"/>
        <v>5</v>
      </c>
    </row>
    <row r="1144" spans="1:8">
      <c r="A1144">
        <v>6116</v>
      </c>
      <c r="C1144">
        <v>0</v>
      </c>
      <c r="D1144">
        <v>1</v>
      </c>
      <c r="E1144">
        <v>0</v>
      </c>
      <c r="F1144">
        <v>1</v>
      </c>
      <c r="G1144">
        <v>0</v>
      </c>
      <c r="H1144">
        <f t="shared" si="17"/>
        <v>2</v>
      </c>
    </row>
    <row r="1145" spans="1:8">
      <c r="A1145">
        <v>6117</v>
      </c>
      <c r="C1145">
        <v>0</v>
      </c>
      <c r="D1145">
        <v>1</v>
      </c>
      <c r="E1145">
        <v>1</v>
      </c>
      <c r="F1145">
        <v>1</v>
      </c>
      <c r="G1145">
        <v>0</v>
      </c>
      <c r="H1145">
        <f t="shared" si="17"/>
        <v>3</v>
      </c>
    </row>
    <row r="1146" spans="1:8">
      <c r="A1146">
        <v>6118</v>
      </c>
      <c r="C1146">
        <v>0</v>
      </c>
      <c r="D1146">
        <v>1</v>
      </c>
      <c r="E1146">
        <v>0</v>
      </c>
      <c r="F1146">
        <v>1</v>
      </c>
      <c r="G1146">
        <v>0</v>
      </c>
      <c r="H1146">
        <f t="shared" si="17"/>
        <v>2</v>
      </c>
    </row>
    <row r="1147" spans="1:8">
      <c r="A1147">
        <v>6120</v>
      </c>
      <c r="C1147">
        <v>0</v>
      </c>
      <c r="D1147">
        <v>0</v>
      </c>
      <c r="E1147">
        <v>0</v>
      </c>
      <c r="F1147">
        <v>0</v>
      </c>
      <c r="G1147">
        <v>0</v>
      </c>
      <c r="H1147">
        <f t="shared" si="17"/>
        <v>0</v>
      </c>
    </row>
    <row r="1148" spans="1:8">
      <c r="A1148">
        <v>6121</v>
      </c>
      <c r="C1148">
        <v>0</v>
      </c>
      <c r="D1148">
        <v>1</v>
      </c>
      <c r="E1148">
        <v>0</v>
      </c>
      <c r="F1148">
        <v>1</v>
      </c>
      <c r="G1148">
        <v>0</v>
      </c>
      <c r="H1148">
        <f t="shared" si="17"/>
        <v>2</v>
      </c>
    </row>
    <row r="1149" spans="1:8">
      <c r="A1149">
        <v>6122</v>
      </c>
      <c r="C1149">
        <v>0</v>
      </c>
      <c r="D1149">
        <v>0</v>
      </c>
      <c r="E1149">
        <v>1</v>
      </c>
      <c r="F1149">
        <v>0</v>
      </c>
      <c r="G1149">
        <v>0</v>
      </c>
      <c r="H1149">
        <f t="shared" si="17"/>
        <v>1</v>
      </c>
    </row>
    <row r="1150" spans="1:8">
      <c r="A1150">
        <v>6123</v>
      </c>
      <c r="C1150">
        <v>1</v>
      </c>
      <c r="D1150">
        <v>1</v>
      </c>
      <c r="E1150">
        <v>1</v>
      </c>
      <c r="F1150">
        <v>0</v>
      </c>
      <c r="G1150">
        <v>0</v>
      </c>
      <c r="H1150">
        <f t="shared" si="17"/>
        <v>3</v>
      </c>
    </row>
    <row r="1151" spans="1:8">
      <c r="A1151">
        <v>6124</v>
      </c>
      <c r="C1151">
        <v>0</v>
      </c>
      <c r="D1151">
        <v>1</v>
      </c>
      <c r="E1151">
        <v>2</v>
      </c>
      <c r="F1151">
        <v>0</v>
      </c>
      <c r="G1151">
        <v>0</v>
      </c>
      <c r="H1151">
        <f t="shared" si="17"/>
        <v>3</v>
      </c>
    </row>
    <row r="1152" spans="1:8">
      <c r="A1152">
        <v>6125</v>
      </c>
      <c r="C1152">
        <v>0</v>
      </c>
      <c r="D1152">
        <v>0</v>
      </c>
      <c r="E1152">
        <v>2</v>
      </c>
      <c r="F1152">
        <v>0</v>
      </c>
      <c r="G1152">
        <v>0</v>
      </c>
      <c r="H1152">
        <f t="shared" si="17"/>
        <v>2</v>
      </c>
    </row>
    <row r="1153" spans="1:8">
      <c r="A1153">
        <v>6126</v>
      </c>
      <c r="C1153">
        <v>0</v>
      </c>
      <c r="D1153">
        <v>1</v>
      </c>
      <c r="E1153">
        <v>2</v>
      </c>
      <c r="F1153">
        <v>1</v>
      </c>
      <c r="G1153">
        <v>0</v>
      </c>
      <c r="H1153">
        <f t="shared" si="17"/>
        <v>4</v>
      </c>
    </row>
    <row r="1154" spans="1:8">
      <c r="A1154">
        <v>6127</v>
      </c>
      <c r="C1154">
        <v>0</v>
      </c>
      <c r="D1154">
        <v>1</v>
      </c>
      <c r="E1154">
        <v>0</v>
      </c>
      <c r="F1154">
        <v>0</v>
      </c>
      <c r="G1154">
        <v>0</v>
      </c>
      <c r="H1154">
        <f t="shared" si="17"/>
        <v>1</v>
      </c>
    </row>
    <row r="1155" spans="1:8">
      <c r="A1155">
        <v>6128</v>
      </c>
      <c r="C1155">
        <v>1</v>
      </c>
      <c r="D1155">
        <v>1</v>
      </c>
      <c r="E1155">
        <v>0</v>
      </c>
      <c r="F1155">
        <v>1</v>
      </c>
      <c r="G1155">
        <v>0</v>
      </c>
      <c r="H1155">
        <f t="shared" ref="H1155:H1218" si="18">SUM(C1155:G1155)</f>
        <v>3</v>
      </c>
    </row>
    <row r="1156" spans="1:8">
      <c r="A1156">
        <v>6129</v>
      </c>
      <c r="C1156">
        <v>0</v>
      </c>
      <c r="D1156">
        <v>1</v>
      </c>
      <c r="E1156">
        <v>0</v>
      </c>
      <c r="F1156">
        <v>0</v>
      </c>
      <c r="G1156">
        <v>0</v>
      </c>
      <c r="H1156">
        <f t="shared" si="18"/>
        <v>1</v>
      </c>
    </row>
    <row r="1157" spans="1:8">
      <c r="A1157">
        <v>6130</v>
      </c>
      <c r="C1157">
        <v>0</v>
      </c>
      <c r="D1157">
        <v>0</v>
      </c>
      <c r="E1157">
        <v>2</v>
      </c>
      <c r="F1157">
        <v>0</v>
      </c>
      <c r="G1157">
        <v>0</v>
      </c>
      <c r="H1157">
        <f t="shared" si="18"/>
        <v>2</v>
      </c>
    </row>
    <row r="1158" spans="1:8">
      <c r="A1158">
        <v>6131</v>
      </c>
      <c r="C1158">
        <v>0</v>
      </c>
      <c r="D1158">
        <v>1</v>
      </c>
      <c r="E1158">
        <v>2</v>
      </c>
      <c r="F1158">
        <v>0</v>
      </c>
      <c r="G1158">
        <v>0</v>
      </c>
      <c r="H1158">
        <f t="shared" si="18"/>
        <v>3</v>
      </c>
    </row>
    <row r="1159" spans="1:8">
      <c r="A1159">
        <v>6133</v>
      </c>
      <c r="C1159">
        <v>1</v>
      </c>
      <c r="D1159">
        <v>1</v>
      </c>
      <c r="E1159">
        <v>0</v>
      </c>
      <c r="F1159">
        <v>1</v>
      </c>
      <c r="G1159">
        <v>0</v>
      </c>
      <c r="H1159">
        <f t="shared" si="18"/>
        <v>3</v>
      </c>
    </row>
    <row r="1160" spans="1:8">
      <c r="A1160">
        <v>6134</v>
      </c>
      <c r="C1160">
        <v>1</v>
      </c>
      <c r="D1160">
        <v>1</v>
      </c>
      <c r="E1160">
        <v>0</v>
      </c>
      <c r="F1160">
        <v>0</v>
      </c>
      <c r="G1160">
        <v>0</v>
      </c>
      <c r="H1160">
        <f t="shared" si="18"/>
        <v>2</v>
      </c>
    </row>
    <row r="1161" spans="1:8">
      <c r="A1161">
        <v>6136</v>
      </c>
      <c r="C1161">
        <v>0</v>
      </c>
      <c r="D1161">
        <v>1</v>
      </c>
      <c r="E1161">
        <v>1</v>
      </c>
      <c r="F1161">
        <v>1</v>
      </c>
      <c r="G1161">
        <v>1</v>
      </c>
      <c r="H1161">
        <f t="shared" si="18"/>
        <v>4</v>
      </c>
    </row>
    <row r="1162" spans="1:8">
      <c r="A1162">
        <v>6138</v>
      </c>
      <c r="C1162">
        <v>0</v>
      </c>
      <c r="D1162">
        <v>1</v>
      </c>
      <c r="E1162">
        <v>1</v>
      </c>
      <c r="F1162">
        <v>1</v>
      </c>
      <c r="G1162">
        <v>0</v>
      </c>
      <c r="H1162">
        <f t="shared" si="18"/>
        <v>3</v>
      </c>
    </row>
    <row r="1163" spans="1:8">
      <c r="A1163">
        <v>6139</v>
      </c>
      <c r="C1163">
        <v>0</v>
      </c>
      <c r="D1163">
        <v>1</v>
      </c>
      <c r="E1163">
        <v>1</v>
      </c>
      <c r="F1163">
        <v>0</v>
      </c>
      <c r="G1163">
        <v>0</v>
      </c>
      <c r="H1163">
        <f t="shared" si="18"/>
        <v>2</v>
      </c>
    </row>
    <row r="1164" spans="1:8">
      <c r="A1164">
        <v>6140</v>
      </c>
      <c r="C1164">
        <v>0</v>
      </c>
      <c r="D1164">
        <v>1</v>
      </c>
      <c r="E1164">
        <v>1</v>
      </c>
      <c r="F1164">
        <v>0</v>
      </c>
      <c r="G1164">
        <v>0</v>
      </c>
      <c r="H1164">
        <f t="shared" si="18"/>
        <v>2</v>
      </c>
    </row>
    <row r="1165" spans="1:8">
      <c r="A1165">
        <v>6141</v>
      </c>
      <c r="C1165">
        <v>0</v>
      </c>
      <c r="D1165">
        <v>0</v>
      </c>
      <c r="E1165">
        <v>1</v>
      </c>
      <c r="F1165">
        <v>0</v>
      </c>
      <c r="G1165">
        <v>0</v>
      </c>
      <c r="H1165">
        <f t="shared" si="18"/>
        <v>1</v>
      </c>
    </row>
    <row r="1166" spans="1:8">
      <c r="A1166">
        <v>6142</v>
      </c>
      <c r="C1166">
        <v>1</v>
      </c>
      <c r="D1166">
        <v>1</v>
      </c>
      <c r="E1166">
        <v>0</v>
      </c>
      <c r="F1166">
        <v>0</v>
      </c>
      <c r="G1166">
        <v>0</v>
      </c>
      <c r="H1166">
        <f t="shared" si="18"/>
        <v>2</v>
      </c>
    </row>
    <row r="1167" spans="1:8">
      <c r="A1167">
        <v>6143</v>
      </c>
      <c r="C1167">
        <v>1</v>
      </c>
      <c r="D1167">
        <v>1</v>
      </c>
      <c r="E1167">
        <v>2</v>
      </c>
      <c r="F1167">
        <v>1</v>
      </c>
      <c r="G1167">
        <v>0</v>
      </c>
      <c r="H1167">
        <f t="shared" si="18"/>
        <v>5</v>
      </c>
    </row>
    <row r="1168" spans="1:8">
      <c r="A1168">
        <v>6144</v>
      </c>
      <c r="C1168">
        <v>0</v>
      </c>
      <c r="D1168">
        <v>1</v>
      </c>
      <c r="E1168">
        <v>0</v>
      </c>
      <c r="F1168">
        <v>1</v>
      </c>
      <c r="G1168">
        <v>0</v>
      </c>
      <c r="H1168">
        <f t="shared" si="18"/>
        <v>2</v>
      </c>
    </row>
    <row r="1169" spans="1:8">
      <c r="A1169">
        <v>6145</v>
      </c>
      <c r="C1169">
        <v>0</v>
      </c>
      <c r="D1169">
        <v>1</v>
      </c>
      <c r="E1169">
        <v>0</v>
      </c>
      <c r="F1169">
        <v>1</v>
      </c>
      <c r="G1169">
        <v>0</v>
      </c>
      <c r="H1169">
        <f t="shared" si="18"/>
        <v>2</v>
      </c>
    </row>
    <row r="1170" spans="1:8">
      <c r="A1170">
        <v>6146</v>
      </c>
      <c r="C1170">
        <v>0</v>
      </c>
      <c r="D1170">
        <v>1</v>
      </c>
      <c r="E1170">
        <v>0</v>
      </c>
      <c r="F1170">
        <v>1</v>
      </c>
      <c r="G1170">
        <v>0</v>
      </c>
      <c r="H1170">
        <f t="shared" si="18"/>
        <v>2</v>
      </c>
    </row>
    <row r="1171" spans="1:8">
      <c r="A1171">
        <v>6147</v>
      </c>
      <c r="C1171">
        <v>0</v>
      </c>
      <c r="D1171">
        <v>1</v>
      </c>
      <c r="E1171">
        <v>2</v>
      </c>
      <c r="F1171">
        <v>1</v>
      </c>
      <c r="G1171">
        <v>0</v>
      </c>
      <c r="H1171">
        <f t="shared" si="18"/>
        <v>4</v>
      </c>
    </row>
    <row r="1172" spans="1:8">
      <c r="A1172">
        <v>6148</v>
      </c>
      <c r="C1172">
        <v>0</v>
      </c>
      <c r="D1172">
        <v>1</v>
      </c>
      <c r="E1172">
        <v>2</v>
      </c>
      <c r="F1172">
        <v>0</v>
      </c>
      <c r="G1172">
        <v>0</v>
      </c>
      <c r="H1172">
        <f t="shared" si="18"/>
        <v>3</v>
      </c>
    </row>
    <row r="1173" spans="1:8">
      <c r="A1173">
        <v>6150</v>
      </c>
      <c r="C1173">
        <v>0</v>
      </c>
      <c r="D1173">
        <v>1</v>
      </c>
      <c r="E1173">
        <v>0</v>
      </c>
      <c r="F1173">
        <v>1</v>
      </c>
      <c r="G1173">
        <v>0</v>
      </c>
      <c r="H1173">
        <f t="shared" si="18"/>
        <v>2</v>
      </c>
    </row>
    <row r="1174" spans="1:8">
      <c r="A1174">
        <v>6151</v>
      </c>
      <c r="C1174">
        <v>1</v>
      </c>
      <c r="D1174">
        <v>1</v>
      </c>
      <c r="E1174">
        <v>0</v>
      </c>
      <c r="F1174">
        <v>0</v>
      </c>
      <c r="G1174">
        <v>0</v>
      </c>
      <c r="H1174">
        <f t="shared" si="18"/>
        <v>2</v>
      </c>
    </row>
    <row r="1175" spans="1:8">
      <c r="A1175">
        <v>6152</v>
      </c>
      <c r="C1175">
        <v>0</v>
      </c>
      <c r="D1175">
        <v>1</v>
      </c>
      <c r="E1175">
        <v>1</v>
      </c>
      <c r="F1175">
        <v>1</v>
      </c>
      <c r="G1175">
        <v>0</v>
      </c>
      <c r="H1175">
        <f t="shared" si="18"/>
        <v>3</v>
      </c>
    </row>
    <row r="1176" spans="1:8">
      <c r="A1176">
        <v>6153</v>
      </c>
      <c r="C1176">
        <v>1</v>
      </c>
      <c r="D1176">
        <v>1</v>
      </c>
      <c r="E1176">
        <v>0</v>
      </c>
      <c r="F1176">
        <v>1</v>
      </c>
      <c r="G1176">
        <v>0</v>
      </c>
      <c r="H1176">
        <f t="shared" si="18"/>
        <v>3</v>
      </c>
    </row>
    <row r="1177" spans="1:8">
      <c r="A1177">
        <v>6154</v>
      </c>
      <c r="C1177">
        <v>0</v>
      </c>
      <c r="D1177">
        <v>1</v>
      </c>
      <c r="E1177">
        <v>0</v>
      </c>
      <c r="F1177">
        <v>1</v>
      </c>
      <c r="G1177">
        <v>0</v>
      </c>
      <c r="H1177">
        <f t="shared" si="18"/>
        <v>2</v>
      </c>
    </row>
    <row r="1178" spans="1:8">
      <c r="A1178">
        <v>6155</v>
      </c>
      <c r="C1178">
        <v>1</v>
      </c>
      <c r="D1178">
        <v>1</v>
      </c>
      <c r="E1178">
        <v>1</v>
      </c>
      <c r="F1178">
        <v>1</v>
      </c>
      <c r="G1178">
        <v>0</v>
      </c>
      <c r="H1178">
        <f t="shared" si="18"/>
        <v>4</v>
      </c>
    </row>
    <row r="1179" spans="1:8">
      <c r="A1179">
        <v>6156</v>
      </c>
      <c r="C1179">
        <v>1</v>
      </c>
      <c r="D1179">
        <v>1</v>
      </c>
      <c r="E1179">
        <v>0</v>
      </c>
      <c r="F1179">
        <v>0</v>
      </c>
      <c r="G1179">
        <v>0</v>
      </c>
      <c r="H1179">
        <f t="shared" si="18"/>
        <v>2</v>
      </c>
    </row>
    <row r="1180" spans="1:8">
      <c r="A1180">
        <v>6158</v>
      </c>
      <c r="C1180">
        <v>1</v>
      </c>
      <c r="D1180">
        <v>1</v>
      </c>
      <c r="E1180">
        <v>2</v>
      </c>
      <c r="F1180">
        <v>0</v>
      </c>
      <c r="G1180">
        <v>0</v>
      </c>
      <c r="H1180">
        <f t="shared" si="18"/>
        <v>4</v>
      </c>
    </row>
    <row r="1181" spans="1:8">
      <c r="A1181">
        <v>6160</v>
      </c>
      <c r="C1181">
        <v>0</v>
      </c>
      <c r="D1181">
        <v>1</v>
      </c>
      <c r="E1181">
        <v>1</v>
      </c>
      <c r="F1181">
        <v>1</v>
      </c>
      <c r="G1181">
        <v>0</v>
      </c>
      <c r="H1181">
        <f t="shared" si="18"/>
        <v>3</v>
      </c>
    </row>
    <row r="1182" spans="1:8">
      <c r="A1182">
        <v>6161</v>
      </c>
      <c r="C1182">
        <v>0</v>
      </c>
      <c r="D1182">
        <v>1</v>
      </c>
      <c r="E1182">
        <v>1</v>
      </c>
      <c r="F1182">
        <v>0</v>
      </c>
      <c r="G1182">
        <v>0</v>
      </c>
      <c r="H1182">
        <f t="shared" si="18"/>
        <v>2</v>
      </c>
    </row>
    <row r="1183" spans="1:8">
      <c r="A1183">
        <v>6163</v>
      </c>
      <c r="C1183">
        <v>0</v>
      </c>
      <c r="D1183">
        <v>0</v>
      </c>
      <c r="E1183">
        <v>0</v>
      </c>
      <c r="F1183">
        <v>1</v>
      </c>
      <c r="G1183">
        <v>0</v>
      </c>
      <c r="H1183">
        <f t="shared" si="18"/>
        <v>1</v>
      </c>
    </row>
    <row r="1184" spans="1:8">
      <c r="A1184">
        <v>6164</v>
      </c>
      <c r="C1184">
        <v>0</v>
      </c>
      <c r="D1184">
        <v>0</v>
      </c>
      <c r="E1184">
        <v>1</v>
      </c>
      <c r="F1184">
        <v>1</v>
      </c>
      <c r="G1184">
        <v>0</v>
      </c>
      <c r="H1184">
        <f t="shared" si="18"/>
        <v>2</v>
      </c>
    </row>
    <row r="1185" spans="1:8">
      <c r="A1185">
        <v>6165</v>
      </c>
      <c r="C1185">
        <v>0</v>
      </c>
      <c r="D1185">
        <v>0</v>
      </c>
      <c r="E1185">
        <v>1</v>
      </c>
      <c r="F1185">
        <v>1</v>
      </c>
      <c r="G1185">
        <v>0</v>
      </c>
      <c r="H1185">
        <f t="shared" si="18"/>
        <v>2</v>
      </c>
    </row>
    <row r="1186" spans="1:8">
      <c r="A1186">
        <v>6166</v>
      </c>
      <c r="C1186">
        <v>0</v>
      </c>
      <c r="D1186">
        <v>0</v>
      </c>
      <c r="E1186">
        <v>0</v>
      </c>
      <c r="F1186">
        <v>1</v>
      </c>
      <c r="G1186">
        <v>1</v>
      </c>
      <c r="H1186">
        <f t="shared" si="18"/>
        <v>2</v>
      </c>
    </row>
    <row r="1187" spans="1:8">
      <c r="A1187">
        <v>6167</v>
      </c>
      <c r="C1187">
        <v>0</v>
      </c>
      <c r="D1187">
        <v>1</v>
      </c>
      <c r="E1187">
        <v>0</v>
      </c>
      <c r="F1187">
        <v>0</v>
      </c>
      <c r="G1187">
        <v>0</v>
      </c>
      <c r="H1187">
        <f t="shared" si="18"/>
        <v>1</v>
      </c>
    </row>
    <row r="1188" spans="1:8">
      <c r="A1188">
        <v>6168</v>
      </c>
      <c r="C1188">
        <v>1</v>
      </c>
      <c r="D1188">
        <v>1</v>
      </c>
      <c r="E1188">
        <v>2</v>
      </c>
      <c r="F1188">
        <v>1</v>
      </c>
      <c r="G1188">
        <v>0</v>
      </c>
      <c r="H1188">
        <f t="shared" si="18"/>
        <v>5</v>
      </c>
    </row>
    <row r="1189" spans="1:8">
      <c r="A1189">
        <v>6169</v>
      </c>
      <c r="C1189">
        <v>0</v>
      </c>
      <c r="D1189">
        <v>1</v>
      </c>
      <c r="E1189">
        <v>2</v>
      </c>
      <c r="F1189">
        <v>1</v>
      </c>
      <c r="G1189">
        <v>0</v>
      </c>
      <c r="H1189">
        <f t="shared" si="18"/>
        <v>4</v>
      </c>
    </row>
    <row r="1190" spans="1:8">
      <c r="A1190">
        <v>6170</v>
      </c>
      <c r="C1190">
        <v>0</v>
      </c>
      <c r="D1190">
        <v>1</v>
      </c>
      <c r="E1190">
        <v>2</v>
      </c>
      <c r="F1190">
        <v>1</v>
      </c>
      <c r="G1190">
        <v>0</v>
      </c>
      <c r="H1190">
        <f t="shared" si="18"/>
        <v>4</v>
      </c>
    </row>
    <row r="1191" spans="1:8">
      <c r="A1191">
        <v>6171</v>
      </c>
      <c r="C1191">
        <v>0</v>
      </c>
      <c r="D1191">
        <v>1</v>
      </c>
      <c r="E1191">
        <v>2</v>
      </c>
      <c r="F1191">
        <v>1</v>
      </c>
      <c r="G1191">
        <v>0</v>
      </c>
      <c r="H1191">
        <f t="shared" si="18"/>
        <v>4</v>
      </c>
    </row>
    <row r="1192" spans="1:8">
      <c r="A1192">
        <v>6172</v>
      </c>
      <c r="C1192">
        <v>0</v>
      </c>
      <c r="D1192">
        <v>1</v>
      </c>
      <c r="E1192">
        <v>1</v>
      </c>
      <c r="F1192">
        <v>1</v>
      </c>
      <c r="G1192">
        <v>0</v>
      </c>
      <c r="H1192">
        <f t="shared" si="18"/>
        <v>3</v>
      </c>
    </row>
    <row r="1193" spans="1:8">
      <c r="A1193">
        <v>6173</v>
      </c>
      <c r="C1193">
        <v>0</v>
      </c>
      <c r="D1193">
        <v>1</v>
      </c>
      <c r="E1193">
        <v>0</v>
      </c>
      <c r="F1193">
        <v>0</v>
      </c>
      <c r="G1193">
        <v>0</v>
      </c>
      <c r="H1193">
        <f t="shared" si="18"/>
        <v>1</v>
      </c>
    </row>
    <row r="1194" spans="1:8">
      <c r="A1194">
        <v>6174</v>
      </c>
      <c r="C1194">
        <v>0</v>
      </c>
      <c r="D1194">
        <v>1</v>
      </c>
      <c r="E1194">
        <v>2</v>
      </c>
      <c r="F1194">
        <v>1</v>
      </c>
      <c r="G1194">
        <v>0</v>
      </c>
      <c r="H1194">
        <f t="shared" si="18"/>
        <v>4</v>
      </c>
    </row>
    <row r="1195" spans="1:8">
      <c r="A1195">
        <v>6175</v>
      </c>
      <c r="C1195">
        <v>0</v>
      </c>
      <c r="D1195">
        <v>1</v>
      </c>
      <c r="E1195">
        <v>0</v>
      </c>
      <c r="F1195">
        <v>0</v>
      </c>
      <c r="G1195">
        <v>0</v>
      </c>
      <c r="H1195">
        <f t="shared" si="18"/>
        <v>1</v>
      </c>
    </row>
    <row r="1196" spans="1:8">
      <c r="A1196">
        <v>6176</v>
      </c>
      <c r="C1196">
        <v>0</v>
      </c>
      <c r="D1196">
        <v>1</v>
      </c>
      <c r="E1196">
        <v>2</v>
      </c>
      <c r="F1196">
        <v>0</v>
      </c>
      <c r="G1196">
        <v>0</v>
      </c>
      <c r="H1196">
        <f t="shared" si="18"/>
        <v>3</v>
      </c>
    </row>
    <row r="1197" spans="1:8">
      <c r="A1197">
        <v>6177</v>
      </c>
      <c r="C1197">
        <v>0</v>
      </c>
      <c r="D1197">
        <v>0</v>
      </c>
      <c r="E1197">
        <v>0</v>
      </c>
      <c r="F1197">
        <v>0</v>
      </c>
      <c r="G1197">
        <v>0</v>
      </c>
      <c r="H1197">
        <f t="shared" si="18"/>
        <v>0</v>
      </c>
    </row>
    <row r="1198" spans="1:8">
      <c r="A1198">
        <v>6179</v>
      </c>
      <c r="C1198">
        <v>0</v>
      </c>
      <c r="D1198">
        <v>1</v>
      </c>
      <c r="E1198">
        <v>0</v>
      </c>
      <c r="F1198">
        <v>0</v>
      </c>
      <c r="G1198">
        <v>0</v>
      </c>
      <c r="H1198">
        <f t="shared" si="18"/>
        <v>1</v>
      </c>
    </row>
    <row r="1199" spans="1:8">
      <c r="A1199">
        <v>6180</v>
      </c>
      <c r="C1199">
        <v>0</v>
      </c>
      <c r="D1199">
        <v>0</v>
      </c>
      <c r="E1199">
        <v>2</v>
      </c>
      <c r="F1199">
        <v>0</v>
      </c>
      <c r="G1199">
        <v>0</v>
      </c>
      <c r="H1199">
        <f t="shared" si="18"/>
        <v>2</v>
      </c>
    </row>
    <row r="1200" spans="1:8">
      <c r="A1200">
        <v>6182</v>
      </c>
      <c r="C1200">
        <v>0</v>
      </c>
      <c r="D1200">
        <v>1</v>
      </c>
      <c r="E1200">
        <v>1</v>
      </c>
      <c r="F1200">
        <v>1</v>
      </c>
      <c r="G1200">
        <v>0</v>
      </c>
      <c r="H1200">
        <f t="shared" si="18"/>
        <v>3</v>
      </c>
    </row>
    <row r="1201" spans="1:8">
      <c r="A1201">
        <v>6183</v>
      </c>
      <c r="C1201">
        <v>0</v>
      </c>
      <c r="D1201">
        <v>1</v>
      </c>
      <c r="E1201">
        <v>0</v>
      </c>
      <c r="F1201">
        <v>0</v>
      </c>
      <c r="G1201">
        <v>0</v>
      </c>
      <c r="H1201">
        <f t="shared" si="18"/>
        <v>1</v>
      </c>
    </row>
    <row r="1202" spans="1:8">
      <c r="A1202">
        <v>6184</v>
      </c>
      <c r="C1202">
        <v>0</v>
      </c>
      <c r="D1202">
        <v>0</v>
      </c>
      <c r="E1202">
        <v>0</v>
      </c>
      <c r="F1202">
        <v>0</v>
      </c>
      <c r="G1202">
        <v>1</v>
      </c>
      <c r="H1202">
        <f t="shared" si="18"/>
        <v>1</v>
      </c>
    </row>
    <row r="1203" spans="1:8">
      <c r="A1203">
        <v>6185</v>
      </c>
      <c r="C1203">
        <v>0</v>
      </c>
      <c r="D1203">
        <v>1</v>
      </c>
      <c r="E1203">
        <v>1</v>
      </c>
      <c r="F1203">
        <v>1</v>
      </c>
      <c r="G1203">
        <v>0</v>
      </c>
      <c r="H1203">
        <f t="shared" si="18"/>
        <v>3</v>
      </c>
    </row>
    <row r="1204" spans="1:8">
      <c r="A1204">
        <v>6187</v>
      </c>
      <c r="C1204">
        <v>0</v>
      </c>
      <c r="D1204">
        <v>1</v>
      </c>
      <c r="E1204">
        <v>0</v>
      </c>
      <c r="F1204">
        <v>0</v>
      </c>
      <c r="G1204">
        <v>0</v>
      </c>
      <c r="H1204">
        <f t="shared" si="18"/>
        <v>1</v>
      </c>
    </row>
    <row r="1205" spans="1:8">
      <c r="A1205">
        <v>6188</v>
      </c>
      <c r="C1205">
        <v>0</v>
      </c>
      <c r="D1205">
        <v>0</v>
      </c>
      <c r="E1205">
        <v>0</v>
      </c>
      <c r="F1205">
        <v>0</v>
      </c>
      <c r="G1205">
        <v>0</v>
      </c>
      <c r="H1205">
        <f t="shared" si="18"/>
        <v>0</v>
      </c>
    </row>
    <row r="1206" spans="1:8">
      <c r="A1206">
        <v>6189</v>
      </c>
      <c r="C1206">
        <v>1</v>
      </c>
      <c r="D1206">
        <v>1</v>
      </c>
      <c r="E1206">
        <v>1</v>
      </c>
      <c r="F1206">
        <v>1</v>
      </c>
      <c r="G1206">
        <v>0</v>
      </c>
      <c r="H1206">
        <f t="shared" si="18"/>
        <v>4</v>
      </c>
    </row>
    <row r="1207" spans="1:8">
      <c r="A1207">
        <v>6190</v>
      </c>
      <c r="C1207">
        <v>0</v>
      </c>
      <c r="D1207">
        <v>1</v>
      </c>
      <c r="E1207">
        <v>0</v>
      </c>
      <c r="F1207">
        <v>1</v>
      </c>
      <c r="G1207">
        <v>0</v>
      </c>
      <c r="H1207">
        <f t="shared" si="18"/>
        <v>2</v>
      </c>
    </row>
    <row r="1208" spans="1:8">
      <c r="A1208">
        <v>6191</v>
      </c>
      <c r="C1208">
        <v>0</v>
      </c>
      <c r="D1208">
        <v>0</v>
      </c>
      <c r="E1208">
        <v>0</v>
      </c>
      <c r="F1208">
        <v>0</v>
      </c>
      <c r="G1208">
        <v>0</v>
      </c>
      <c r="H1208">
        <f t="shared" si="18"/>
        <v>0</v>
      </c>
    </row>
    <row r="1209" spans="1:8">
      <c r="A1209">
        <v>6192</v>
      </c>
      <c r="C1209">
        <v>0</v>
      </c>
      <c r="D1209">
        <v>1</v>
      </c>
      <c r="E1209">
        <v>1</v>
      </c>
      <c r="F1209">
        <v>1</v>
      </c>
      <c r="G1209">
        <v>0</v>
      </c>
      <c r="H1209">
        <f t="shared" si="18"/>
        <v>3</v>
      </c>
    </row>
    <row r="1210" spans="1:8">
      <c r="A1210">
        <v>6194</v>
      </c>
      <c r="C1210">
        <v>0</v>
      </c>
      <c r="D1210">
        <v>1</v>
      </c>
      <c r="E1210">
        <v>2</v>
      </c>
      <c r="F1210">
        <v>0</v>
      </c>
      <c r="G1210">
        <v>0</v>
      </c>
      <c r="H1210">
        <f t="shared" si="18"/>
        <v>3</v>
      </c>
    </row>
    <row r="1211" spans="1:8">
      <c r="A1211">
        <v>6195</v>
      </c>
      <c r="C1211">
        <v>0</v>
      </c>
      <c r="D1211">
        <v>0</v>
      </c>
      <c r="E1211">
        <v>0</v>
      </c>
      <c r="F1211">
        <v>0</v>
      </c>
      <c r="G1211">
        <v>0</v>
      </c>
      <c r="H1211">
        <f t="shared" si="18"/>
        <v>0</v>
      </c>
    </row>
    <row r="1212" spans="1:8">
      <c r="A1212">
        <v>6196</v>
      </c>
      <c r="C1212">
        <v>1</v>
      </c>
      <c r="D1212">
        <v>1</v>
      </c>
      <c r="E1212">
        <v>0</v>
      </c>
      <c r="F1212">
        <v>1</v>
      </c>
      <c r="G1212">
        <v>0</v>
      </c>
      <c r="H1212">
        <f t="shared" si="18"/>
        <v>3</v>
      </c>
    </row>
    <row r="1213" spans="1:8">
      <c r="A1213">
        <v>6197</v>
      </c>
      <c r="C1213">
        <v>1</v>
      </c>
      <c r="D1213">
        <v>1</v>
      </c>
      <c r="E1213">
        <v>2</v>
      </c>
      <c r="F1213">
        <v>0</v>
      </c>
      <c r="G1213">
        <v>1</v>
      </c>
      <c r="H1213">
        <f t="shared" si="18"/>
        <v>5</v>
      </c>
    </row>
    <row r="1214" spans="1:8">
      <c r="A1214">
        <v>6198</v>
      </c>
      <c r="C1214">
        <v>1</v>
      </c>
      <c r="D1214">
        <v>0</v>
      </c>
      <c r="E1214">
        <v>1</v>
      </c>
      <c r="F1214">
        <v>0</v>
      </c>
      <c r="G1214">
        <v>1</v>
      </c>
      <c r="H1214">
        <f t="shared" si="18"/>
        <v>3</v>
      </c>
    </row>
    <row r="1215" spans="1:8">
      <c r="A1215">
        <v>6199</v>
      </c>
      <c r="C1215">
        <v>0</v>
      </c>
      <c r="D1215">
        <v>0</v>
      </c>
      <c r="E1215">
        <v>1</v>
      </c>
      <c r="F1215">
        <v>1</v>
      </c>
      <c r="G1215">
        <v>0</v>
      </c>
      <c r="H1215">
        <f t="shared" si="18"/>
        <v>2</v>
      </c>
    </row>
    <row r="1216" spans="1:8">
      <c r="A1216">
        <v>6201</v>
      </c>
      <c r="C1216">
        <v>1</v>
      </c>
      <c r="D1216">
        <v>1</v>
      </c>
      <c r="E1216">
        <v>0</v>
      </c>
      <c r="F1216">
        <v>1</v>
      </c>
      <c r="G1216">
        <v>0</v>
      </c>
      <c r="H1216">
        <f t="shared" si="18"/>
        <v>3</v>
      </c>
    </row>
    <row r="1217" spans="1:8">
      <c r="A1217">
        <v>6202</v>
      </c>
      <c r="C1217">
        <v>1</v>
      </c>
      <c r="D1217">
        <v>1</v>
      </c>
      <c r="E1217">
        <v>0</v>
      </c>
      <c r="F1217">
        <v>1</v>
      </c>
      <c r="G1217">
        <v>1</v>
      </c>
      <c r="H1217">
        <f t="shared" si="18"/>
        <v>4</v>
      </c>
    </row>
    <row r="1218" spans="1:8">
      <c r="A1218">
        <v>6203</v>
      </c>
      <c r="C1218">
        <v>1</v>
      </c>
      <c r="D1218">
        <v>1</v>
      </c>
      <c r="E1218">
        <v>2</v>
      </c>
      <c r="F1218">
        <v>1</v>
      </c>
      <c r="G1218">
        <v>0</v>
      </c>
      <c r="H1218">
        <f t="shared" si="18"/>
        <v>5</v>
      </c>
    </row>
    <row r="1219" spans="1:8">
      <c r="A1219">
        <v>6204</v>
      </c>
      <c r="C1219">
        <v>0</v>
      </c>
      <c r="D1219">
        <v>1</v>
      </c>
      <c r="E1219">
        <v>0</v>
      </c>
      <c r="F1219">
        <v>1</v>
      </c>
      <c r="G1219">
        <v>0</v>
      </c>
      <c r="H1219">
        <f t="shared" ref="H1219:H1282" si="19">SUM(C1219:G1219)</f>
        <v>2</v>
      </c>
    </row>
    <row r="1220" spans="1:8">
      <c r="A1220">
        <v>6205</v>
      </c>
      <c r="C1220">
        <v>1</v>
      </c>
      <c r="D1220">
        <v>1</v>
      </c>
      <c r="E1220">
        <v>2</v>
      </c>
      <c r="F1220">
        <v>1</v>
      </c>
      <c r="G1220">
        <v>0</v>
      </c>
      <c r="H1220">
        <f t="shared" si="19"/>
        <v>5</v>
      </c>
    </row>
    <row r="1221" spans="1:8">
      <c r="A1221">
        <v>6206</v>
      </c>
      <c r="C1221">
        <v>0</v>
      </c>
      <c r="D1221">
        <v>1</v>
      </c>
      <c r="E1221">
        <v>0</v>
      </c>
      <c r="F1221">
        <v>1</v>
      </c>
      <c r="G1221">
        <v>0</v>
      </c>
      <c r="H1221">
        <f t="shared" si="19"/>
        <v>2</v>
      </c>
    </row>
    <row r="1222" spans="1:8">
      <c r="A1222">
        <v>6207</v>
      </c>
      <c r="C1222">
        <v>1</v>
      </c>
      <c r="D1222">
        <v>1</v>
      </c>
      <c r="E1222">
        <v>1</v>
      </c>
      <c r="F1222">
        <v>1</v>
      </c>
      <c r="G1222">
        <v>0</v>
      </c>
      <c r="H1222">
        <f t="shared" si="19"/>
        <v>4</v>
      </c>
    </row>
    <row r="1223" spans="1:8">
      <c r="A1223">
        <v>6208</v>
      </c>
      <c r="C1223">
        <v>0</v>
      </c>
      <c r="D1223">
        <v>1</v>
      </c>
      <c r="E1223">
        <v>1</v>
      </c>
      <c r="F1223">
        <v>1</v>
      </c>
      <c r="G1223">
        <v>0</v>
      </c>
      <c r="H1223">
        <f t="shared" si="19"/>
        <v>3</v>
      </c>
    </row>
    <row r="1224" spans="1:8">
      <c r="A1224">
        <v>6209</v>
      </c>
      <c r="C1224">
        <v>0</v>
      </c>
      <c r="D1224">
        <v>0</v>
      </c>
      <c r="E1224">
        <v>0</v>
      </c>
      <c r="F1224">
        <v>0</v>
      </c>
      <c r="G1224">
        <v>0</v>
      </c>
      <c r="H1224">
        <f t="shared" si="19"/>
        <v>0</v>
      </c>
    </row>
    <row r="1225" spans="1:8">
      <c r="A1225">
        <v>6210</v>
      </c>
      <c r="C1225">
        <v>0</v>
      </c>
      <c r="D1225">
        <v>1</v>
      </c>
      <c r="E1225">
        <v>0</v>
      </c>
      <c r="F1225">
        <v>1</v>
      </c>
      <c r="G1225">
        <v>0</v>
      </c>
      <c r="H1225">
        <f t="shared" si="19"/>
        <v>2</v>
      </c>
    </row>
    <row r="1226" spans="1:8">
      <c r="A1226">
        <v>6211</v>
      </c>
      <c r="C1226">
        <v>1</v>
      </c>
      <c r="D1226">
        <v>1</v>
      </c>
      <c r="E1226">
        <v>1</v>
      </c>
      <c r="F1226">
        <v>1</v>
      </c>
      <c r="G1226">
        <v>0</v>
      </c>
      <c r="H1226">
        <f t="shared" si="19"/>
        <v>4</v>
      </c>
    </row>
    <row r="1227" spans="1:8">
      <c r="A1227">
        <v>6212</v>
      </c>
      <c r="C1227">
        <v>0</v>
      </c>
      <c r="D1227">
        <v>1</v>
      </c>
      <c r="E1227">
        <v>1</v>
      </c>
      <c r="F1227">
        <v>0</v>
      </c>
      <c r="G1227">
        <v>0</v>
      </c>
      <c r="H1227">
        <f t="shared" si="19"/>
        <v>2</v>
      </c>
    </row>
    <row r="1228" spans="1:8">
      <c r="A1228">
        <v>6213</v>
      </c>
      <c r="C1228">
        <v>1</v>
      </c>
      <c r="D1228">
        <v>1</v>
      </c>
      <c r="E1228">
        <v>2</v>
      </c>
      <c r="F1228">
        <v>0</v>
      </c>
      <c r="G1228">
        <v>0</v>
      </c>
      <c r="H1228">
        <f t="shared" si="19"/>
        <v>4</v>
      </c>
    </row>
    <row r="1229" spans="1:8">
      <c r="A1229">
        <v>6214</v>
      </c>
      <c r="C1229">
        <v>0</v>
      </c>
      <c r="D1229">
        <v>0</v>
      </c>
      <c r="E1229">
        <v>0</v>
      </c>
      <c r="F1229">
        <v>1</v>
      </c>
      <c r="G1229">
        <v>0</v>
      </c>
      <c r="H1229">
        <f t="shared" si="19"/>
        <v>1</v>
      </c>
    </row>
    <row r="1230" spans="1:8">
      <c r="A1230">
        <v>6215</v>
      </c>
      <c r="C1230">
        <v>0</v>
      </c>
      <c r="D1230">
        <v>1</v>
      </c>
      <c r="E1230">
        <v>0</v>
      </c>
      <c r="F1230">
        <v>0</v>
      </c>
      <c r="G1230">
        <v>0</v>
      </c>
      <c r="H1230">
        <f t="shared" si="19"/>
        <v>1</v>
      </c>
    </row>
    <row r="1231" spans="1:8">
      <c r="A1231">
        <v>6216</v>
      </c>
      <c r="C1231">
        <v>0</v>
      </c>
      <c r="D1231">
        <v>1</v>
      </c>
      <c r="E1231">
        <v>0</v>
      </c>
      <c r="F1231">
        <v>1</v>
      </c>
      <c r="G1231">
        <v>0</v>
      </c>
      <c r="H1231">
        <f t="shared" si="19"/>
        <v>2</v>
      </c>
    </row>
    <row r="1232" spans="1:8">
      <c r="A1232">
        <v>6217</v>
      </c>
      <c r="C1232">
        <v>1</v>
      </c>
      <c r="D1232">
        <v>1</v>
      </c>
      <c r="E1232">
        <v>1</v>
      </c>
      <c r="F1232">
        <v>1</v>
      </c>
      <c r="G1232">
        <v>1</v>
      </c>
      <c r="H1232">
        <f t="shared" si="19"/>
        <v>5</v>
      </c>
    </row>
    <row r="1233" spans="1:8">
      <c r="A1233">
        <v>6218</v>
      </c>
      <c r="C1233">
        <v>1</v>
      </c>
      <c r="D1233">
        <v>1</v>
      </c>
      <c r="E1233">
        <v>0</v>
      </c>
      <c r="F1233">
        <v>0</v>
      </c>
      <c r="G1233">
        <v>0</v>
      </c>
      <c r="H1233">
        <f t="shared" si="19"/>
        <v>2</v>
      </c>
    </row>
    <row r="1234" spans="1:8">
      <c r="A1234">
        <v>6219</v>
      </c>
      <c r="C1234">
        <v>0</v>
      </c>
      <c r="D1234">
        <v>1</v>
      </c>
      <c r="E1234">
        <v>2</v>
      </c>
      <c r="F1234">
        <v>0</v>
      </c>
      <c r="G1234">
        <v>0</v>
      </c>
      <c r="H1234">
        <f t="shared" si="19"/>
        <v>3</v>
      </c>
    </row>
    <row r="1235" spans="1:8">
      <c r="A1235">
        <v>6220</v>
      </c>
      <c r="C1235">
        <v>1</v>
      </c>
      <c r="D1235">
        <v>1</v>
      </c>
      <c r="E1235">
        <v>2</v>
      </c>
      <c r="F1235">
        <v>0</v>
      </c>
      <c r="G1235">
        <v>1</v>
      </c>
      <c r="H1235">
        <f t="shared" si="19"/>
        <v>5</v>
      </c>
    </row>
    <row r="1236" spans="1:8">
      <c r="A1236">
        <v>6221</v>
      </c>
      <c r="C1236">
        <v>0</v>
      </c>
      <c r="D1236">
        <v>1</v>
      </c>
      <c r="E1236">
        <v>1</v>
      </c>
      <c r="F1236">
        <v>0</v>
      </c>
      <c r="G1236">
        <v>0</v>
      </c>
      <c r="H1236">
        <f t="shared" si="19"/>
        <v>2</v>
      </c>
    </row>
    <row r="1237" spans="1:8">
      <c r="A1237">
        <v>6222</v>
      </c>
      <c r="C1237">
        <v>0</v>
      </c>
      <c r="D1237">
        <v>0</v>
      </c>
      <c r="E1237">
        <v>0</v>
      </c>
      <c r="F1237">
        <v>0</v>
      </c>
      <c r="G1237">
        <v>0</v>
      </c>
      <c r="H1237">
        <f t="shared" si="19"/>
        <v>0</v>
      </c>
    </row>
    <row r="1238" spans="1:8">
      <c r="A1238">
        <v>6223</v>
      </c>
      <c r="C1238">
        <v>0</v>
      </c>
      <c r="D1238">
        <v>1</v>
      </c>
      <c r="E1238">
        <v>0</v>
      </c>
      <c r="F1238">
        <v>0</v>
      </c>
      <c r="G1238">
        <v>0</v>
      </c>
      <c r="H1238">
        <f t="shared" si="19"/>
        <v>1</v>
      </c>
    </row>
    <row r="1239" spans="1:8">
      <c r="A1239">
        <v>6224</v>
      </c>
      <c r="C1239">
        <v>0</v>
      </c>
      <c r="D1239">
        <v>1</v>
      </c>
      <c r="E1239">
        <v>0</v>
      </c>
      <c r="F1239">
        <v>1</v>
      </c>
      <c r="G1239">
        <v>0</v>
      </c>
      <c r="H1239">
        <f t="shared" si="19"/>
        <v>2</v>
      </c>
    </row>
    <row r="1240" spans="1:8">
      <c r="A1240">
        <v>6225</v>
      </c>
      <c r="C1240">
        <v>1</v>
      </c>
      <c r="D1240">
        <v>1</v>
      </c>
      <c r="E1240">
        <v>1</v>
      </c>
      <c r="F1240">
        <v>0</v>
      </c>
      <c r="G1240">
        <v>0</v>
      </c>
      <c r="H1240">
        <f t="shared" si="19"/>
        <v>3</v>
      </c>
    </row>
    <row r="1241" spans="1:8">
      <c r="A1241">
        <v>6226</v>
      </c>
      <c r="C1241">
        <v>0</v>
      </c>
      <c r="D1241">
        <v>1</v>
      </c>
      <c r="E1241">
        <v>0</v>
      </c>
      <c r="F1241">
        <v>1</v>
      </c>
      <c r="G1241">
        <v>0</v>
      </c>
      <c r="H1241">
        <f t="shared" si="19"/>
        <v>2</v>
      </c>
    </row>
    <row r="1242" spans="1:8">
      <c r="A1242">
        <v>6227</v>
      </c>
      <c r="C1242">
        <v>0</v>
      </c>
      <c r="D1242">
        <v>1</v>
      </c>
      <c r="E1242">
        <v>0</v>
      </c>
      <c r="F1242">
        <v>0</v>
      </c>
      <c r="G1242">
        <v>1</v>
      </c>
      <c r="H1242">
        <f t="shared" si="19"/>
        <v>2</v>
      </c>
    </row>
    <row r="1243" spans="1:8">
      <c r="A1243">
        <v>6228</v>
      </c>
      <c r="C1243">
        <v>0</v>
      </c>
      <c r="D1243">
        <v>1</v>
      </c>
      <c r="E1243">
        <v>2</v>
      </c>
      <c r="F1243">
        <v>1</v>
      </c>
      <c r="G1243">
        <v>0</v>
      </c>
      <c r="H1243">
        <f t="shared" si="19"/>
        <v>4</v>
      </c>
    </row>
    <row r="1244" spans="1:8">
      <c r="A1244">
        <v>6229</v>
      </c>
      <c r="C1244">
        <v>0</v>
      </c>
      <c r="D1244">
        <v>1</v>
      </c>
      <c r="E1244">
        <v>2</v>
      </c>
      <c r="F1244">
        <v>1</v>
      </c>
      <c r="G1244">
        <v>1</v>
      </c>
      <c r="H1244">
        <f t="shared" si="19"/>
        <v>5</v>
      </c>
    </row>
    <row r="1245" spans="1:8">
      <c r="A1245">
        <v>6230</v>
      </c>
      <c r="C1245">
        <v>1</v>
      </c>
      <c r="D1245">
        <v>1</v>
      </c>
      <c r="E1245">
        <v>1</v>
      </c>
      <c r="F1245">
        <v>1</v>
      </c>
      <c r="G1245">
        <v>0</v>
      </c>
      <c r="H1245">
        <f t="shared" si="19"/>
        <v>4</v>
      </c>
    </row>
    <row r="1246" spans="1:8">
      <c r="A1246">
        <v>6231</v>
      </c>
      <c r="C1246">
        <v>0</v>
      </c>
      <c r="D1246">
        <v>0</v>
      </c>
      <c r="E1246">
        <v>1</v>
      </c>
      <c r="F1246">
        <v>1</v>
      </c>
      <c r="G1246">
        <v>0</v>
      </c>
      <c r="H1246">
        <f t="shared" si="19"/>
        <v>2</v>
      </c>
    </row>
    <row r="1247" spans="1:8">
      <c r="A1247">
        <v>6233</v>
      </c>
      <c r="C1247">
        <v>1</v>
      </c>
      <c r="D1247">
        <v>1</v>
      </c>
      <c r="E1247">
        <v>0</v>
      </c>
      <c r="F1247">
        <v>0</v>
      </c>
      <c r="G1247">
        <v>0</v>
      </c>
      <c r="H1247">
        <f t="shared" si="19"/>
        <v>2</v>
      </c>
    </row>
    <row r="1248" spans="1:8">
      <c r="A1248">
        <v>6234</v>
      </c>
      <c r="C1248">
        <v>0</v>
      </c>
      <c r="D1248">
        <v>0</v>
      </c>
      <c r="E1248">
        <v>0</v>
      </c>
      <c r="F1248">
        <v>0</v>
      </c>
      <c r="G1248">
        <v>1</v>
      </c>
      <c r="H1248">
        <f t="shared" si="19"/>
        <v>1</v>
      </c>
    </row>
    <row r="1249" spans="1:8">
      <c r="A1249">
        <v>6235</v>
      </c>
      <c r="C1249">
        <v>0</v>
      </c>
      <c r="D1249">
        <v>1</v>
      </c>
      <c r="E1249">
        <v>1</v>
      </c>
      <c r="F1249">
        <v>0</v>
      </c>
      <c r="G1249">
        <v>0</v>
      </c>
      <c r="H1249">
        <f t="shared" si="19"/>
        <v>2</v>
      </c>
    </row>
    <row r="1250" spans="1:8">
      <c r="A1250">
        <v>6236</v>
      </c>
      <c r="C1250">
        <v>0</v>
      </c>
      <c r="D1250">
        <v>0</v>
      </c>
      <c r="E1250">
        <v>0</v>
      </c>
      <c r="F1250">
        <v>1</v>
      </c>
      <c r="G1250">
        <v>0</v>
      </c>
      <c r="H1250">
        <f t="shared" si="19"/>
        <v>1</v>
      </c>
    </row>
    <row r="1251" spans="1:8">
      <c r="A1251">
        <v>6237</v>
      </c>
      <c r="C1251">
        <v>1</v>
      </c>
      <c r="D1251">
        <v>1</v>
      </c>
      <c r="E1251">
        <v>0</v>
      </c>
      <c r="F1251">
        <v>0</v>
      </c>
      <c r="G1251">
        <v>0</v>
      </c>
      <c r="H1251">
        <f t="shared" si="19"/>
        <v>2</v>
      </c>
    </row>
    <row r="1252" spans="1:8">
      <c r="A1252">
        <v>6238</v>
      </c>
      <c r="C1252">
        <v>1</v>
      </c>
      <c r="D1252">
        <v>1</v>
      </c>
      <c r="E1252">
        <v>1</v>
      </c>
      <c r="F1252">
        <v>1</v>
      </c>
      <c r="G1252">
        <v>0</v>
      </c>
      <c r="H1252">
        <f t="shared" si="19"/>
        <v>4</v>
      </c>
    </row>
    <row r="1253" spans="1:8">
      <c r="A1253">
        <v>6239</v>
      </c>
      <c r="C1253">
        <v>1</v>
      </c>
      <c r="D1253">
        <v>1</v>
      </c>
      <c r="E1253">
        <v>1</v>
      </c>
      <c r="F1253">
        <v>1</v>
      </c>
      <c r="G1253">
        <v>0</v>
      </c>
      <c r="H1253">
        <f t="shared" si="19"/>
        <v>4</v>
      </c>
    </row>
    <row r="1254" spans="1:8">
      <c r="A1254">
        <v>6240</v>
      </c>
      <c r="C1254">
        <v>1</v>
      </c>
      <c r="D1254">
        <v>1</v>
      </c>
      <c r="E1254">
        <v>0</v>
      </c>
      <c r="F1254">
        <v>0</v>
      </c>
      <c r="G1254">
        <v>0</v>
      </c>
      <c r="H1254">
        <f t="shared" si="19"/>
        <v>2</v>
      </c>
    </row>
    <row r="1255" spans="1:8">
      <c r="A1255">
        <v>6241</v>
      </c>
      <c r="C1255">
        <v>0</v>
      </c>
      <c r="D1255">
        <v>1</v>
      </c>
      <c r="E1255">
        <v>0</v>
      </c>
      <c r="F1255">
        <v>0</v>
      </c>
      <c r="G1255">
        <v>0</v>
      </c>
      <c r="H1255">
        <f t="shared" si="19"/>
        <v>1</v>
      </c>
    </row>
    <row r="1256" spans="1:8">
      <c r="A1256">
        <v>6242</v>
      </c>
      <c r="C1256">
        <v>0</v>
      </c>
      <c r="D1256">
        <v>0</v>
      </c>
      <c r="E1256">
        <v>0</v>
      </c>
      <c r="F1256">
        <v>0</v>
      </c>
      <c r="G1256">
        <v>1</v>
      </c>
      <c r="H1256">
        <f t="shared" si="19"/>
        <v>1</v>
      </c>
    </row>
    <row r="1257" spans="1:8">
      <c r="A1257">
        <v>6243</v>
      </c>
      <c r="C1257">
        <v>1</v>
      </c>
      <c r="D1257">
        <v>1</v>
      </c>
      <c r="E1257">
        <v>1</v>
      </c>
      <c r="F1257">
        <v>0</v>
      </c>
      <c r="G1257">
        <v>0</v>
      </c>
      <c r="H1257">
        <f t="shared" si="19"/>
        <v>3</v>
      </c>
    </row>
    <row r="1258" spans="1:8">
      <c r="A1258">
        <v>6244</v>
      </c>
      <c r="C1258">
        <v>0</v>
      </c>
      <c r="D1258">
        <v>1</v>
      </c>
      <c r="E1258">
        <v>1</v>
      </c>
      <c r="F1258">
        <v>1</v>
      </c>
      <c r="G1258">
        <v>0</v>
      </c>
      <c r="H1258">
        <f t="shared" si="19"/>
        <v>3</v>
      </c>
    </row>
    <row r="1259" spans="1:8">
      <c r="A1259">
        <v>6245</v>
      </c>
      <c r="C1259">
        <v>0</v>
      </c>
      <c r="D1259">
        <v>1</v>
      </c>
      <c r="E1259">
        <v>0</v>
      </c>
      <c r="F1259">
        <v>1</v>
      </c>
      <c r="G1259">
        <v>0</v>
      </c>
      <c r="H1259">
        <f t="shared" si="19"/>
        <v>2</v>
      </c>
    </row>
    <row r="1260" spans="1:8">
      <c r="A1260">
        <v>6246</v>
      </c>
      <c r="C1260">
        <v>1</v>
      </c>
      <c r="D1260">
        <v>1</v>
      </c>
      <c r="E1260">
        <v>0</v>
      </c>
      <c r="F1260">
        <v>1</v>
      </c>
      <c r="G1260">
        <v>0</v>
      </c>
      <c r="H1260">
        <f t="shared" si="19"/>
        <v>3</v>
      </c>
    </row>
    <row r="1261" spans="1:8">
      <c r="A1261">
        <v>6247</v>
      </c>
      <c r="C1261">
        <v>1</v>
      </c>
      <c r="D1261">
        <v>1</v>
      </c>
      <c r="E1261">
        <v>1</v>
      </c>
      <c r="F1261">
        <v>0</v>
      </c>
      <c r="G1261">
        <v>0</v>
      </c>
      <c r="H1261">
        <f t="shared" si="19"/>
        <v>3</v>
      </c>
    </row>
    <row r="1262" spans="1:8">
      <c r="A1262">
        <v>6248</v>
      </c>
      <c r="C1262">
        <v>0</v>
      </c>
      <c r="D1262">
        <v>1</v>
      </c>
      <c r="E1262">
        <v>0</v>
      </c>
      <c r="F1262">
        <v>1</v>
      </c>
      <c r="G1262">
        <v>0</v>
      </c>
      <c r="H1262">
        <f t="shared" si="19"/>
        <v>2</v>
      </c>
    </row>
    <row r="1263" spans="1:8">
      <c r="A1263">
        <v>6250</v>
      </c>
      <c r="C1263">
        <v>0</v>
      </c>
      <c r="D1263">
        <v>0</v>
      </c>
      <c r="E1263">
        <v>0</v>
      </c>
      <c r="F1263">
        <v>0</v>
      </c>
      <c r="G1263">
        <v>0</v>
      </c>
      <c r="H1263">
        <f t="shared" si="19"/>
        <v>0</v>
      </c>
    </row>
    <row r="1264" spans="1:8">
      <c r="A1264">
        <v>6251</v>
      </c>
      <c r="C1264">
        <v>0</v>
      </c>
      <c r="D1264">
        <v>1</v>
      </c>
      <c r="E1264">
        <v>0</v>
      </c>
      <c r="F1264">
        <v>1</v>
      </c>
      <c r="G1264">
        <v>0</v>
      </c>
      <c r="H1264">
        <f t="shared" si="19"/>
        <v>2</v>
      </c>
    </row>
    <row r="1265" spans="1:8">
      <c r="A1265">
        <v>6257</v>
      </c>
      <c r="C1265">
        <v>0</v>
      </c>
      <c r="D1265">
        <v>0</v>
      </c>
      <c r="E1265">
        <v>1</v>
      </c>
      <c r="F1265">
        <v>1</v>
      </c>
      <c r="G1265">
        <v>0</v>
      </c>
      <c r="H1265">
        <f t="shared" si="19"/>
        <v>2</v>
      </c>
    </row>
    <row r="1266" spans="1:8">
      <c r="A1266">
        <v>6259</v>
      </c>
      <c r="C1266">
        <v>0</v>
      </c>
      <c r="D1266">
        <v>1</v>
      </c>
      <c r="E1266">
        <v>0</v>
      </c>
      <c r="F1266">
        <v>0</v>
      </c>
      <c r="G1266">
        <v>0</v>
      </c>
      <c r="H1266">
        <f t="shared" si="19"/>
        <v>1</v>
      </c>
    </row>
    <row r="1267" spans="1:8">
      <c r="A1267">
        <v>6261</v>
      </c>
      <c r="C1267">
        <v>0</v>
      </c>
      <c r="D1267">
        <v>0</v>
      </c>
      <c r="E1267">
        <v>0</v>
      </c>
      <c r="F1267">
        <v>1</v>
      </c>
      <c r="G1267">
        <v>0</v>
      </c>
      <c r="H1267">
        <f t="shared" si="19"/>
        <v>1</v>
      </c>
    </row>
    <row r="1268" spans="1:8">
      <c r="A1268">
        <v>6263</v>
      </c>
      <c r="C1268">
        <v>0</v>
      </c>
      <c r="D1268">
        <v>1</v>
      </c>
      <c r="E1268">
        <v>0</v>
      </c>
      <c r="F1268">
        <v>1</v>
      </c>
      <c r="G1268">
        <v>0</v>
      </c>
      <c r="H1268">
        <f t="shared" si="19"/>
        <v>2</v>
      </c>
    </row>
    <row r="1269" spans="1:8">
      <c r="A1269">
        <v>6264</v>
      </c>
      <c r="C1269">
        <v>0</v>
      </c>
      <c r="D1269">
        <v>1</v>
      </c>
      <c r="E1269">
        <v>0</v>
      </c>
      <c r="F1269">
        <v>0</v>
      </c>
      <c r="G1269">
        <v>0</v>
      </c>
      <c r="H1269">
        <f t="shared" si="19"/>
        <v>1</v>
      </c>
    </row>
    <row r="1270" spans="1:8">
      <c r="A1270">
        <v>6265</v>
      </c>
      <c r="C1270">
        <v>0</v>
      </c>
      <c r="D1270">
        <v>1</v>
      </c>
      <c r="E1270">
        <v>1</v>
      </c>
      <c r="F1270">
        <v>1</v>
      </c>
      <c r="G1270">
        <v>0</v>
      </c>
      <c r="H1270">
        <f t="shared" si="19"/>
        <v>3</v>
      </c>
    </row>
    <row r="1271" spans="1:8">
      <c r="A1271">
        <v>6266</v>
      </c>
      <c r="C1271">
        <v>0</v>
      </c>
      <c r="D1271">
        <v>1</v>
      </c>
      <c r="E1271">
        <v>2</v>
      </c>
      <c r="F1271">
        <v>1</v>
      </c>
      <c r="G1271">
        <v>0</v>
      </c>
      <c r="H1271">
        <f t="shared" si="19"/>
        <v>4</v>
      </c>
    </row>
    <row r="1272" spans="1:8">
      <c r="A1272">
        <v>6269</v>
      </c>
      <c r="C1272">
        <v>0</v>
      </c>
      <c r="D1272">
        <v>1</v>
      </c>
      <c r="E1272">
        <v>0</v>
      </c>
      <c r="F1272">
        <v>1</v>
      </c>
      <c r="G1272">
        <v>0</v>
      </c>
      <c r="H1272">
        <f t="shared" si="19"/>
        <v>2</v>
      </c>
    </row>
    <row r="1273" spans="1:8">
      <c r="A1273">
        <v>6270</v>
      </c>
      <c r="C1273">
        <v>0</v>
      </c>
      <c r="D1273">
        <v>1</v>
      </c>
      <c r="E1273">
        <v>2</v>
      </c>
      <c r="F1273">
        <v>0</v>
      </c>
      <c r="G1273">
        <v>0</v>
      </c>
      <c r="H1273">
        <f t="shared" si="19"/>
        <v>3</v>
      </c>
    </row>
    <row r="1274" spans="1:8">
      <c r="A1274">
        <v>6271</v>
      </c>
      <c r="C1274">
        <v>0</v>
      </c>
      <c r="D1274">
        <v>1</v>
      </c>
      <c r="E1274">
        <v>0</v>
      </c>
      <c r="F1274">
        <v>1</v>
      </c>
      <c r="G1274">
        <v>0</v>
      </c>
      <c r="H1274">
        <f t="shared" si="19"/>
        <v>2</v>
      </c>
    </row>
    <row r="1275" spans="1:8">
      <c r="A1275">
        <v>6274</v>
      </c>
      <c r="C1275">
        <v>1</v>
      </c>
      <c r="D1275">
        <v>1</v>
      </c>
      <c r="E1275">
        <v>0</v>
      </c>
      <c r="F1275">
        <v>1</v>
      </c>
      <c r="G1275">
        <v>0</v>
      </c>
      <c r="H1275">
        <f t="shared" si="19"/>
        <v>3</v>
      </c>
    </row>
    <row r="1276" spans="1:8">
      <c r="A1276">
        <v>6275</v>
      </c>
      <c r="C1276">
        <v>0</v>
      </c>
      <c r="D1276">
        <v>1</v>
      </c>
      <c r="E1276">
        <v>0</v>
      </c>
      <c r="F1276">
        <v>0</v>
      </c>
      <c r="G1276">
        <v>0</v>
      </c>
      <c r="H1276">
        <f t="shared" si="19"/>
        <v>1</v>
      </c>
    </row>
    <row r="1277" spans="1:8">
      <c r="A1277">
        <v>6276</v>
      </c>
      <c r="C1277">
        <v>0</v>
      </c>
      <c r="D1277">
        <v>0</v>
      </c>
      <c r="E1277">
        <v>1</v>
      </c>
      <c r="F1277">
        <v>1</v>
      </c>
      <c r="G1277">
        <v>0</v>
      </c>
      <c r="H1277">
        <f t="shared" si="19"/>
        <v>2</v>
      </c>
    </row>
    <row r="1278" spans="1:8">
      <c r="A1278">
        <v>6277</v>
      </c>
      <c r="C1278">
        <v>0</v>
      </c>
      <c r="D1278">
        <v>1</v>
      </c>
      <c r="E1278">
        <v>0</v>
      </c>
      <c r="F1278">
        <v>1</v>
      </c>
      <c r="G1278">
        <v>0</v>
      </c>
      <c r="H1278">
        <f t="shared" si="19"/>
        <v>2</v>
      </c>
    </row>
    <row r="1279" spans="1:8">
      <c r="A1279">
        <v>6278</v>
      </c>
      <c r="C1279">
        <v>0</v>
      </c>
      <c r="D1279">
        <v>1</v>
      </c>
      <c r="E1279">
        <v>0</v>
      </c>
      <c r="F1279">
        <v>0</v>
      </c>
      <c r="G1279">
        <v>0</v>
      </c>
      <c r="H1279">
        <f t="shared" si="19"/>
        <v>1</v>
      </c>
    </row>
    <row r="1280" spans="1:8">
      <c r="A1280">
        <v>6279</v>
      </c>
      <c r="C1280">
        <v>0</v>
      </c>
      <c r="D1280">
        <v>1</v>
      </c>
      <c r="E1280">
        <v>0</v>
      </c>
      <c r="F1280">
        <v>0</v>
      </c>
      <c r="G1280">
        <v>0</v>
      </c>
      <c r="H1280">
        <f t="shared" si="19"/>
        <v>1</v>
      </c>
    </row>
    <row r="1281" spans="1:8">
      <c r="A1281">
        <v>6281</v>
      </c>
      <c r="C1281">
        <v>0</v>
      </c>
      <c r="D1281">
        <v>0</v>
      </c>
      <c r="E1281">
        <v>0</v>
      </c>
      <c r="F1281">
        <v>0</v>
      </c>
      <c r="G1281">
        <v>0</v>
      </c>
      <c r="H1281">
        <f t="shared" si="19"/>
        <v>0</v>
      </c>
    </row>
    <row r="1282" spans="1:8">
      <c r="A1282">
        <v>6282</v>
      </c>
      <c r="C1282">
        <v>0</v>
      </c>
      <c r="D1282">
        <v>1</v>
      </c>
      <c r="E1282">
        <v>2</v>
      </c>
      <c r="F1282">
        <v>0</v>
      </c>
      <c r="G1282">
        <v>0</v>
      </c>
      <c r="H1282">
        <f t="shared" si="19"/>
        <v>3</v>
      </c>
    </row>
    <row r="1283" spans="1:8">
      <c r="A1283">
        <v>6283</v>
      </c>
      <c r="C1283">
        <v>0</v>
      </c>
      <c r="D1283">
        <v>1</v>
      </c>
      <c r="E1283">
        <v>1</v>
      </c>
      <c r="F1283">
        <v>0</v>
      </c>
      <c r="G1283">
        <v>0</v>
      </c>
      <c r="H1283">
        <f t="shared" ref="H1283:H1346" si="20">SUM(C1283:G1283)</f>
        <v>2</v>
      </c>
    </row>
    <row r="1284" spans="1:8">
      <c r="A1284">
        <v>6284</v>
      </c>
      <c r="C1284">
        <v>0</v>
      </c>
      <c r="D1284">
        <v>1</v>
      </c>
      <c r="E1284">
        <v>2</v>
      </c>
      <c r="F1284">
        <v>1</v>
      </c>
      <c r="G1284">
        <v>0</v>
      </c>
      <c r="H1284">
        <f t="shared" si="20"/>
        <v>4</v>
      </c>
    </row>
    <row r="1285" spans="1:8">
      <c r="A1285">
        <v>6285</v>
      </c>
      <c r="C1285">
        <v>1</v>
      </c>
      <c r="D1285">
        <v>1</v>
      </c>
      <c r="E1285">
        <v>0</v>
      </c>
      <c r="F1285">
        <v>1</v>
      </c>
      <c r="G1285">
        <v>1</v>
      </c>
      <c r="H1285">
        <f t="shared" si="20"/>
        <v>4</v>
      </c>
    </row>
    <row r="1286" spans="1:8">
      <c r="A1286">
        <v>6286</v>
      </c>
      <c r="C1286">
        <v>1</v>
      </c>
      <c r="D1286">
        <v>1</v>
      </c>
      <c r="E1286">
        <v>2</v>
      </c>
      <c r="F1286">
        <v>1</v>
      </c>
      <c r="G1286">
        <v>1</v>
      </c>
      <c r="H1286">
        <f t="shared" si="20"/>
        <v>6</v>
      </c>
    </row>
    <row r="1287" spans="1:8">
      <c r="A1287">
        <v>6287</v>
      </c>
      <c r="C1287">
        <v>0</v>
      </c>
      <c r="D1287">
        <v>1</v>
      </c>
      <c r="E1287">
        <v>0</v>
      </c>
      <c r="F1287">
        <v>1</v>
      </c>
      <c r="G1287">
        <v>1</v>
      </c>
      <c r="H1287">
        <f t="shared" si="20"/>
        <v>3</v>
      </c>
    </row>
    <row r="1288" spans="1:8">
      <c r="A1288">
        <v>6289</v>
      </c>
      <c r="C1288">
        <v>0</v>
      </c>
      <c r="D1288">
        <v>0</v>
      </c>
      <c r="E1288">
        <v>2</v>
      </c>
      <c r="F1288">
        <v>0</v>
      </c>
      <c r="G1288">
        <v>0</v>
      </c>
      <c r="H1288">
        <f t="shared" si="20"/>
        <v>2</v>
      </c>
    </row>
    <row r="1289" spans="1:8">
      <c r="A1289">
        <v>6290</v>
      </c>
      <c r="C1289">
        <v>0</v>
      </c>
      <c r="D1289">
        <v>1</v>
      </c>
      <c r="E1289">
        <v>0</v>
      </c>
      <c r="F1289">
        <v>0</v>
      </c>
      <c r="G1289">
        <v>0</v>
      </c>
      <c r="H1289">
        <f t="shared" si="20"/>
        <v>1</v>
      </c>
    </row>
    <row r="1290" spans="1:8">
      <c r="A1290">
        <v>6291</v>
      </c>
      <c r="C1290">
        <v>0</v>
      </c>
      <c r="D1290">
        <v>0</v>
      </c>
      <c r="E1290">
        <v>0</v>
      </c>
      <c r="F1290">
        <v>0</v>
      </c>
      <c r="G1290">
        <v>0</v>
      </c>
      <c r="H1290">
        <f t="shared" si="20"/>
        <v>0</v>
      </c>
    </row>
    <row r="1291" spans="1:8">
      <c r="A1291">
        <v>6292</v>
      </c>
      <c r="C1291">
        <v>0</v>
      </c>
      <c r="D1291">
        <v>0</v>
      </c>
      <c r="E1291">
        <v>1</v>
      </c>
      <c r="F1291">
        <v>1</v>
      </c>
      <c r="G1291">
        <v>0</v>
      </c>
      <c r="H1291">
        <f t="shared" si="20"/>
        <v>2</v>
      </c>
    </row>
    <row r="1292" spans="1:8">
      <c r="A1292">
        <v>6294</v>
      </c>
      <c r="C1292">
        <v>0</v>
      </c>
      <c r="D1292">
        <v>1</v>
      </c>
      <c r="E1292">
        <v>0</v>
      </c>
      <c r="F1292">
        <v>1</v>
      </c>
      <c r="G1292">
        <v>0</v>
      </c>
      <c r="H1292">
        <f t="shared" si="20"/>
        <v>2</v>
      </c>
    </row>
    <row r="1293" spans="1:8">
      <c r="A1293">
        <v>6298</v>
      </c>
      <c r="C1293">
        <v>0</v>
      </c>
      <c r="D1293">
        <v>1</v>
      </c>
      <c r="E1293">
        <v>1</v>
      </c>
      <c r="F1293">
        <v>1</v>
      </c>
      <c r="G1293">
        <v>0</v>
      </c>
      <c r="H1293">
        <f t="shared" si="20"/>
        <v>3</v>
      </c>
    </row>
    <row r="1294" spans="1:8">
      <c r="A1294">
        <v>6404</v>
      </c>
      <c r="C1294">
        <v>0</v>
      </c>
      <c r="D1294">
        <v>0</v>
      </c>
      <c r="E1294">
        <v>1</v>
      </c>
      <c r="F1294">
        <v>0</v>
      </c>
      <c r="G1294">
        <v>0</v>
      </c>
      <c r="H1294">
        <f t="shared" si="20"/>
        <v>1</v>
      </c>
    </row>
    <row r="1295" spans="1:8">
      <c r="A1295">
        <v>6405</v>
      </c>
      <c r="C1295">
        <v>0</v>
      </c>
      <c r="D1295">
        <v>1</v>
      </c>
      <c r="E1295">
        <v>1</v>
      </c>
      <c r="F1295">
        <v>0</v>
      </c>
      <c r="G1295">
        <v>0</v>
      </c>
      <c r="H1295">
        <f t="shared" si="20"/>
        <v>2</v>
      </c>
    </row>
    <row r="1296" spans="1:8">
      <c r="A1296">
        <v>6409</v>
      </c>
      <c r="C1296">
        <v>1</v>
      </c>
      <c r="D1296">
        <v>1</v>
      </c>
      <c r="E1296">
        <v>0</v>
      </c>
      <c r="F1296">
        <v>1</v>
      </c>
      <c r="G1296">
        <v>0</v>
      </c>
      <c r="H1296">
        <f t="shared" si="20"/>
        <v>3</v>
      </c>
    </row>
    <row r="1297" spans="1:8">
      <c r="A1297">
        <v>6411</v>
      </c>
      <c r="C1297">
        <v>1</v>
      </c>
      <c r="D1297">
        <v>1</v>
      </c>
      <c r="E1297">
        <v>0</v>
      </c>
      <c r="F1297">
        <v>0</v>
      </c>
      <c r="G1297">
        <v>0</v>
      </c>
      <c r="H1297">
        <f t="shared" si="20"/>
        <v>2</v>
      </c>
    </row>
    <row r="1298" spans="1:8">
      <c r="A1298">
        <v>6412</v>
      </c>
      <c r="C1298">
        <v>0</v>
      </c>
      <c r="D1298">
        <v>0</v>
      </c>
      <c r="E1298">
        <v>0</v>
      </c>
      <c r="F1298">
        <v>1</v>
      </c>
      <c r="G1298">
        <v>0</v>
      </c>
      <c r="H1298">
        <f t="shared" si="20"/>
        <v>1</v>
      </c>
    </row>
    <row r="1299" spans="1:8">
      <c r="A1299">
        <v>6414</v>
      </c>
      <c r="C1299">
        <v>1</v>
      </c>
      <c r="D1299">
        <v>1</v>
      </c>
      <c r="E1299">
        <v>0</v>
      </c>
      <c r="F1299">
        <v>1</v>
      </c>
      <c r="G1299">
        <v>0</v>
      </c>
      <c r="H1299">
        <f t="shared" si="20"/>
        <v>3</v>
      </c>
    </row>
    <row r="1300" spans="1:8">
      <c r="A1300">
        <v>6415</v>
      </c>
      <c r="C1300">
        <v>0</v>
      </c>
      <c r="D1300">
        <v>1</v>
      </c>
      <c r="E1300">
        <v>0</v>
      </c>
      <c r="F1300">
        <v>1</v>
      </c>
      <c r="G1300">
        <v>0</v>
      </c>
      <c r="H1300">
        <f t="shared" si="20"/>
        <v>2</v>
      </c>
    </row>
    <row r="1301" spans="1:8">
      <c r="A1301">
        <v>6417</v>
      </c>
      <c r="C1301">
        <v>1</v>
      </c>
      <c r="D1301">
        <v>1</v>
      </c>
      <c r="E1301">
        <v>0</v>
      </c>
      <c r="F1301">
        <v>1</v>
      </c>
      <c r="G1301">
        <v>0</v>
      </c>
      <c r="H1301">
        <f t="shared" si="20"/>
        <v>3</v>
      </c>
    </row>
    <row r="1302" spans="1:8">
      <c r="A1302">
        <v>6419</v>
      </c>
      <c r="C1302">
        <v>0</v>
      </c>
      <c r="D1302">
        <v>0</v>
      </c>
      <c r="E1302">
        <v>0</v>
      </c>
      <c r="F1302">
        <v>0</v>
      </c>
      <c r="G1302">
        <v>0</v>
      </c>
      <c r="H1302">
        <f t="shared" si="20"/>
        <v>0</v>
      </c>
    </row>
    <row r="1303" spans="1:8">
      <c r="A1303">
        <v>6422</v>
      </c>
      <c r="C1303">
        <v>0</v>
      </c>
      <c r="D1303">
        <v>1</v>
      </c>
      <c r="E1303">
        <v>0</v>
      </c>
      <c r="F1303">
        <v>0</v>
      </c>
      <c r="G1303">
        <v>0</v>
      </c>
      <c r="H1303">
        <f t="shared" si="20"/>
        <v>1</v>
      </c>
    </row>
    <row r="1304" spans="1:8">
      <c r="A1304">
        <v>6426</v>
      </c>
      <c r="C1304">
        <v>1</v>
      </c>
      <c r="D1304">
        <v>1</v>
      </c>
      <c r="E1304">
        <v>0</v>
      </c>
      <c r="F1304">
        <v>1</v>
      </c>
      <c r="G1304">
        <v>0</v>
      </c>
      <c r="H1304">
        <f t="shared" si="20"/>
        <v>3</v>
      </c>
    </row>
    <row r="1305" spans="1:8">
      <c r="A1305">
        <v>6431</v>
      </c>
      <c r="C1305">
        <v>0</v>
      </c>
      <c r="D1305">
        <v>1</v>
      </c>
      <c r="E1305">
        <v>0</v>
      </c>
      <c r="F1305">
        <v>0</v>
      </c>
      <c r="G1305">
        <v>0</v>
      </c>
      <c r="H1305">
        <f t="shared" si="20"/>
        <v>1</v>
      </c>
    </row>
    <row r="1306" spans="1:8">
      <c r="A1306">
        <v>6432</v>
      </c>
      <c r="C1306">
        <v>1</v>
      </c>
      <c r="D1306">
        <v>1</v>
      </c>
      <c r="E1306">
        <v>2</v>
      </c>
      <c r="F1306">
        <v>1</v>
      </c>
      <c r="G1306">
        <v>1</v>
      </c>
      <c r="H1306">
        <f t="shared" si="20"/>
        <v>6</v>
      </c>
    </row>
    <row r="1307" spans="1:8">
      <c r="A1307">
        <v>6442</v>
      </c>
      <c r="C1307">
        <v>1</v>
      </c>
      <c r="D1307">
        <v>1</v>
      </c>
      <c r="E1307">
        <v>0</v>
      </c>
      <c r="F1307">
        <v>1</v>
      </c>
      <c r="G1307">
        <v>1</v>
      </c>
      <c r="H1307">
        <f t="shared" si="20"/>
        <v>4</v>
      </c>
    </row>
    <row r="1308" spans="1:8">
      <c r="A1308">
        <v>6443</v>
      </c>
      <c r="C1308">
        <v>1</v>
      </c>
      <c r="D1308">
        <v>0</v>
      </c>
      <c r="E1308">
        <v>0</v>
      </c>
      <c r="F1308">
        <v>0</v>
      </c>
      <c r="G1308">
        <v>0</v>
      </c>
      <c r="H1308">
        <f t="shared" si="20"/>
        <v>1</v>
      </c>
    </row>
    <row r="1309" spans="1:8">
      <c r="A1309">
        <v>6449</v>
      </c>
      <c r="C1309">
        <v>1</v>
      </c>
      <c r="D1309">
        <v>1</v>
      </c>
      <c r="E1309">
        <v>1</v>
      </c>
      <c r="F1309">
        <v>0</v>
      </c>
      <c r="G1309">
        <v>1</v>
      </c>
      <c r="H1309">
        <f t="shared" si="20"/>
        <v>4</v>
      </c>
    </row>
    <row r="1310" spans="1:8">
      <c r="A1310">
        <v>6451</v>
      </c>
      <c r="C1310">
        <v>0</v>
      </c>
      <c r="D1310">
        <v>1</v>
      </c>
      <c r="E1310">
        <v>0</v>
      </c>
      <c r="F1310">
        <v>0</v>
      </c>
      <c r="G1310">
        <v>0</v>
      </c>
      <c r="H1310">
        <f t="shared" si="20"/>
        <v>1</v>
      </c>
    </row>
    <row r="1311" spans="1:8">
      <c r="A1311">
        <v>6452</v>
      </c>
      <c r="C1311">
        <v>0</v>
      </c>
      <c r="D1311">
        <v>1</v>
      </c>
      <c r="E1311">
        <v>0</v>
      </c>
      <c r="F1311">
        <v>1</v>
      </c>
      <c r="G1311">
        <v>0</v>
      </c>
      <c r="H1311">
        <f t="shared" si="20"/>
        <v>2</v>
      </c>
    </row>
    <row r="1312" spans="1:8">
      <c r="A1312">
        <v>6456</v>
      </c>
      <c r="C1312">
        <v>1</v>
      </c>
      <c r="D1312">
        <v>1</v>
      </c>
      <c r="E1312">
        <v>1</v>
      </c>
      <c r="F1312">
        <v>1</v>
      </c>
      <c r="G1312">
        <v>0</v>
      </c>
      <c r="H1312">
        <f t="shared" si="20"/>
        <v>4</v>
      </c>
    </row>
    <row r="1313" spans="1:8">
      <c r="A1313">
        <v>6457</v>
      </c>
      <c r="C1313">
        <v>1</v>
      </c>
      <c r="D1313">
        <v>1</v>
      </c>
      <c r="E1313">
        <v>0</v>
      </c>
      <c r="F1313">
        <v>1</v>
      </c>
      <c r="G1313">
        <v>0</v>
      </c>
      <c r="H1313">
        <f t="shared" si="20"/>
        <v>3</v>
      </c>
    </row>
    <row r="1314" spans="1:8">
      <c r="A1314">
        <v>6488</v>
      </c>
      <c r="C1314">
        <v>0</v>
      </c>
      <c r="D1314">
        <v>1</v>
      </c>
      <c r="E1314">
        <v>0</v>
      </c>
      <c r="F1314">
        <v>1</v>
      </c>
      <c r="G1314">
        <v>0</v>
      </c>
      <c r="H1314">
        <f t="shared" si="20"/>
        <v>2</v>
      </c>
    </row>
    <row r="1315" spans="1:8">
      <c r="A1315">
        <v>6504</v>
      </c>
      <c r="C1315">
        <v>0</v>
      </c>
      <c r="D1315">
        <v>1</v>
      </c>
      <c r="E1315">
        <v>0</v>
      </c>
      <c r="F1315">
        <v>1</v>
      </c>
      <c r="G1315">
        <v>0</v>
      </c>
      <c r="H1315">
        <f t="shared" si="20"/>
        <v>2</v>
      </c>
    </row>
    <row r="1316" spans="1:8">
      <c r="A1316">
        <v>6505</v>
      </c>
      <c r="C1316">
        <v>0</v>
      </c>
      <c r="D1316">
        <v>1</v>
      </c>
      <c r="E1316">
        <v>0</v>
      </c>
      <c r="F1316">
        <v>1</v>
      </c>
      <c r="G1316">
        <v>0</v>
      </c>
      <c r="H1316">
        <f t="shared" si="20"/>
        <v>2</v>
      </c>
    </row>
    <row r="1317" spans="1:8">
      <c r="A1317">
        <v>6506</v>
      </c>
      <c r="C1317">
        <v>0</v>
      </c>
      <c r="D1317">
        <v>1</v>
      </c>
      <c r="E1317">
        <v>0</v>
      </c>
      <c r="F1317">
        <v>0</v>
      </c>
      <c r="G1317">
        <v>0</v>
      </c>
      <c r="H1317">
        <f t="shared" si="20"/>
        <v>1</v>
      </c>
    </row>
    <row r="1318" spans="1:8">
      <c r="A1318">
        <v>6508</v>
      </c>
      <c r="C1318">
        <v>0</v>
      </c>
      <c r="D1318">
        <v>1</v>
      </c>
      <c r="E1318">
        <v>0</v>
      </c>
      <c r="F1318">
        <v>0</v>
      </c>
      <c r="G1318">
        <v>0</v>
      </c>
      <c r="H1318">
        <f t="shared" si="20"/>
        <v>1</v>
      </c>
    </row>
    <row r="1319" spans="1:8">
      <c r="A1319">
        <v>6509</v>
      </c>
      <c r="C1319">
        <v>1</v>
      </c>
      <c r="D1319">
        <v>1</v>
      </c>
      <c r="E1319">
        <v>0</v>
      </c>
      <c r="F1319">
        <v>1</v>
      </c>
      <c r="G1319">
        <v>0</v>
      </c>
      <c r="H1319">
        <f t="shared" si="20"/>
        <v>3</v>
      </c>
    </row>
    <row r="1320" spans="1:8">
      <c r="A1320">
        <v>6603</v>
      </c>
      <c r="C1320">
        <v>0</v>
      </c>
      <c r="D1320">
        <v>1</v>
      </c>
      <c r="E1320">
        <v>1</v>
      </c>
      <c r="F1320">
        <v>0</v>
      </c>
      <c r="G1320">
        <v>0</v>
      </c>
      <c r="H1320">
        <f t="shared" si="20"/>
        <v>2</v>
      </c>
    </row>
    <row r="1321" spans="1:8">
      <c r="A1321">
        <v>6605</v>
      </c>
      <c r="C1321">
        <v>1</v>
      </c>
      <c r="D1321">
        <v>1</v>
      </c>
      <c r="E1321">
        <v>1</v>
      </c>
      <c r="F1321">
        <v>1</v>
      </c>
      <c r="G1321">
        <v>0</v>
      </c>
      <c r="H1321">
        <f t="shared" si="20"/>
        <v>4</v>
      </c>
    </row>
    <row r="1322" spans="1:8">
      <c r="A1322">
        <v>6609</v>
      </c>
      <c r="C1322">
        <v>1</v>
      </c>
      <c r="D1322">
        <v>1</v>
      </c>
      <c r="E1322">
        <v>0</v>
      </c>
      <c r="F1322">
        <v>0</v>
      </c>
      <c r="G1322">
        <v>0</v>
      </c>
      <c r="H1322">
        <f t="shared" si="20"/>
        <v>2</v>
      </c>
    </row>
    <row r="1323" spans="1:8">
      <c r="A1323">
        <v>6702</v>
      </c>
      <c r="C1323">
        <v>0</v>
      </c>
      <c r="D1323">
        <v>1</v>
      </c>
      <c r="E1323">
        <v>1</v>
      </c>
      <c r="F1323">
        <v>0</v>
      </c>
      <c r="G1323">
        <v>0</v>
      </c>
      <c r="H1323">
        <f t="shared" si="20"/>
        <v>2</v>
      </c>
    </row>
    <row r="1324" spans="1:8">
      <c r="A1324">
        <v>6803</v>
      </c>
      <c r="C1324">
        <v>1</v>
      </c>
      <c r="D1324">
        <v>1</v>
      </c>
      <c r="E1324">
        <v>0</v>
      </c>
      <c r="F1324">
        <v>1</v>
      </c>
      <c r="G1324">
        <v>0</v>
      </c>
      <c r="H1324">
        <f t="shared" si="20"/>
        <v>3</v>
      </c>
    </row>
    <row r="1325" spans="1:8">
      <c r="A1325">
        <v>8011</v>
      </c>
      <c r="C1325">
        <v>0</v>
      </c>
      <c r="D1325">
        <v>0</v>
      </c>
      <c r="E1325">
        <v>1</v>
      </c>
      <c r="F1325">
        <v>0</v>
      </c>
      <c r="G1325">
        <v>0</v>
      </c>
      <c r="H1325">
        <f t="shared" si="20"/>
        <v>1</v>
      </c>
    </row>
    <row r="1326" spans="1:8">
      <c r="A1326">
        <v>8016</v>
      </c>
      <c r="C1326">
        <v>1</v>
      </c>
      <c r="D1326">
        <v>1</v>
      </c>
      <c r="E1326">
        <v>0</v>
      </c>
      <c r="F1326">
        <v>1</v>
      </c>
      <c r="G1326">
        <v>0</v>
      </c>
      <c r="H1326">
        <f t="shared" si="20"/>
        <v>3</v>
      </c>
    </row>
    <row r="1327" spans="1:8">
      <c r="A1327">
        <v>8021</v>
      </c>
      <c r="C1327">
        <v>0</v>
      </c>
      <c r="D1327">
        <v>1</v>
      </c>
      <c r="E1327">
        <v>1</v>
      </c>
      <c r="F1327">
        <v>1</v>
      </c>
      <c r="G1327">
        <v>1</v>
      </c>
      <c r="H1327">
        <f t="shared" si="20"/>
        <v>4</v>
      </c>
    </row>
    <row r="1328" spans="1:8">
      <c r="A1328">
        <v>8024</v>
      </c>
      <c r="C1328">
        <v>0</v>
      </c>
      <c r="D1328">
        <v>0</v>
      </c>
      <c r="E1328">
        <v>0</v>
      </c>
      <c r="F1328">
        <v>1</v>
      </c>
      <c r="G1328">
        <v>0</v>
      </c>
      <c r="H1328">
        <f t="shared" si="20"/>
        <v>1</v>
      </c>
    </row>
    <row r="1329" spans="1:8">
      <c r="A1329">
        <v>8027</v>
      </c>
      <c r="C1329">
        <v>0</v>
      </c>
      <c r="D1329">
        <v>1</v>
      </c>
      <c r="E1329">
        <v>0</v>
      </c>
      <c r="F1329">
        <v>1</v>
      </c>
      <c r="G1329">
        <v>0</v>
      </c>
      <c r="H1329">
        <f t="shared" si="20"/>
        <v>2</v>
      </c>
    </row>
    <row r="1330" spans="1:8">
      <c r="A1330">
        <v>8032</v>
      </c>
      <c r="C1330">
        <v>1</v>
      </c>
      <c r="D1330">
        <v>1</v>
      </c>
      <c r="E1330">
        <v>1</v>
      </c>
      <c r="F1330">
        <v>0</v>
      </c>
      <c r="G1330">
        <v>0</v>
      </c>
      <c r="H1330">
        <f t="shared" si="20"/>
        <v>3</v>
      </c>
    </row>
    <row r="1331" spans="1:8">
      <c r="A1331">
        <v>8033</v>
      </c>
      <c r="C1331">
        <v>0</v>
      </c>
      <c r="D1331">
        <v>0</v>
      </c>
      <c r="E1331">
        <v>0</v>
      </c>
      <c r="F1331">
        <v>1</v>
      </c>
      <c r="G1331">
        <v>0</v>
      </c>
      <c r="H1331">
        <f t="shared" si="20"/>
        <v>1</v>
      </c>
    </row>
    <row r="1332" spans="1:8">
      <c r="A1332">
        <v>8034</v>
      </c>
      <c r="C1332">
        <v>0</v>
      </c>
      <c r="D1332">
        <v>1</v>
      </c>
      <c r="E1332">
        <v>2</v>
      </c>
      <c r="F1332">
        <v>0</v>
      </c>
      <c r="G1332">
        <v>0</v>
      </c>
      <c r="H1332">
        <f t="shared" si="20"/>
        <v>3</v>
      </c>
    </row>
    <row r="1333" spans="1:8">
      <c r="A1333">
        <v>8038</v>
      </c>
      <c r="C1333">
        <v>0</v>
      </c>
      <c r="D1333">
        <v>1</v>
      </c>
      <c r="E1333">
        <v>0</v>
      </c>
      <c r="F1333">
        <v>0</v>
      </c>
      <c r="G1333">
        <v>0</v>
      </c>
      <c r="H1333">
        <f t="shared" si="20"/>
        <v>1</v>
      </c>
    </row>
    <row r="1334" spans="1:8">
      <c r="A1334">
        <v>8039</v>
      </c>
      <c r="C1334">
        <v>1</v>
      </c>
      <c r="D1334">
        <v>1</v>
      </c>
      <c r="E1334">
        <v>2</v>
      </c>
      <c r="F1334">
        <v>0</v>
      </c>
      <c r="G1334">
        <v>1</v>
      </c>
      <c r="H1334">
        <f t="shared" si="20"/>
        <v>5</v>
      </c>
    </row>
    <row r="1335" spans="1:8">
      <c r="A1335">
        <v>8040</v>
      </c>
      <c r="C1335">
        <v>0</v>
      </c>
      <c r="D1335">
        <v>1</v>
      </c>
      <c r="E1335">
        <v>0</v>
      </c>
      <c r="F1335">
        <v>0</v>
      </c>
      <c r="G1335">
        <v>0</v>
      </c>
      <c r="H1335">
        <f t="shared" si="20"/>
        <v>1</v>
      </c>
    </row>
    <row r="1336" spans="1:8">
      <c r="A1336">
        <v>8042</v>
      </c>
      <c r="C1336">
        <v>0</v>
      </c>
      <c r="D1336">
        <v>0</v>
      </c>
      <c r="E1336">
        <v>2</v>
      </c>
      <c r="F1336">
        <v>0</v>
      </c>
      <c r="G1336">
        <v>0</v>
      </c>
      <c r="H1336">
        <f t="shared" si="20"/>
        <v>2</v>
      </c>
    </row>
    <row r="1337" spans="1:8">
      <c r="A1337">
        <v>8043</v>
      </c>
      <c r="C1337">
        <v>0</v>
      </c>
      <c r="D1337">
        <v>1</v>
      </c>
      <c r="E1337">
        <v>1</v>
      </c>
      <c r="F1337">
        <v>1</v>
      </c>
      <c r="G1337">
        <v>0</v>
      </c>
      <c r="H1337">
        <f t="shared" si="20"/>
        <v>3</v>
      </c>
    </row>
    <row r="1338" spans="1:8">
      <c r="A1338">
        <v>8044</v>
      </c>
      <c r="C1338">
        <v>0</v>
      </c>
      <c r="D1338">
        <v>1</v>
      </c>
      <c r="E1338">
        <v>0</v>
      </c>
      <c r="F1338">
        <v>0</v>
      </c>
      <c r="G1338">
        <v>0</v>
      </c>
      <c r="H1338">
        <f t="shared" si="20"/>
        <v>1</v>
      </c>
    </row>
    <row r="1339" spans="1:8">
      <c r="A1339">
        <v>8046</v>
      </c>
      <c r="C1339">
        <v>0</v>
      </c>
      <c r="D1339">
        <v>1</v>
      </c>
      <c r="E1339">
        <v>0</v>
      </c>
      <c r="F1339">
        <v>1</v>
      </c>
      <c r="G1339">
        <v>0</v>
      </c>
      <c r="H1339">
        <f t="shared" si="20"/>
        <v>2</v>
      </c>
    </row>
    <row r="1340" spans="1:8">
      <c r="A1340">
        <v>8047</v>
      </c>
      <c r="C1340">
        <v>0</v>
      </c>
      <c r="D1340">
        <v>0</v>
      </c>
      <c r="E1340">
        <v>0</v>
      </c>
      <c r="F1340">
        <v>0</v>
      </c>
      <c r="G1340">
        <v>0</v>
      </c>
      <c r="H1340">
        <f t="shared" si="20"/>
        <v>0</v>
      </c>
    </row>
    <row r="1341" spans="1:8">
      <c r="A1341">
        <v>8048</v>
      </c>
      <c r="C1341">
        <v>1</v>
      </c>
      <c r="D1341">
        <v>1</v>
      </c>
      <c r="E1341">
        <v>2</v>
      </c>
      <c r="F1341">
        <v>1</v>
      </c>
      <c r="G1341">
        <v>0</v>
      </c>
      <c r="H1341">
        <f t="shared" si="20"/>
        <v>5</v>
      </c>
    </row>
    <row r="1342" spans="1:8">
      <c r="A1342">
        <v>8049</v>
      </c>
      <c r="C1342">
        <v>1</v>
      </c>
      <c r="D1342">
        <v>1</v>
      </c>
      <c r="E1342">
        <v>2</v>
      </c>
      <c r="F1342">
        <v>1</v>
      </c>
      <c r="G1342">
        <v>0</v>
      </c>
      <c r="H1342">
        <f t="shared" si="20"/>
        <v>5</v>
      </c>
    </row>
    <row r="1343" spans="1:8">
      <c r="A1343">
        <v>8050</v>
      </c>
      <c r="C1343">
        <v>0</v>
      </c>
      <c r="D1343">
        <v>1</v>
      </c>
      <c r="E1343">
        <v>0</v>
      </c>
      <c r="F1343">
        <v>1</v>
      </c>
      <c r="G1343">
        <v>0</v>
      </c>
      <c r="H1343">
        <f t="shared" si="20"/>
        <v>2</v>
      </c>
    </row>
    <row r="1344" spans="1:8">
      <c r="A1344">
        <v>8053</v>
      </c>
      <c r="C1344">
        <v>0</v>
      </c>
      <c r="D1344">
        <v>1</v>
      </c>
      <c r="E1344">
        <v>0</v>
      </c>
      <c r="F1344">
        <v>1</v>
      </c>
      <c r="G1344">
        <v>0</v>
      </c>
      <c r="H1344">
        <f t="shared" si="20"/>
        <v>2</v>
      </c>
    </row>
    <row r="1345" spans="1:8">
      <c r="A1345">
        <v>8054</v>
      </c>
      <c r="C1345">
        <v>0</v>
      </c>
      <c r="D1345">
        <v>0</v>
      </c>
      <c r="E1345">
        <v>0</v>
      </c>
      <c r="F1345">
        <v>1</v>
      </c>
      <c r="G1345">
        <v>0</v>
      </c>
      <c r="H1345">
        <f t="shared" si="20"/>
        <v>1</v>
      </c>
    </row>
    <row r="1346" spans="1:8">
      <c r="A1346">
        <v>8059</v>
      </c>
      <c r="C1346">
        <v>0</v>
      </c>
      <c r="D1346">
        <v>1</v>
      </c>
      <c r="E1346">
        <v>0</v>
      </c>
      <c r="F1346">
        <v>0</v>
      </c>
      <c r="G1346">
        <v>0</v>
      </c>
      <c r="H1346">
        <f t="shared" si="20"/>
        <v>1</v>
      </c>
    </row>
    <row r="1347" spans="1:8">
      <c r="A1347">
        <v>8064</v>
      </c>
      <c r="C1347">
        <v>0</v>
      </c>
      <c r="D1347">
        <v>1</v>
      </c>
      <c r="E1347">
        <v>0</v>
      </c>
      <c r="F1347">
        <v>0</v>
      </c>
      <c r="G1347">
        <v>0</v>
      </c>
      <c r="H1347">
        <f t="shared" ref="H1347:H1410" si="21">SUM(C1347:G1347)</f>
        <v>1</v>
      </c>
    </row>
    <row r="1348" spans="1:8">
      <c r="A1348">
        <v>8066</v>
      </c>
      <c r="C1348">
        <v>1</v>
      </c>
      <c r="D1348">
        <v>1</v>
      </c>
      <c r="E1348">
        <v>1</v>
      </c>
      <c r="F1348">
        <v>1</v>
      </c>
      <c r="G1348">
        <v>0</v>
      </c>
      <c r="H1348">
        <f t="shared" si="21"/>
        <v>4</v>
      </c>
    </row>
    <row r="1349" spans="1:8">
      <c r="A1349">
        <v>8067</v>
      </c>
      <c r="C1349">
        <v>1</v>
      </c>
      <c r="D1349">
        <v>1</v>
      </c>
      <c r="E1349">
        <v>0</v>
      </c>
      <c r="F1349">
        <v>0</v>
      </c>
      <c r="G1349">
        <v>0</v>
      </c>
      <c r="H1349">
        <f t="shared" si="21"/>
        <v>2</v>
      </c>
    </row>
    <row r="1350" spans="1:8">
      <c r="A1350">
        <v>8068</v>
      </c>
      <c r="C1350">
        <v>0</v>
      </c>
      <c r="D1350">
        <v>0</v>
      </c>
      <c r="E1350">
        <v>1</v>
      </c>
      <c r="F1350">
        <v>0</v>
      </c>
      <c r="G1350">
        <v>0</v>
      </c>
      <c r="H1350">
        <f t="shared" si="21"/>
        <v>1</v>
      </c>
    </row>
    <row r="1351" spans="1:8">
      <c r="A1351">
        <v>8069</v>
      </c>
      <c r="C1351">
        <v>1</v>
      </c>
      <c r="D1351">
        <v>1</v>
      </c>
      <c r="E1351">
        <v>0</v>
      </c>
      <c r="F1351">
        <v>1</v>
      </c>
      <c r="G1351">
        <v>0</v>
      </c>
      <c r="H1351">
        <f t="shared" si="21"/>
        <v>3</v>
      </c>
    </row>
    <row r="1352" spans="1:8">
      <c r="A1352">
        <v>8070</v>
      </c>
      <c r="C1352">
        <v>0</v>
      </c>
      <c r="D1352">
        <v>0</v>
      </c>
      <c r="E1352">
        <v>0</v>
      </c>
      <c r="F1352">
        <v>1</v>
      </c>
      <c r="G1352">
        <v>0</v>
      </c>
      <c r="H1352">
        <f t="shared" si="21"/>
        <v>1</v>
      </c>
    </row>
    <row r="1353" spans="1:8">
      <c r="A1353">
        <v>8071</v>
      </c>
      <c r="C1353">
        <v>0</v>
      </c>
      <c r="D1353">
        <v>0</v>
      </c>
      <c r="E1353">
        <v>0</v>
      </c>
      <c r="F1353">
        <v>0</v>
      </c>
      <c r="G1353">
        <v>1</v>
      </c>
      <c r="H1353">
        <f t="shared" si="21"/>
        <v>1</v>
      </c>
    </row>
    <row r="1354" spans="1:8">
      <c r="A1354">
        <v>8072</v>
      </c>
      <c r="C1354">
        <v>0</v>
      </c>
      <c r="D1354">
        <v>1</v>
      </c>
      <c r="E1354">
        <v>0</v>
      </c>
      <c r="F1354">
        <v>1</v>
      </c>
      <c r="G1354">
        <v>0</v>
      </c>
      <c r="H1354">
        <f t="shared" si="21"/>
        <v>2</v>
      </c>
    </row>
    <row r="1355" spans="1:8">
      <c r="A1355">
        <v>8074</v>
      </c>
      <c r="C1355">
        <v>1</v>
      </c>
      <c r="D1355">
        <v>1</v>
      </c>
      <c r="E1355">
        <v>1</v>
      </c>
      <c r="F1355">
        <v>1</v>
      </c>
      <c r="G1355">
        <v>0</v>
      </c>
      <c r="H1355">
        <f t="shared" si="21"/>
        <v>4</v>
      </c>
    </row>
    <row r="1356" spans="1:8">
      <c r="A1356">
        <v>8076</v>
      </c>
      <c r="C1356">
        <v>0</v>
      </c>
      <c r="D1356">
        <v>1</v>
      </c>
      <c r="E1356">
        <v>2</v>
      </c>
      <c r="F1356">
        <v>0</v>
      </c>
      <c r="G1356">
        <v>0</v>
      </c>
      <c r="H1356">
        <f t="shared" si="21"/>
        <v>3</v>
      </c>
    </row>
    <row r="1357" spans="1:8">
      <c r="A1357">
        <v>8077</v>
      </c>
      <c r="C1357">
        <v>0</v>
      </c>
      <c r="D1357">
        <v>1</v>
      </c>
      <c r="E1357">
        <v>2</v>
      </c>
      <c r="F1357">
        <v>0</v>
      </c>
      <c r="G1357">
        <v>1</v>
      </c>
      <c r="H1357">
        <f t="shared" si="21"/>
        <v>4</v>
      </c>
    </row>
    <row r="1358" spans="1:8">
      <c r="A1358">
        <v>8079</v>
      </c>
      <c r="C1358">
        <v>0</v>
      </c>
      <c r="D1358">
        <v>1</v>
      </c>
      <c r="E1358">
        <v>1</v>
      </c>
      <c r="F1358">
        <v>1</v>
      </c>
      <c r="G1358">
        <v>0</v>
      </c>
      <c r="H1358">
        <f t="shared" si="21"/>
        <v>3</v>
      </c>
    </row>
    <row r="1359" spans="1:8">
      <c r="A1359">
        <v>8080</v>
      </c>
      <c r="C1359">
        <v>0</v>
      </c>
      <c r="D1359">
        <v>0</v>
      </c>
      <c r="E1359">
        <v>1</v>
      </c>
      <c r="F1359">
        <v>0</v>
      </c>
      <c r="G1359">
        <v>0</v>
      </c>
      <c r="H1359">
        <f t="shared" si="21"/>
        <v>1</v>
      </c>
    </row>
    <row r="1360" spans="1:8">
      <c r="A1360">
        <v>8081</v>
      </c>
      <c r="C1360">
        <v>0</v>
      </c>
      <c r="D1360">
        <v>1</v>
      </c>
      <c r="E1360">
        <v>0</v>
      </c>
      <c r="F1360">
        <v>1</v>
      </c>
      <c r="G1360">
        <v>0</v>
      </c>
      <c r="H1360">
        <f t="shared" si="21"/>
        <v>2</v>
      </c>
    </row>
    <row r="1361" spans="1:8">
      <c r="A1361">
        <v>8082</v>
      </c>
      <c r="C1361">
        <v>0</v>
      </c>
      <c r="D1361">
        <v>0</v>
      </c>
      <c r="E1361">
        <v>1</v>
      </c>
      <c r="F1361">
        <v>0</v>
      </c>
      <c r="G1361">
        <v>0</v>
      </c>
      <c r="H1361">
        <f t="shared" si="21"/>
        <v>1</v>
      </c>
    </row>
    <row r="1362" spans="1:8">
      <c r="A1362">
        <v>8083</v>
      </c>
      <c r="C1362">
        <v>1</v>
      </c>
      <c r="D1362">
        <v>1</v>
      </c>
      <c r="E1362">
        <v>0</v>
      </c>
      <c r="F1362">
        <v>1</v>
      </c>
      <c r="G1362">
        <v>0</v>
      </c>
      <c r="H1362">
        <f t="shared" si="21"/>
        <v>3</v>
      </c>
    </row>
    <row r="1363" spans="1:8">
      <c r="A1363">
        <v>8084</v>
      </c>
      <c r="C1363">
        <v>0</v>
      </c>
      <c r="D1363">
        <v>0</v>
      </c>
      <c r="E1363">
        <v>0</v>
      </c>
      <c r="F1363">
        <v>1</v>
      </c>
      <c r="G1363">
        <v>0</v>
      </c>
      <c r="H1363">
        <f t="shared" si="21"/>
        <v>1</v>
      </c>
    </row>
    <row r="1364" spans="1:8">
      <c r="A1364">
        <v>8085</v>
      </c>
      <c r="C1364">
        <v>0</v>
      </c>
      <c r="D1364">
        <v>1</v>
      </c>
      <c r="E1364">
        <v>0</v>
      </c>
      <c r="F1364">
        <v>1</v>
      </c>
      <c r="G1364">
        <v>0</v>
      </c>
      <c r="H1364">
        <f t="shared" si="21"/>
        <v>2</v>
      </c>
    </row>
    <row r="1365" spans="1:8">
      <c r="A1365">
        <v>8086</v>
      </c>
      <c r="C1365">
        <v>1</v>
      </c>
      <c r="D1365">
        <v>1</v>
      </c>
      <c r="E1365">
        <v>2</v>
      </c>
      <c r="F1365">
        <v>1</v>
      </c>
      <c r="G1365">
        <v>0</v>
      </c>
      <c r="H1365">
        <f t="shared" si="21"/>
        <v>5</v>
      </c>
    </row>
    <row r="1366" spans="1:8">
      <c r="A1366">
        <v>8087</v>
      </c>
      <c r="C1366">
        <v>0</v>
      </c>
      <c r="D1366">
        <v>1</v>
      </c>
      <c r="E1366">
        <v>1</v>
      </c>
      <c r="F1366">
        <v>0</v>
      </c>
      <c r="G1366">
        <v>0</v>
      </c>
      <c r="H1366">
        <f t="shared" si="21"/>
        <v>2</v>
      </c>
    </row>
    <row r="1367" spans="1:8">
      <c r="A1367">
        <v>8088</v>
      </c>
      <c r="C1367">
        <v>0</v>
      </c>
      <c r="D1367">
        <v>1</v>
      </c>
      <c r="E1367">
        <v>1</v>
      </c>
      <c r="F1367">
        <v>0</v>
      </c>
      <c r="G1367">
        <v>0</v>
      </c>
      <c r="H1367">
        <f t="shared" si="21"/>
        <v>2</v>
      </c>
    </row>
    <row r="1368" spans="1:8">
      <c r="A1368">
        <v>8091</v>
      </c>
      <c r="C1368">
        <v>0</v>
      </c>
      <c r="D1368">
        <v>0</v>
      </c>
      <c r="E1368">
        <v>1</v>
      </c>
      <c r="F1368">
        <v>0</v>
      </c>
      <c r="G1368">
        <v>0</v>
      </c>
      <c r="H1368">
        <f t="shared" si="21"/>
        <v>1</v>
      </c>
    </row>
    <row r="1369" spans="1:8">
      <c r="A1369">
        <v>8092</v>
      </c>
      <c r="C1369">
        <v>0</v>
      </c>
      <c r="D1369">
        <v>1</v>
      </c>
      <c r="E1369">
        <v>0</v>
      </c>
      <c r="F1369">
        <v>1</v>
      </c>
      <c r="G1369">
        <v>0</v>
      </c>
      <c r="H1369">
        <f t="shared" si="21"/>
        <v>2</v>
      </c>
    </row>
    <row r="1370" spans="1:8">
      <c r="A1370">
        <v>8093</v>
      </c>
      <c r="C1370">
        <v>1</v>
      </c>
      <c r="D1370">
        <v>1</v>
      </c>
      <c r="E1370">
        <v>2</v>
      </c>
      <c r="F1370">
        <v>1</v>
      </c>
      <c r="G1370">
        <v>0</v>
      </c>
      <c r="H1370">
        <f t="shared" si="21"/>
        <v>5</v>
      </c>
    </row>
    <row r="1371" spans="1:8">
      <c r="A1371">
        <v>8096</v>
      </c>
      <c r="C1371">
        <v>0</v>
      </c>
      <c r="D1371">
        <v>1</v>
      </c>
      <c r="E1371">
        <v>2</v>
      </c>
      <c r="F1371">
        <v>0</v>
      </c>
      <c r="G1371">
        <v>0</v>
      </c>
      <c r="H1371">
        <f t="shared" si="21"/>
        <v>3</v>
      </c>
    </row>
    <row r="1372" spans="1:8">
      <c r="A1372">
        <v>8097</v>
      </c>
      <c r="C1372">
        <v>1</v>
      </c>
      <c r="D1372">
        <v>1</v>
      </c>
      <c r="E1372">
        <v>2</v>
      </c>
      <c r="F1372">
        <v>1</v>
      </c>
      <c r="G1372">
        <v>0</v>
      </c>
      <c r="H1372">
        <f t="shared" si="21"/>
        <v>5</v>
      </c>
    </row>
    <row r="1373" spans="1:8">
      <c r="A1373">
        <v>8099</v>
      </c>
      <c r="C1373">
        <v>0</v>
      </c>
      <c r="D1373">
        <v>1</v>
      </c>
      <c r="E1373">
        <v>0</v>
      </c>
      <c r="F1373">
        <v>0</v>
      </c>
      <c r="G1373">
        <v>0</v>
      </c>
      <c r="H1373">
        <f t="shared" si="21"/>
        <v>1</v>
      </c>
    </row>
    <row r="1374" spans="1:8">
      <c r="A1374">
        <v>8101</v>
      </c>
      <c r="C1374">
        <v>0</v>
      </c>
      <c r="D1374">
        <v>1</v>
      </c>
      <c r="E1374">
        <v>2</v>
      </c>
      <c r="F1374">
        <v>1</v>
      </c>
      <c r="G1374">
        <v>0</v>
      </c>
      <c r="H1374">
        <f t="shared" si="21"/>
        <v>4</v>
      </c>
    </row>
    <row r="1375" spans="1:8">
      <c r="A1375">
        <v>8103</v>
      </c>
      <c r="C1375">
        <v>0</v>
      </c>
      <c r="D1375">
        <v>0</v>
      </c>
      <c r="E1375">
        <v>0</v>
      </c>
      <c r="F1375">
        <v>1</v>
      </c>
      <c r="G1375">
        <v>0</v>
      </c>
      <c r="H1375">
        <f t="shared" si="21"/>
        <v>1</v>
      </c>
    </row>
    <row r="1376" spans="1:8">
      <c r="A1376">
        <v>8105</v>
      </c>
      <c r="C1376">
        <v>1</v>
      </c>
      <c r="D1376">
        <v>1</v>
      </c>
      <c r="E1376">
        <v>0</v>
      </c>
      <c r="F1376">
        <v>1</v>
      </c>
      <c r="G1376">
        <v>0</v>
      </c>
      <c r="H1376">
        <f t="shared" si="21"/>
        <v>3</v>
      </c>
    </row>
    <row r="1377" spans="1:8">
      <c r="A1377">
        <v>8107</v>
      </c>
      <c r="C1377">
        <v>1</v>
      </c>
      <c r="D1377">
        <v>1</v>
      </c>
      <c r="E1377">
        <v>2</v>
      </c>
      <c r="F1377">
        <v>1</v>
      </c>
      <c r="G1377">
        <v>0</v>
      </c>
      <c r="H1377">
        <f t="shared" si="21"/>
        <v>5</v>
      </c>
    </row>
    <row r="1378" spans="1:8">
      <c r="A1378">
        <v>8109</v>
      </c>
      <c r="C1378">
        <v>1</v>
      </c>
      <c r="D1378">
        <v>1</v>
      </c>
      <c r="E1378">
        <v>2</v>
      </c>
      <c r="F1378">
        <v>1</v>
      </c>
      <c r="G1378">
        <v>0</v>
      </c>
      <c r="H1378">
        <f t="shared" si="21"/>
        <v>5</v>
      </c>
    </row>
    <row r="1379" spans="1:8">
      <c r="A1379">
        <v>8110</v>
      </c>
      <c r="C1379">
        <v>0</v>
      </c>
      <c r="D1379">
        <v>1</v>
      </c>
      <c r="E1379">
        <v>2</v>
      </c>
      <c r="F1379">
        <v>1</v>
      </c>
      <c r="G1379">
        <v>0</v>
      </c>
      <c r="H1379">
        <f t="shared" si="21"/>
        <v>4</v>
      </c>
    </row>
    <row r="1380" spans="1:8">
      <c r="A1380">
        <v>8111</v>
      </c>
      <c r="C1380">
        <v>0</v>
      </c>
      <c r="D1380">
        <v>1</v>
      </c>
      <c r="E1380">
        <v>0</v>
      </c>
      <c r="F1380">
        <v>1</v>
      </c>
      <c r="G1380">
        <v>0</v>
      </c>
      <c r="H1380">
        <f t="shared" si="21"/>
        <v>2</v>
      </c>
    </row>
    <row r="1381" spans="1:8">
      <c r="A1381">
        <v>8112</v>
      </c>
      <c r="C1381">
        <v>0</v>
      </c>
      <c r="D1381">
        <v>1</v>
      </c>
      <c r="E1381">
        <v>2</v>
      </c>
      <c r="F1381">
        <v>1</v>
      </c>
      <c r="G1381">
        <v>0</v>
      </c>
      <c r="H1381">
        <f t="shared" si="21"/>
        <v>4</v>
      </c>
    </row>
    <row r="1382" spans="1:8">
      <c r="A1382">
        <v>8114</v>
      </c>
      <c r="C1382">
        <v>1</v>
      </c>
      <c r="D1382">
        <v>1</v>
      </c>
      <c r="E1382">
        <v>1</v>
      </c>
      <c r="F1382">
        <v>1</v>
      </c>
      <c r="G1382">
        <v>0</v>
      </c>
      <c r="H1382">
        <f t="shared" si="21"/>
        <v>4</v>
      </c>
    </row>
    <row r="1383" spans="1:8">
      <c r="A1383">
        <v>8121</v>
      </c>
      <c r="C1383">
        <v>0</v>
      </c>
      <c r="D1383">
        <v>0</v>
      </c>
      <c r="E1383">
        <v>0</v>
      </c>
      <c r="F1383">
        <v>1</v>
      </c>
      <c r="G1383">
        <v>0</v>
      </c>
      <c r="H1383">
        <f t="shared" si="21"/>
        <v>1</v>
      </c>
    </row>
    <row r="1384" spans="1:8">
      <c r="A1384">
        <v>8131</v>
      </c>
      <c r="C1384">
        <v>0</v>
      </c>
      <c r="D1384">
        <v>1</v>
      </c>
      <c r="E1384">
        <v>0</v>
      </c>
      <c r="F1384">
        <v>1</v>
      </c>
      <c r="G1384">
        <v>0</v>
      </c>
      <c r="H1384">
        <f t="shared" si="21"/>
        <v>2</v>
      </c>
    </row>
    <row r="1385" spans="1:8">
      <c r="A1385">
        <v>8147</v>
      </c>
      <c r="C1385">
        <v>0</v>
      </c>
      <c r="D1385">
        <v>1</v>
      </c>
      <c r="E1385">
        <v>0</v>
      </c>
      <c r="F1385">
        <v>1</v>
      </c>
      <c r="G1385">
        <v>0</v>
      </c>
      <c r="H1385">
        <f t="shared" si="21"/>
        <v>2</v>
      </c>
    </row>
    <row r="1386" spans="1:8">
      <c r="A1386">
        <v>8150</v>
      </c>
      <c r="C1386">
        <v>0</v>
      </c>
      <c r="D1386">
        <v>1</v>
      </c>
      <c r="E1386">
        <v>0</v>
      </c>
      <c r="F1386">
        <v>1</v>
      </c>
      <c r="G1386">
        <v>0</v>
      </c>
      <c r="H1386">
        <f t="shared" si="21"/>
        <v>2</v>
      </c>
    </row>
    <row r="1387" spans="1:8">
      <c r="A1387">
        <v>8155</v>
      </c>
      <c r="C1387">
        <v>0</v>
      </c>
      <c r="D1387">
        <v>1</v>
      </c>
      <c r="E1387">
        <v>1</v>
      </c>
      <c r="F1387">
        <v>1</v>
      </c>
      <c r="G1387">
        <v>0</v>
      </c>
      <c r="H1387">
        <f t="shared" si="21"/>
        <v>3</v>
      </c>
    </row>
    <row r="1388" spans="1:8">
      <c r="A1388">
        <v>8163</v>
      </c>
      <c r="C1388">
        <v>0</v>
      </c>
      <c r="D1388">
        <v>1</v>
      </c>
      <c r="E1388">
        <v>0</v>
      </c>
      <c r="F1388">
        <v>1</v>
      </c>
      <c r="G1388">
        <v>0</v>
      </c>
      <c r="H1388">
        <f t="shared" si="21"/>
        <v>2</v>
      </c>
    </row>
    <row r="1389" spans="1:8">
      <c r="A1389">
        <v>8171</v>
      </c>
      <c r="C1389">
        <v>0</v>
      </c>
      <c r="D1389">
        <v>1</v>
      </c>
      <c r="E1389">
        <v>1</v>
      </c>
      <c r="F1389">
        <v>0</v>
      </c>
      <c r="G1389">
        <v>0</v>
      </c>
      <c r="H1389">
        <f t="shared" si="21"/>
        <v>2</v>
      </c>
    </row>
    <row r="1390" spans="1:8">
      <c r="A1390">
        <v>8176</v>
      </c>
      <c r="C1390">
        <v>1</v>
      </c>
      <c r="D1390">
        <v>1</v>
      </c>
      <c r="E1390">
        <v>2</v>
      </c>
      <c r="F1390">
        <v>1</v>
      </c>
      <c r="G1390">
        <v>0</v>
      </c>
      <c r="H1390">
        <f t="shared" si="21"/>
        <v>5</v>
      </c>
    </row>
    <row r="1391" spans="1:8">
      <c r="A1391">
        <v>8182</v>
      </c>
      <c r="C1391">
        <v>0</v>
      </c>
      <c r="D1391">
        <v>1</v>
      </c>
      <c r="E1391">
        <v>0</v>
      </c>
      <c r="F1391">
        <v>1</v>
      </c>
      <c r="G1391">
        <v>0</v>
      </c>
      <c r="H1391">
        <f t="shared" si="21"/>
        <v>2</v>
      </c>
    </row>
    <row r="1392" spans="1:8">
      <c r="A1392">
        <v>8183</v>
      </c>
      <c r="C1392">
        <v>0</v>
      </c>
      <c r="D1392">
        <v>1</v>
      </c>
      <c r="E1392">
        <v>2</v>
      </c>
      <c r="F1392">
        <v>1</v>
      </c>
      <c r="G1392">
        <v>0</v>
      </c>
      <c r="H1392">
        <f t="shared" si="21"/>
        <v>4</v>
      </c>
    </row>
    <row r="1393" spans="1:8">
      <c r="A1393">
        <v>8201</v>
      </c>
      <c r="C1393">
        <v>0</v>
      </c>
      <c r="D1393">
        <v>1</v>
      </c>
      <c r="E1393">
        <v>1</v>
      </c>
      <c r="F1393">
        <v>1</v>
      </c>
      <c r="G1393">
        <v>0</v>
      </c>
      <c r="H1393">
        <f t="shared" si="21"/>
        <v>3</v>
      </c>
    </row>
    <row r="1394" spans="1:8">
      <c r="A1394">
        <v>8210</v>
      </c>
      <c r="C1394">
        <v>1</v>
      </c>
      <c r="D1394">
        <v>1</v>
      </c>
      <c r="E1394">
        <v>1</v>
      </c>
      <c r="F1394">
        <v>1</v>
      </c>
      <c r="G1394">
        <v>0</v>
      </c>
      <c r="H1394">
        <f t="shared" si="21"/>
        <v>4</v>
      </c>
    </row>
    <row r="1395" spans="1:8">
      <c r="A1395">
        <v>8213</v>
      </c>
      <c r="C1395">
        <v>0</v>
      </c>
      <c r="D1395">
        <v>1</v>
      </c>
      <c r="E1395">
        <v>2</v>
      </c>
      <c r="F1395">
        <v>0</v>
      </c>
      <c r="G1395">
        <v>0</v>
      </c>
      <c r="H1395">
        <f t="shared" si="21"/>
        <v>3</v>
      </c>
    </row>
    <row r="1396" spans="1:8">
      <c r="A1396">
        <v>8215</v>
      </c>
      <c r="C1396">
        <v>0</v>
      </c>
      <c r="D1396">
        <v>0</v>
      </c>
      <c r="E1396">
        <v>2</v>
      </c>
      <c r="F1396">
        <v>0</v>
      </c>
      <c r="G1396">
        <v>0</v>
      </c>
      <c r="H1396">
        <f t="shared" si="21"/>
        <v>2</v>
      </c>
    </row>
    <row r="1397" spans="1:8">
      <c r="A1397">
        <v>8222</v>
      </c>
      <c r="C1397">
        <v>1</v>
      </c>
      <c r="D1397">
        <v>1</v>
      </c>
      <c r="E1397">
        <v>0</v>
      </c>
      <c r="F1397">
        <v>1</v>
      </c>
      <c r="G1397">
        <v>0</v>
      </c>
      <c r="H1397">
        <f t="shared" si="21"/>
        <v>3</v>
      </c>
    </row>
    <row r="1398" spans="1:8">
      <c r="A1398">
        <v>8234</v>
      </c>
      <c r="C1398">
        <v>0</v>
      </c>
      <c r="D1398">
        <v>1</v>
      </c>
      <c r="E1398">
        <v>0</v>
      </c>
      <c r="F1398">
        <v>1</v>
      </c>
      <c r="G1398">
        <v>0</v>
      </c>
      <c r="H1398">
        <f t="shared" si="21"/>
        <v>2</v>
      </c>
    </row>
    <row r="1399" spans="1:8">
      <c r="A1399">
        <v>8240</v>
      </c>
      <c r="C1399">
        <v>0</v>
      </c>
      <c r="D1399">
        <v>1</v>
      </c>
      <c r="E1399">
        <v>2</v>
      </c>
      <c r="F1399">
        <v>1</v>
      </c>
      <c r="G1399">
        <v>0</v>
      </c>
      <c r="H1399">
        <f t="shared" si="21"/>
        <v>4</v>
      </c>
    </row>
    <row r="1400" spans="1:8">
      <c r="A1400">
        <v>8249</v>
      </c>
      <c r="C1400">
        <v>1</v>
      </c>
      <c r="D1400">
        <v>1</v>
      </c>
      <c r="E1400">
        <v>1</v>
      </c>
      <c r="F1400">
        <v>1</v>
      </c>
      <c r="G1400">
        <v>0</v>
      </c>
      <c r="H1400">
        <f t="shared" si="21"/>
        <v>4</v>
      </c>
    </row>
    <row r="1401" spans="1:8">
      <c r="A1401">
        <v>8255</v>
      </c>
      <c r="C1401">
        <v>1</v>
      </c>
      <c r="D1401">
        <v>1</v>
      </c>
      <c r="E1401">
        <v>0</v>
      </c>
      <c r="F1401">
        <v>1</v>
      </c>
      <c r="G1401">
        <v>0</v>
      </c>
      <c r="H1401">
        <f t="shared" si="21"/>
        <v>3</v>
      </c>
    </row>
    <row r="1402" spans="1:8">
      <c r="A1402">
        <v>8261</v>
      </c>
      <c r="C1402">
        <v>0</v>
      </c>
      <c r="D1402">
        <v>1</v>
      </c>
      <c r="E1402">
        <v>1</v>
      </c>
      <c r="F1402">
        <v>1</v>
      </c>
      <c r="G1402">
        <v>0</v>
      </c>
      <c r="H1402">
        <f t="shared" si="21"/>
        <v>3</v>
      </c>
    </row>
    <row r="1403" spans="1:8">
      <c r="A1403">
        <v>8266</v>
      </c>
      <c r="C1403">
        <v>1</v>
      </c>
      <c r="D1403">
        <v>1</v>
      </c>
      <c r="E1403">
        <v>0</v>
      </c>
      <c r="F1403">
        <v>1</v>
      </c>
      <c r="G1403">
        <v>0</v>
      </c>
      <c r="H1403">
        <f t="shared" si="21"/>
        <v>3</v>
      </c>
    </row>
    <row r="1404" spans="1:8">
      <c r="A1404">
        <v>8271</v>
      </c>
      <c r="C1404">
        <v>0</v>
      </c>
      <c r="D1404">
        <v>0</v>
      </c>
      <c r="E1404">
        <v>1</v>
      </c>
      <c r="F1404">
        <v>1</v>
      </c>
      <c r="G1404">
        <v>0</v>
      </c>
      <c r="H1404">
        <f t="shared" si="21"/>
        <v>2</v>
      </c>
    </row>
    <row r="1405" spans="1:8">
      <c r="A1405">
        <v>8277</v>
      </c>
      <c r="C1405">
        <v>0</v>
      </c>
      <c r="D1405">
        <v>1</v>
      </c>
      <c r="E1405">
        <v>0</v>
      </c>
      <c r="F1405">
        <v>1</v>
      </c>
      <c r="G1405">
        <v>0</v>
      </c>
      <c r="H1405">
        <f t="shared" si="21"/>
        <v>2</v>
      </c>
    </row>
    <row r="1406" spans="1:8">
      <c r="A1406">
        <v>8287</v>
      </c>
      <c r="C1406">
        <v>0</v>
      </c>
      <c r="D1406">
        <v>1</v>
      </c>
      <c r="E1406">
        <v>1</v>
      </c>
      <c r="F1406">
        <v>0</v>
      </c>
      <c r="G1406">
        <v>0</v>
      </c>
      <c r="H1406">
        <f t="shared" si="21"/>
        <v>2</v>
      </c>
    </row>
    <row r="1407" spans="1:8">
      <c r="A1407">
        <v>8289</v>
      </c>
      <c r="C1407">
        <v>1</v>
      </c>
      <c r="D1407">
        <v>1</v>
      </c>
      <c r="E1407">
        <v>1</v>
      </c>
      <c r="F1407">
        <v>1</v>
      </c>
      <c r="G1407">
        <v>0</v>
      </c>
      <c r="H1407">
        <f t="shared" si="21"/>
        <v>4</v>
      </c>
    </row>
    <row r="1408" spans="1:8">
      <c r="A1408">
        <v>8291</v>
      </c>
      <c r="C1408">
        <v>0</v>
      </c>
      <c r="D1408">
        <v>0</v>
      </c>
      <c r="E1408">
        <v>0</v>
      </c>
      <c r="F1408">
        <v>0</v>
      </c>
      <c r="G1408">
        <v>0</v>
      </c>
      <c r="H1408">
        <f t="shared" si="21"/>
        <v>0</v>
      </c>
    </row>
    <row r="1409" spans="1:8">
      <c r="A1409">
        <v>8299</v>
      </c>
      <c r="C1409">
        <v>1</v>
      </c>
      <c r="D1409">
        <v>1</v>
      </c>
      <c r="E1409">
        <v>1</v>
      </c>
      <c r="F1409">
        <v>1</v>
      </c>
      <c r="G1409">
        <v>0</v>
      </c>
      <c r="H1409">
        <f t="shared" si="21"/>
        <v>4</v>
      </c>
    </row>
    <row r="1410" spans="1:8">
      <c r="A1410">
        <v>8341</v>
      </c>
      <c r="C1410">
        <v>1</v>
      </c>
      <c r="D1410">
        <v>1</v>
      </c>
      <c r="E1410">
        <v>1</v>
      </c>
      <c r="F1410">
        <v>1</v>
      </c>
      <c r="G1410">
        <v>0</v>
      </c>
      <c r="H1410">
        <f t="shared" si="21"/>
        <v>4</v>
      </c>
    </row>
    <row r="1411" spans="1:8">
      <c r="A1411">
        <v>8349</v>
      </c>
      <c r="C1411">
        <v>0</v>
      </c>
      <c r="D1411">
        <v>1</v>
      </c>
      <c r="E1411">
        <v>0</v>
      </c>
      <c r="F1411">
        <v>0</v>
      </c>
      <c r="G1411">
        <v>0</v>
      </c>
      <c r="H1411">
        <f t="shared" ref="H1411:H1474" si="22">SUM(C1411:G1411)</f>
        <v>1</v>
      </c>
    </row>
    <row r="1412" spans="1:8">
      <c r="A1412">
        <v>8354</v>
      </c>
      <c r="C1412">
        <v>1</v>
      </c>
      <c r="D1412">
        <v>1</v>
      </c>
      <c r="E1412">
        <v>0</v>
      </c>
      <c r="F1412">
        <v>1</v>
      </c>
      <c r="G1412">
        <v>0</v>
      </c>
      <c r="H1412">
        <f t="shared" si="22"/>
        <v>3</v>
      </c>
    </row>
    <row r="1413" spans="1:8">
      <c r="A1413">
        <v>8358</v>
      </c>
      <c r="C1413">
        <v>0</v>
      </c>
      <c r="D1413">
        <v>1</v>
      </c>
      <c r="E1413">
        <v>1</v>
      </c>
      <c r="F1413">
        <v>1</v>
      </c>
      <c r="G1413">
        <v>0</v>
      </c>
      <c r="H1413">
        <f t="shared" si="22"/>
        <v>3</v>
      </c>
    </row>
    <row r="1414" spans="1:8">
      <c r="A1414">
        <v>8374</v>
      </c>
      <c r="C1414">
        <v>0</v>
      </c>
      <c r="D1414">
        <v>0</v>
      </c>
      <c r="E1414">
        <v>0</v>
      </c>
      <c r="F1414">
        <v>0</v>
      </c>
      <c r="G1414">
        <v>0</v>
      </c>
      <c r="H1414">
        <f t="shared" si="22"/>
        <v>0</v>
      </c>
    </row>
    <row r="1415" spans="1:8">
      <c r="A1415">
        <v>8383</v>
      </c>
      <c r="C1415">
        <v>1</v>
      </c>
      <c r="D1415">
        <v>1</v>
      </c>
      <c r="E1415">
        <v>0</v>
      </c>
      <c r="F1415">
        <v>1</v>
      </c>
      <c r="G1415">
        <v>0</v>
      </c>
      <c r="H1415">
        <f t="shared" si="22"/>
        <v>3</v>
      </c>
    </row>
    <row r="1416" spans="1:8">
      <c r="A1416">
        <v>8390</v>
      </c>
      <c r="C1416">
        <v>0</v>
      </c>
      <c r="D1416">
        <v>0</v>
      </c>
      <c r="E1416">
        <v>0</v>
      </c>
      <c r="F1416">
        <v>0</v>
      </c>
      <c r="G1416">
        <v>0</v>
      </c>
      <c r="H1416">
        <f t="shared" si="22"/>
        <v>0</v>
      </c>
    </row>
    <row r="1417" spans="1:8">
      <c r="A1417">
        <v>8401</v>
      </c>
      <c r="C1417">
        <v>0</v>
      </c>
      <c r="D1417">
        <v>0</v>
      </c>
      <c r="E1417">
        <v>0</v>
      </c>
      <c r="F1417">
        <v>1</v>
      </c>
      <c r="G1417">
        <v>0</v>
      </c>
      <c r="H1417">
        <f t="shared" si="22"/>
        <v>1</v>
      </c>
    </row>
    <row r="1418" spans="1:8">
      <c r="A1418">
        <v>8403</v>
      </c>
      <c r="C1418">
        <v>0</v>
      </c>
      <c r="D1418">
        <v>1</v>
      </c>
      <c r="E1418">
        <v>0</v>
      </c>
      <c r="F1418">
        <v>0</v>
      </c>
      <c r="G1418">
        <v>0</v>
      </c>
      <c r="H1418">
        <f t="shared" si="22"/>
        <v>1</v>
      </c>
    </row>
    <row r="1419" spans="1:8">
      <c r="A1419">
        <v>8404</v>
      </c>
      <c r="C1419">
        <v>0</v>
      </c>
      <c r="D1419">
        <v>1</v>
      </c>
      <c r="E1419">
        <v>0</v>
      </c>
      <c r="F1419">
        <v>1</v>
      </c>
      <c r="G1419">
        <v>0</v>
      </c>
      <c r="H1419">
        <f t="shared" si="22"/>
        <v>2</v>
      </c>
    </row>
    <row r="1420" spans="1:8">
      <c r="A1420">
        <v>8406</v>
      </c>
      <c r="C1420">
        <v>0</v>
      </c>
      <c r="D1420">
        <v>0</v>
      </c>
      <c r="E1420">
        <v>0</v>
      </c>
      <c r="F1420">
        <v>1</v>
      </c>
      <c r="G1420">
        <v>0</v>
      </c>
      <c r="H1420">
        <f t="shared" si="22"/>
        <v>1</v>
      </c>
    </row>
    <row r="1421" spans="1:8">
      <c r="A1421">
        <v>8409</v>
      </c>
      <c r="C1421">
        <v>0</v>
      </c>
      <c r="D1421">
        <v>1</v>
      </c>
      <c r="E1421">
        <v>0</v>
      </c>
      <c r="F1421">
        <v>1</v>
      </c>
      <c r="G1421">
        <v>0</v>
      </c>
      <c r="H1421">
        <f t="shared" si="22"/>
        <v>2</v>
      </c>
    </row>
    <row r="1422" spans="1:8">
      <c r="A1422">
        <v>8410</v>
      </c>
      <c r="C1422">
        <v>0</v>
      </c>
      <c r="D1422">
        <v>1</v>
      </c>
      <c r="E1422">
        <v>2</v>
      </c>
      <c r="F1422">
        <v>0</v>
      </c>
      <c r="G1422">
        <v>0</v>
      </c>
      <c r="H1422">
        <f t="shared" si="22"/>
        <v>3</v>
      </c>
    </row>
    <row r="1423" spans="1:8">
      <c r="A1423">
        <v>8411</v>
      </c>
      <c r="C1423">
        <v>1</v>
      </c>
      <c r="D1423">
        <v>1</v>
      </c>
      <c r="E1423">
        <v>2</v>
      </c>
      <c r="F1423">
        <v>1</v>
      </c>
      <c r="G1423">
        <v>0</v>
      </c>
      <c r="H1423">
        <f t="shared" si="22"/>
        <v>5</v>
      </c>
    </row>
    <row r="1424" spans="1:8">
      <c r="A1424">
        <v>8416</v>
      </c>
      <c r="C1424">
        <v>0</v>
      </c>
      <c r="D1424">
        <v>0</v>
      </c>
      <c r="E1424">
        <v>0</v>
      </c>
      <c r="F1424">
        <v>1</v>
      </c>
      <c r="G1424">
        <v>0</v>
      </c>
      <c r="H1424">
        <f t="shared" si="22"/>
        <v>1</v>
      </c>
    </row>
    <row r="1425" spans="1:8">
      <c r="A1425">
        <v>8418</v>
      </c>
      <c r="C1425">
        <v>0</v>
      </c>
      <c r="D1425">
        <v>0</v>
      </c>
      <c r="E1425">
        <v>0</v>
      </c>
      <c r="F1425">
        <v>1</v>
      </c>
      <c r="G1425">
        <v>0</v>
      </c>
      <c r="H1425">
        <f t="shared" si="22"/>
        <v>1</v>
      </c>
    </row>
    <row r="1426" spans="1:8">
      <c r="A1426">
        <v>8420</v>
      </c>
      <c r="C1426">
        <v>0</v>
      </c>
      <c r="D1426">
        <v>1</v>
      </c>
      <c r="E1426">
        <v>0</v>
      </c>
      <c r="F1426">
        <v>1</v>
      </c>
      <c r="G1426">
        <v>0</v>
      </c>
      <c r="H1426">
        <f t="shared" si="22"/>
        <v>2</v>
      </c>
    </row>
    <row r="1427" spans="1:8">
      <c r="A1427">
        <v>8421</v>
      </c>
      <c r="C1427">
        <v>1</v>
      </c>
      <c r="D1427">
        <v>1</v>
      </c>
      <c r="E1427">
        <v>2</v>
      </c>
      <c r="F1427">
        <v>1</v>
      </c>
      <c r="G1427">
        <v>0</v>
      </c>
      <c r="H1427">
        <f t="shared" si="22"/>
        <v>5</v>
      </c>
    </row>
    <row r="1428" spans="1:8">
      <c r="A1428">
        <v>8422</v>
      </c>
      <c r="C1428">
        <v>1</v>
      </c>
      <c r="D1428">
        <v>1</v>
      </c>
      <c r="E1428">
        <v>2</v>
      </c>
      <c r="F1428">
        <v>1</v>
      </c>
      <c r="G1428">
        <v>0</v>
      </c>
      <c r="H1428">
        <f t="shared" si="22"/>
        <v>5</v>
      </c>
    </row>
    <row r="1429" spans="1:8">
      <c r="A1429">
        <v>8423</v>
      </c>
      <c r="C1429">
        <v>1</v>
      </c>
      <c r="D1429">
        <v>1</v>
      </c>
      <c r="E1429">
        <v>0</v>
      </c>
      <c r="F1429">
        <v>1</v>
      </c>
      <c r="G1429">
        <v>0</v>
      </c>
      <c r="H1429">
        <f t="shared" si="22"/>
        <v>3</v>
      </c>
    </row>
    <row r="1430" spans="1:8">
      <c r="A1430">
        <v>8424</v>
      </c>
      <c r="C1430">
        <v>0</v>
      </c>
      <c r="D1430">
        <v>1</v>
      </c>
      <c r="E1430">
        <v>0</v>
      </c>
      <c r="F1430">
        <v>0</v>
      </c>
      <c r="G1430">
        <v>0</v>
      </c>
      <c r="H1430">
        <f t="shared" si="22"/>
        <v>1</v>
      </c>
    </row>
    <row r="1431" spans="1:8">
      <c r="A1431">
        <v>8426</v>
      </c>
      <c r="C1431">
        <v>1</v>
      </c>
      <c r="D1431">
        <v>1</v>
      </c>
      <c r="E1431">
        <v>1</v>
      </c>
      <c r="F1431">
        <v>1</v>
      </c>
      <c r="G1431">
        <v>0</v>
      </c>
      <c r="H1431">
        <f t="shared" si="22"/>
        <v>4</v>
      </c>
    </row>
    <row r="1432" spans="1:8">
      <c r="A1432">
        <v>8427</v>
      </c>
      <c r="C1432">
        <v>0</v>
      </c>
      <c r="D1432">
        <v>1</v>
      </c>
      <c r="E1432">
        <v>0</v>
      </c>
      <c r="F1432">
        <v>0</v>
      </c>
      <c r="G1432">
        <v>0</v>
      </c>
      <c r="H1432">
        <f t="shared" si="22"/>
        <v>1</v>
      </c>
    </row>
    <row r="1433" spans="1:8">
      <c r="A1433">
        <v>8429</v>
      </c>
      <c r="C1433">
        <v>0</v>
      </c>
      <c r="D1433">
        <v>0</v>
      </c>
      <c r="E1433">
        <v>0</v>
      </c>
      <c r="F1433">
        <v>1</v>
      </c>
      <c r="G1433">
        <v>0</v>
      </c>
      <c r="H1433">
        <f t="shared" si="22"/>
        <v>1</v>
      </c>
    </row>
    <row r="1434" spans="1:8">
      <c r="A1434">
        <v>8431</v>
      </c>
      <c r="C1434">
        <v>0</v>
      </c>
      <c r="D1434">
        <v>0</v>
      </c>
      <c r="E1434">
        <v>0</v>
      </c>
      <c r="F1434">
        <v>1</v>
      </c>
      <c r="G1434">
        <v>0</v>
      </c>
      <c r="H1434">
        <f t="shared" si="22"/>
        <v>1</v>
      </c>
    </row>
    <row r="1435" spans="1:8">
      <c r="A1435">
        <v>8432</v>
      </c>
      <c r="C1435">
        <v>0</v>
      </c>
      <c r="D1435">
        <v>1</v>
      </c>
      <c r="E1435">
        <v>0</v>
      </c>
      <c r="F1435">
        <v>0</v>
      </c>
      <c r="G1435">
        <v>0</v>
      </c>
      <c r="H1435">
        <f t="shared" si="22"/>
        <v>1</v>
      </c>
    </row>
    <row r="1436" spans="1:8">
      <c r="A1436">
        <v>8433</v>
      </c>
      <c r="C1436">
        <v>1</v>
      </c>
      <c r="D1436">
        <v>1</v>
      </c>
      <c r="E1436">
        <v>0</v>
      </c>
      <c r="F1436">
        <v>1</v>
      </c>
      <c r="G1436">
        <v>1</v>
      </c>
      <c r="H1436">
        <f t="shared" si="22"/>
        <v>4</v>
      </c>
    </row>
    <row r="1437" spans="1:8">
      <c r="A1437">
        <v>8435</v>
      </c>
      <c r="C1437">
        <v>0</v>
      </c>
      <c r="D1437">
        <v>1</v>
      </c>
      <c r="E1437">
        <v>0</v>
      </c>
      <c r="F1437">
        <v>1</v>
      </c>
      <c r="G1437">
        <v>0</v>
      </c>
      <c r="H1437">
        <f t="shared" si="22"/>
        <v>2</v>
      </c>
    </row>
    <row r="1438" spans="1:8">
      <c r="A1438">
        <v>8436</v>
      </c>
      <c r="C1438">
        <v>0</v>
      </c>
      <c r="D1438">
        <v>0</v>
      </c>
      <c r="E1438">
        <v>2</v>
      </c>
      <c r="F1438">
        <v>1</v>
      </c>
      <c r="G1438">
        <v>1</v>
      </c>
      <c r="H1438">
        <f t="shared" si="22"/>
        <v>4</v>
      </c>
    </row>
    <row r="1439" spans="1:8">
      <c r="A1439">
        <v>8437</v>
      </c>
      <c r="C1439">
        <v>1</v>
      </c>
      <c r="D1439">
        <v>1</v>
      </c>
      <c r="E1439">
        <v>1</v>
      </c>
      <c r="F1439">
        <v>1</v>
      </c>
      <c r="G1439">
        <v>1</v>
      </c>
      <c r="H1439">
        <f t="shared" si="22"/>
        <v>5</v>
      </c>
    </row>
    <row r="1440" spans="1:8">
      <c r="A1440">
        <v>8443</v>
      </c>
      <c r="C1440">
        <v>0</v>
      </c>
      <c r="D1440">
        <v>0</v>
      </c>
      <c r="E1440">
        <v>0</v>
      </c>
      <c r="F1440">
        <v>1</v>
      </c>
      <c r="G1440">
        <v>0</v>
      </c>
      <c r="H1440">
        <f t="shared" si="22"/>
        <v>1</v>
      </c>
    </row>
    <row r="1441" spans="1:8">
      <c r="A1441">
        <v>8444</v>
      </c>
      <c r="C1441">
        <v>0</v>
      </c>
      <c r="D1441">
        <v>0</v>
      </c>
      <c r="E1441">
        <v>1</v>
      </c>
      <c r="F1441">
        <v>1</v>
      </c>
      <c r="G1441">
        <v>0</v>
      </c>
      <c r="H1441">
        <f t="shared" si="22"/>
        <v>2</v>
      </c>
    </row>
    <row r="1442" spans="1:8">
      <c r="A1442">
        <v>8446</v>
      </c>
      <c r="C1442">
        <v>0</v>
      </c>
      <c r="D1442">
        <v>1</v>
      </c>
      <c r="E1442">
        <v>0</v>
      </c>
      <c r="F1442">
        <v>1</v>
      </c>
      <c r="G1442">
        <v>0</v>
      </c>
      <c r="H1442">
        <f t="shared" si="22"/>
        <v>2</v>
      </c>
    </row>
    <row r="1443" spans="1:8">
      <c r="A1443">
        <v>8450</v>
      </c>
      <c r="C1443">
        <v>1</v>
      </c>
      <c r="D1443">
        <v>1</v>
      </c>
      <c r="E1443">
        <v>0</v>
      </c>
      <c r="F1443">
        <v>1</v>
      </c>
      <c r="G1443">
        <v>0</v>
      </c>
      <c r="H1443">
        <f t="shared" si="22"/>
        <v>3</v>
      </c>
    </row>
    <row r="1444" spans="1:8">
      <c r="A1444">
        <v>8454</v>
      </c>
      <c r="C1444">
        <v>0</v>
      </c>
      <c r="D1444">
        <v>0</v>
      </c>
      <c r="E1444">
        <v>1</v>
      </c>
      <c r="F1444">
        <v>1</v>
      </c>
      <c r="G1444">
        <v>0</v>
      </c>
      <c r="H1444">
        <f t="shared" si="22"/>
        <v>2</v>
      </c>
    </row>
    <row r="1445" spans="1:8">
      <c r="A1445">
        <v>8463</v>
      </c>
      <c r="C1445">
        <v>0</v>
      </c>
      <c r="D1445">
        <v>0</v>
      </c>
      <c r="E1445">
        <v>0</v>
      </c>
      <c r="F1445">
        <v>1</v>
      </c>
      <c r="G1445">
        <v>0</v>
      </c>
      <c r="H1445">
        <f t="shared" si="22"/>
        <v>1</v>
      </c>
    </row>
    <row r="1446" spans="1:8">
      <c r="A1446">
        <v>8905</v>
      </c>
      <c r="C1446">
        <v>0</v>
      </c>
      <c r="D1446">
        <v>1</v>
      </c>
      <c r="E1446">
        <v>0</v>
      </c>
      <c r="F1446">
        <v>0</v>
      </c>
      <c r="G1446">
        <v>0</v>
      </c>
      <c r="H1446">
        <f t="shared" si="22"/>
        <v>1</v>
      </c>
    </row>
    <row r="1447" spans="1:8">
      <c r="A1447">
        <v>8906</v>
      </c>
      <c r="C1447">
        <v>0</v>
      </c>
      <c r="D1447">
        <v>1</v>
      </c>
      <c r="E1447">
        <v>0</v>
      </c>
      <c r="F1447">
        <v>1</v>
      </c>
      <c r="G1447">
        <v>0</v>
      </c>
      <c r="H1447">
        <f t="shared" si="22"/>
        <v>2</v>
      </c>
    </row>
    <row r="1448" spans="1:8">
      <c r="A1448">
        <v>8908</v>
      </c>
      <c r="C1448">
        <v>0</v>
      </c>
      <c r="D1448">
        <v>0</v>
      </c>
      <c r="E1448">
        <v>1</v>
      </c>
      <c r="F1448">
        <v>1</v>
      </c>
      <c r="G1448">
        <v>0</v>
      </c>
      <c r="H1448">
        <f t="shared" si="22"/>
        <v>2</v>
      </c>
    </row>
    <row r="1449" spans="1:8">
      <c r="A1449">
        <v>8913</v>
      </c>
      <c r="C1449">
        <v>1</v>
      </c>
      <c r="D1449">
        <v>1</v>
      </c>
      <c r="E1449">
        <v>2</v>
      </c>
      <c r="F1449">
        <v>1</v>
      </c>
      <c r="G1449">
        <v>1</v>
      </c>
      <c r="H1449">
        <f t="shared" si="22"/>
        <v>6</v>
      </c>
    </row>
    <row r="1450" spans="1:8">
      <c r="A1450">
        <v>8916</v>
      </c>
      <c r="C1450">
        <v>1</v>
      </c>
      <c r="D1450">
        <v>1</v>
      </c>
      <c r="E1450">
        <v>2</v>
      </c>
      <c r="F1450">
        <v>1</v>
      </c>
      <c r="G1450">
        <v>0</v>
      </c>
      <c r="H1450">
        <f t="shared" si="22"/>
        <v>5</v>
      </c>
    </row>
    <row r="1451" spans="1:8">
      <c r="A1451">
        <v>8917</v>
      </c>
      <c r="C1451">
        <v>0</v>
      </c>
      <c r="D1451">
        <v>1</v>
      </c>
      <c r="E1451">
        <v>1</v>
      </c>
      <c r="F1451">
        <v>1</v>
      </c>
      <c r="G1451">
        <v>0</v>
      </c>
      <c r="H1451">
        <f t="shared" si="22"/>
        <v>3</v>
      </c>
    </row>
    <row r="1452" spans="1:8">
      <c r="A1452">
        <v>8921</v>
      </c>
      <c r="C1452">
        <v>0</v>
      </c>
      <c r="D1452">
        <v>1</v>
      </c>
      <c r="E1452">
        <v>1</v>
      </c>
      <c r="F1452">
        <v>1</v>
      </c>
      <c r="G1452">
        <v>0</v>
      </c>
      <c r="H1452">
        <f t="shared" si="22"/>
        <v>3</v>
      </c>
    </row>
    <row r="1453" spans="1:8">
      <c r="A1453">
        <v>8923</v>
      </c>
      <c r="C1453">
        <v>0</v>
      </c>
      <c r="D1453">
        <v>1</v>
      </c>
      <c r="E1453">
        <v>0</v>
      </c>
      <c r="F1453">
        <v>0</v>
      </c>
      <c r="G1453">
        <v>0</v>
      </c>
      <c r="H1453">
        <f t="shared" si="22"/>
        <v>1</v>
      </c>
    </row>
    <row r="1454" spans="1:8">
      <c r="A1454">
        <v>8924</v>
      </c>
      <c r="C1454">
        <v>0</v>
      </c>
      <c r="D1454">
        <v>1</v>
      </c>
      <c r="E1454">
        <v>0</v>
      </c>
      <c r="F1454">
        <v>0</v>
      </c>
      <c r="G1454">
        <v>0</v>
      </c>
      <c r="H1454">
        <f t="shared" si="22"/>
        <v>1</v>
      </c>
    </row>
    <row r="1455" spans="1:8">
      <c r="A1455">
        <v>8925</v>
      </c>
      <c r="C1455">
        <v>0</v>
      </c>
      <c r="D1455">
        <v>1</v>
      </c>
      <c r="E1455">
        <v>2</v>
      </c>
      <c r="F1455">
        <v>0</v>
      </c>
      <c r="G1455">
        <v>0</v>
      </c>
      <c r="H1455">
        <f t="shared" si="22"/>
        <v>3</v>
      </c>
    </row>
    <row r="1456" spans="1:8">
      <c r="A1456">
        <v>8926</v>
      </c>
      <c r="C1456">
        <v>0</v>
      </c>
      <c r="D1456">
        <v>0</v>
      </c>
      <c r="E1456">
        <v>2</v>
      </c>
      <c r="F1456">
        <v>1</v>
      </c>
      <c r="G1456">
        <v>0</v>
      </c>
      <c r="H1456">
        <f t="shared" si="22"/>
        <v>3</v>
      </c>
    </row>
    <row r="1457" spans="1:8">
      <c r="A1457">
        <v>8927</v>
      </c>
      <c r="C1457">
        <v>0</v>
      </c>
      <c r="D1457">
        <v>0</v>
      </c>
      <c r="E1457">
        <v>2</v>
      </c>
      <c r="F1457">
        <v>1</v>
      </c>
      <c r="G1457">
        <v>0</v>
      </c>
      <c r="H1457">
        <f t="shared" si="22"/>
        <v>3</v>
      </c>
    </row>
    <row r="1458" spans="1:8">
      <c r="A1458">
        <v>8928</v>
      </c>
      <c r="C1458">
        <v>0</v>
      </c>
      <c r="D1458">
        <v>1</v>
      </c>
      <c r="E1458">
        <v>2</v>
      </c>
      <c r="F1458">
        <v>0</v>
      </c>
      <c r="G1458">
        <v>0</v>
      </c>
      <c r="H1458">
        <f t="shared" si="22"/>
        <v>3</v>
      </c>
    </row>
    <row r="1459" spans="1:8">
      <c r="A1459">
        <v>8929</v>
      </c>
      <c r="C1459">
        <v>0</v>
      </c>
      <c r="D1459">
        <v>1</v>
      </c>
      <c r="E1459">
        <v>0</v>
      </c>
      <c r="F1459">
        <v>0</v>
      </c>
      <c r="G1459">
        <v>0</v>
      </c>
      <c r="H1459">
        <f t="shared" si="22"/>
        <v>1</v>
      </c>
    </row>
    <row r="1460" spans="1:8">
      <c r="A1460">
        <v>8930</v>
      </c>
      <c r="C1460">
        <v>0</v>
      </c>
      <c r="D1460">
        <v>0</v>
      </c>
      <c r="E1460">
        <v>0</v>
      </c>
      <c r="F1460">
        <v>1</v>
      </c>
      <c r="G1460">
        <v>0</v>
      </c>
      <c r="H1460">
        <f t="shared" si="22"/>
        <v>1</v>
      </c>
    </row>
    <row r="1461" spans="1:8">
      <c r="A1461">
        <v>8931</v>
      </c>
      <c r="C1461">
        <v>0</v>
      </c>
      <c r="D1461">
        <v>1</v>
      </c>
      <c r="E1461">
        <v>2</v>
      </c>
      <c r="F1461">
        <v>1</v>
      </c>
      <c r="G1461">
        <v>0</v>
      </c>
      <c r="H1461">
        <f t="shared" si="22"/>
        <v>4</v>
      </c>
    </row>
    <row r="1462" spans="1:8">
      <c r="A1462">
        <v>8932</v>
      </c>
      <c r="C1462">
        <v>0</v>
      </c>
      <c r="D1462">
        <v>1</v>
      </c>
      <c r="E1462">
        <v>0</v>
      </c>
      <c r="F1462">
        <v>1</v>
      </c>
      <c r="G1462">
        <v>0</v>
      </c>
      <c r="H1462">
        <f t="shared" si="22"/>
        <v>2</v>
      </c>
    </row>
    <row r="1463" spans="1:8">
      <c r="A1463">
        <v>8933</v>
      </c>
      <c r="C1463">
        <v>1</v>
      </c>
      <c r="D1463">
        <v>1</v>
      </c>
      <c r="E1463">
        <v>2</v>
      </c>
      <c r="F1463">
        <v>0</v>
      </c>
      <c r="G1463">
        <v>0</v>
      </c>
      <c r="H1463">
        <f t="shared" si="22"/>
        <v>4</v>
      </c>
    </row>
    <row r="1464" spans="1:8">
      <c r="A1464">
        <v>8934</v>
      </c>
      <c r="C1464">
        <v>0</v>
      </c>
      <c r="D1464">
        <v>1</v>
      </c>
      <c r="E1464">
        <v>1</v>
      </c>
      <c r="F1464">
        <v>0</v>
      </c>
      <c r="G1464">
        <v>0</v>
      </c>
      <c r="H1464">
        <f t="shared" si="22"/>
        <v>2</v>
      </c>
    </row>
    <row r="1465" spans="1:8">
      <c r="A1465">
        <v>8935</v>
      </c>
      <c r="C1465">
        <v>0</v>
      </c>
      <c r="D1465">
        <v>1</v>
      </c>
      <c r="E1465">
        <v>1</v>
      </c>
      <c r="F1465">
        <v>0</v>
      </c>
      <c r="G1465">
        <v>0</v>
      </c>
      <c r="H1465">
        <f t="shared" si="22"/>
        <v>2</v>
      </c>
    </row>
    <row r="1466" spans="1:8">
      <c r="A1466">
        <v>8936</v>
      </c>
      <c r="C1466">
        <v>0</v>
      </c>
      <c r="D1466">
        <v>1</v>
      </c>
      <c r="E1466">
        <v>0</v>
      </c>
      <c r="F1466">
        <v>0</v>
      </c>
      <c r="G1466">
        <v>0</v>
      </c>
      <c r="H1466">
        <f t="shared" si="22"/>
        <v>1</v>
      </c>
    </row>
    <row r="1467" spans="1:8">
      <c r="A1467">
        <v>8937</v>
      </c>
      <c r="C1467">
        <v>1</v>
      </c>
      <c r="D1467">
        <v>1</v>
      </c>
      <c r="E1467">
        <v>2</v>
      </c>
      <c r="F1467">
        <v>1</v>
      </c>
      <c r="G1467">
        <v>0</v>
      </c>
      <c r="H1467">
        <f t="shared" si="22"/>
        <v>5</v>
      </c>
    </row>
    <row r="1468" spans="1:8">
      <c r="A1468">
        <v>8938</v>
      </c>
      <c r="C1468">
        <v>0</v>
      </c>
      <c r="D1468">
        <v>1</v>
      </c>
      <c r="E1468">
        <v>1</v>
      </c>
      <c r="F1468">
        <v>0</v>
      </c>
      <c r="G1468">
        <v>0</v>
      </c>
      <c r="H1468">
        <f t="shared" si="22"/>
        <v>2</v>
      </c>
    </row>
    <row r="1469" spans="1:8">
      <c r="A1469">
        <v>8940</v>
      </c>
      <c r="C1469">
        <v>0</v>
      </c>
      <c r="D1469">
        <v>0</v>
      </c>
      <c r="E1469">
        <v>0</v>
      </c>
      <c r="F1469">
        <v>1</v>
      </c>
      <c r="G1469">
        <v>0</v>
      </c>
      <c r="H1469">
        <f t="shared" si="22"/>
        <v>1</v>
      </c>
    </row>
    <row r="1470" spans="1:8">
      <c r="A1470">
        <v>8941</v>
      </c>
      <c r="C1470">
        <v>0</v>
      </c>
      <c r="D1470">
        <v>1</v>
      </c>
      <c r="E1470">
        <v>0</v>
      </c>
      <c r="F1470">
        <v>0</v>
      </c>
      <c r="G1470">
        <v>0</v>
      </c>
      <c r="H1470">
        <f t="shared" si="22"/>
        <v>1</v>
      </c>
    </row>
    <row r="1471" spans="1:8">
      <c r="A1471">
        <v>8942</v>
      </c>
      <c r="C1471">
        <v>1</v>
      </c>
      <c r="D1471">
        <v>1</v>
      </c>
      <c r="E1471">
        <v>0</v>
      </c>
      <c r="F1471">
        <v>1</v>
      </c>
      <c r="G1471">
        <v>0</v>
      </c>
      <c r="H1471">
        <f t="shared" si="22"/>
        <v>3</v>
      </c>
    </row>
    <row r="1472" spans="1:8">
      <c r="A1472">
        <v>8996</v>
      </c>
      <c r="C1472">
        <v>0</v>
      </c>
      <c r="D1472">
        <v>1</v>
      </c>
      <c r="E1472">
        <v>0</v>
      </c>
      <c r="F1472">
        <v>0</v>
      </c>
      <c r="G1472">
        <v>0</v>
      </c>
      <c r="H1472">
        <f t="shared" si="22"/>
        <v>1</v>
      </c>
    </row>
    <row r="1473" spans="1:8">
      <c r="A1473">
        <v>9802</v>
      </c>
      <c r="C1473">
        <v>0</v>
      </c>
      <c r="D1473">
        <v>1</v>
      </c>
      <c r="E1473">
        <v>0</v>
      </c>
      <c r="F1473">
        <v>1</v>
      </c>
      <c r="G1473">
        <v>0</v>
      </c>
      <c r="H1473">
        <f t="shared" si="22"/>
        <v>2</v>
      </c>
    </row>
    <row r="1474" spans="1:8">
      <c r="A1474">
        <v>9902</v>
      </c>
      <c r="C1474">
        <v>1</v>
      </c>
      <c r="D1474">
        <v>1</v>
      </c>
      <c r="E1474">
        <v>0</v>
      </c>
      <c r="F1474">
        <v>0</v>
      </c>
      <c r="G1474">
        <v>0</v>
      </c>
      <c r="H1474">
        <f t="shared" si="22"/>
        <v>2</v>
      </c>
    </row>
    <row r="1475" spans="1:8">
      <c r="A1475">
        <v>9904</v>
      </c>
      <c r="C1475">
        <v>0</v>
      </c>
      <c r="D1475">
        <v>1</v>
      </c>
      <c r="E1475">
        <v>0</v>
      </c>
      <c r="F1475">
        <v>1</v>
      </c>
      <c r="G1475">
        <v>1</v>
      </c>
      <c r="H1475">
        <f t="shared" ref="H1475:H1514" si="23">SUM(C1475:G1475)</f>
        <v>3</v>
      </c>
    </row>
    <row r="1476" spans="1:8">
      <c r="A1476">
        <v>9905</v>
      </c>
      <c r="C1476">
        <v>0</v>
      </c>
      <c r="D1476">
        <v>0</v>
      </c>
      <c r="E1476">
        <v>0</v>
      </c>
      <c r="F1476">
        <v>0</v>
      </c>
      <c r="G1476">
        <v>0</v>
      </c>
      <c r="H1476">
        <f t="shared" si="23"/>
        <v>0</v>
      </c>
    </row>
    <row r="1477" spans="1:8">
      <c r="A1477">
        <v>9907</v>
      </c>
      <c r="C1477">
        <v>0</v>
      </c>
      <c r="D1477">
        <v>0</v>
      </c>
      <c r="E1477">
        <v>1</v>
      </c>
      <c r="F1477">
        <v>1</v>
      </c>
      <c r="G1477">
        <v>0</v>
      </c>
      <c r="H1477">
        <f t="shared" si="23"/>
        <v>2</v>
      </c>
    </row>
    <row r="1478" spans="1:8">
      <c r="A1478">
        <v>9908</v>
      </c>
      <c r="C1478">
        <v>1</v>
      </c>
      <c r="D1478">
        <v>1</v>
      </c>
      <c r="E1478">
        <v>1</v>
      </c>
      <c r="F1478">
        <v>1</v>
      </c>
      <c r="G1478">
        <v>0</v>
      </c>
      <c r="H1478">
        <f t="shared" si="23"/>
        <v>4</v>
      </c>
    </row>
    <row r="1479" spans="1:8">
      <c r="A1479">
        <v>9910</v>
      </c>
      <c r="C1479">
        <v>1</v>
      </c>
      <c r="D1479">
        <v>1</v>
      </c>
      <c r="E1479">
        <v>2</v>
      </c>
      <c r="F1479">
        <v>1</v>
      </c>
      <c r="G1479">
        <v>1</v>
      </c>
      <c r="H1479">
        <f t="shared" si="23"/>
        <v>6</v>
      </c>
    </row>
    <row r="1480" spans="1:8">
      <c r="A1480">
        <v>9911</v>
      </c>
      <c r="C1480">
        <v>0</v>
      </c>
      <c r="D1480">
        <v>1</v>
      </c>
      <c r="E1480">
        <v>0</v>
      </c>
      <c r="F1480">
        <v>1</v>
      </c>
      <c r="G1480">
        <v>0</v>
      </c>
      <c r="H1480">
        <f t="shared" si="23"/>
        <v>2</v>
      </c>
    </row>
    <row r="1481" spans="1:8">
      <c r="A1481">
        <v>9912</v>
      </c>
      <c r="C1481">
        <v>0</v>
      </c>
      <c r="D1481">
        <v>1</v>
      </c>
      <c r="E1481">
        <v>1</v>
      </c>
      <c r="F1481">
        <v>0</v>
      </c>
      <c r="G1481">
        <v>0</v>
      </c>
      <c r="H1481">
        <f t="shared" si="23"/>
        <v>2</v>
      </c>
    </row>
    <row r="1482" spans="1:8">
      <c r="A1482">
        <v>9914</v>
      </c>
      <c r="C1482">
        <v>1</v>
      </c>
      <c r="D1482">
        <v>1</v>
      </c>
      <c r="E1482">
        <v>1</v>
      </c>
      <c r="F1482">
        <v>1</v>
      </c>
      <c r="G1482">
        <v>0</v>
      </c>
      <c r="H1482">
        <f t="shared" si="23"/>
        <v>4</v>
      </c>
    </row>
    <row r="1483" spans="1:8">
      <c r="A1483">
        <v>9917</v>
      </c>
      <c r="C1483">
        <v>0</v>
      </c>
      <c r="D1483">
        <v>1</v>
      </c>
      <c r="E1483">
        <v>1</v>
      </c>
      <c r="F1483">
        <v>0</v>
      </c>
      <c r="G1483">
        <v>0</v>
      </c>
      <c r="H1483">
        <f t="shared" si="23"/>
        <v>2</v>
      </c>
    </row>
    <row r="1484" spans="1:8">
      <c r="A1484">
        <v>9918</v>
      </c>
      <c r="C1484">
        <v>0</v>
      </c>
      <c r="D1484">
        <v>1</v>
      </c>
      <c r="E1484">
        <v>0</v>
      </c>
      <c r="F1484">
        <v>1</v>
      </c>
      <c r="G1484">
        <v>0</v>
      </c>
      <c r="H1484">
        <f t="shared" si="23"/>
        <v>2</v>
      </c>
    </row>
    <row r="1485" spans="1:8">
      <c r="A1485">
        <v>9919</v>
      </c>
      <c r="C1485">
        <v>0</v>
      </c>
      <c r="D1485">
        <v>0</v>
      </c>
      <c r="E1485">
        <v>0</v>
      </c>
      <c r="F1485">
        <v>1</v>
      </c>
      <c r="G1485">
        <v>0</v>
      </c>
      <c r="H1485">
        <f t="shared" si="23"/>
        <v>1</v>
      </c>
    </row>
    <row r="1486" spans="1:8">
      <c r="A1486">
        <v>9921</v>
      </c>
      <c r="C1486">
        <v>1</v>
      </c>
      <c r="D1486">
        <v>1</v>
      </c>
      <c r="E1486">
        <v>0</v>
      </c>
      <c r="F1486">
        <v>1</v>
      </c>
      <c r="G1486">
        <v>0</v>
      </c>
      <c r="H1486">
        <f t="shared" si="23"/>
        <v>3</v>
      </c>
    </row>
    <row r="1487" spans="1:8">
      <c r="A1487">
        <v>9924</v>
      </c>
      <c r="C1487">
        <v>1</v>
      </c>
      <c r="D1487">
        <v>1</v>
      </c>
      <c r="E1487">
        <v>1</v>
      </c>
      <c r="F1487">
        <v>1</v>
      </c>
      <c r="G1487">
        <v>0</v>
      </c>
      <c r="H1487">
        <f t="shared" si="23"/>
        <v>4</v>
      </c>
    </row>
    <row r="1488" spans="1:8">
      <c r="A1488">
        <v>9925</v>
      </c>
      <c r="C1488">
        <v>0</v>
      </c>
      <c r="D1488">
        <v>0</v>
      </c>
      <c r="E1488">
        <v>1</v>
      </c>
      <c r="F1488">
        <v>1</v>
      </c>
      <c r="G1488">
        <v>0</v>
      </c>
      <c r="H1488">
        <f t="shared" si="23"/>
        <v>2</v>
      </c>
    </row>
    <row r="1489" spans="1:8">
      <c r="A1489">
        <v>9926</v>
      </c>
      <c r="C1489">
        <v>0</v>
      </c>
      <c r="D1489">
        <v>1</v>
      </c>
      <c r="E1489">
        <v>0</v>
      </c>
      <c r="F1489">
        <v>1</v>
      </c>
      <c r="G1489">
        <v>0</v>
      </c>
      <c r="H1489">
        <f t="shared" si="23"/>
        <v>2</v>
      </c>
    </row>
    <row r="1490" spans="1:8">
      <c r="A1490">
        <v>9927</v>
      </c>
      <c r="C1490">
        <v>0</v>
      </c>
      <c r="D1490">
        <v>0</v>
      </c>
      <c r="E1490">
        <v>2</v>
      </c>
      <c r="F1490">
        <v>1</v>
      </c>
      <c r="G1490">
        <v>0</v>
      </c>
      <c r="H1490">
        <f t="shared" si="23"/>
        <v>3</v>
      </c>
    </row>
    <row r="1491" spans="1:8">
      <c r="A1491">
        <v>9928</v>
      </c>
      <c r="C1491">
        <v>0</v>
      </c>
      <c r="D1491">
        <v>1</v>
      </c>
      <c r="E1491">
        <v>1</v>
      </c>
      <c r="F1491">
        <v>0</v>
      </c>
      <c r="G1491">
        <v>0</v>
      </c>
      <c r="H1491">
        <f t="shared" si="23"/>
        <v>2</v>
      </c>
    </row>
    <row r="1492" spans="1:8">
      <c r="A1492">
        <v>9929</v>
      </c>
      <c r="C1492">
        <v>0</v>
      </c>
      <c r="D1492">
        <v>1</v>
      </c>
      <c r="E1492">
        <v>2</v>
      </c>
      <c r="F1492">
        <v>0</v>
      </c>
      <c r="G1492">
        <v>0</v>
      </c>
      <c r="H1492">
        <f t="shared" si="23"/>
        <v>3</v>
      </c>
    </row>
    <row r="1493" spans="1:8">
      <c r="A1493">
        <v>9930</v>
      </c>
      <c r="C1493">
        <v>0</v>
      </c>
      <c r="D1493">
        <v>1</v>
      </c>
      <c r="E1493">
        <v>1</v>
      </c>
      <c r="F1493">
        <v>1</v>
      </c>
      <c r="G1493">
        <v>0</v>
      </c>
      <c r="H1493">
        <f t="shared" si="23"/>
        <v>3</v>
      </c>
    </row>
    <row r="1494" spans="1:8">
      <c r="A1494">
        <v>9931</v>
      </c>
      <c r="C1494">
        <v>0</v>
      </c>
      <c r="D1494">
        <v>1</v>
      </c>
      <c r="E1494">
        <v>0</v>
      </c>
      <c r="F1494">
        <v>1</v>
      </c>
      <c r="G1494">
        <v>0</v>
      </c>
      <c r="H1494">
        <f t="shared" si="23"/>
        <v>2</v>
      </c>
    </row>
    <row r="1495" spans="1:8">
      <c r="A1495">
        <v>9933</v>
      </c>
      <c r="C1495">
        <v>0</v>
      </c>
      <c r="D1495">
        <v>0</v>
      </c>
      <c r="E1495">
        <v>1</v>
      </c>
      <c r="F1495">
        <v>0</v>
      </c>
      <c r="G1495">
        <v>0</v>
      </c>
      <c r="H1495">
        <f t="shared" si="23"/>
        <v>1</v>
      </c>
    </row>
    <row r="1496" spans="1:8">
      <c r="A1496">
        <v>9934</v>
      </c>
      <c r="C1496">
        <v>0</v>
      </c>
      <c r="D1496">
        <v>1</v>
      </c>
      <c r="E1496">
        <v>1</v>
      </c>
      <c r="F1496">
        <v>1</v>
      </c>
      <c r="G1496">
        <v>0</v>
      </c>
      <c r="H1496">
        <f t="shared" si="23"/>
        <v>3</v>
      </c>
    </row>
    <row r="1497" spans="1:8">
      <c r="A1497">
        <v>9935</v>
      </c>
      <c r="C1497">
        <v>0</v>
      </c>
      <c r="D1497">
        <v>1</v>
      </c>
      <c r="E1497">
        <v>0</v>
      </c>
      <c r="F1497">
        <v>0</v>
      </c>
      <c r="G1497">
        <v>1</v>
      </c>
      <c r="H1497">
        <f t="shared" si="23"/>
        <v>2</v>
      </c>
    </row>
    <row r="1498" spans="1:8">
      <c r="A1498">
        <v>9937</v>
      </c>
      <c r="C1498">
        <v>0</v>
      </c>
      <c r="D1498">
        <v>1</v>
      </c>
      <c r="E1498">
        <v>2</v>
      </c>
      <c r="F1498">
        <v>0</v>
      </c>
      <c r="G1498">
        <v>0</v>
      </c>
      <c r="H1498">
        <f t="shared" si="23"/>
        <v>3</v>
      </c>
    </row>
    <row r="1499" spans="1:8">
      <c r="A1499">
        <v>9938</v>
      </c>
      <c r="C1499">
        <v>1</v>
      </c>
      <c r="D1499">
        <v>1</v>
      </c>
      <c r="E1499">
        <v>0</v>
      </c>
      <c r="F1499">
        <v>1</v>
      </c>
      <c r="G1499">
        <v>0</v>
      </c>
      <c r="H1499">
        <f t="shared" si="23"/>
        <v>3</v>
      </c>
    </row>
    <row r="1500" spans="1:8">
      <c r="A1500">
        <v>9939</v>
      </c>
      <c r="C1500">
        <v>0</v>
      </c>
      <c r="D1500">
        <v>0</v>
      </c>
      <c r="E1500">
        <v>0</v>
      </c>
      <c r="F1500">
        <v>1</v>
      </c>
      <c r="G1500">
        <v>0</v>
      </c>
      <c r="H1500">
        <f t="shared" si="23"/>
        <v>1</v>
      </c>
    </row>
    <row r="1501" spans="1:8">
      <c r="A1501">
        <v>9940</v>
      </c>
      <c r="C1501">
        <v>0</v>
      </c>
      <c r="D1501">
        <v>1</v>
      </c>
      <c r="E1501">
        <v>0</v>
      </c>
      <c r="F1501">
        <v>1</v>
      </c>
      <c r="G1501">
        <v>0</v>
      </c>
      <c r="H1501">
        <f t="shared" si="23"/>
        <v>2</v>
      </c>
    </row>
    <row r="1502" spans="1:8">
      <c r="A1502">
        <v>9941</v>
      </c>
      <c r="C1502">
        <v>0</v>
      </c>
      <c r="D1502">
        <v>0</v>
      </c>
      <c r="E1502">
        <v>0</v>
      </c>
      <c r="F1502">
        <v>0</v>
      </c>
      <c r="G1502">
        <v>0</v>
      </c>
      <c r="H1502">
        <f t="shared" si="23"/>
        <v>0</v>
      </c>
    </row>
    <row r="1503" spans="1:8">
      <c r="A1503">
        <v>9942</v>
      </c>
      <c r="C1503">
        <v>0</v>
      </c>
      <c r="D1503">
        <v>1</v>
      </c>
      <c r="E1503">
        <v>0</v>
      </c>
      <c r="F1503">
        <v>1</v>
      </c>
      <c r="G1503">
        <v>0</v>
      </c>
      <c r="H1503">
        <f t="shared" si="23"/>
        <v>2</v>
      </c>
    </row>
    <row r="1504" spans="1:8">
      <c r="A1504">
        <v>9943</v>
      </c>
      <c r="C1504">
        <v>0</v>
      </c>
      <c r="D1504">
        <v>1</v>
      </c>
      <c r="E1504">
        <v>0</v>
      </c>
      <c r="F1504">
        <v>1</v>
      </c>
      <c r="G1504">
        <v>0</v>
      </c>
      <c r="H1504">
        <f t="shared" si="23"/>
        <v>2</v>
      </c>
    </row>
    <row r="1505" spans="1:8">
      <c r="A1505">
        <v>9944</v>
      </c>
      <c r="C1505">
        <v>0</v>
      </c>
      <c r="D1505">
        <v>1</v>
      </c>
      <c r="E1505">
        <v>0</v>
      </c>
      <c r="F1505">
        <v>1</v>
      </c>
      <c r="G1505">
        <v>0</v>
      </c>
      <c r="H1505">
        <f t="shared" si="23"/>
        <v>2</v>
      </c>
    </row>
    <row r="1506" spans="1:8">
      <c r="A1506">
        <v>9945</v>
      </c>
      <c r="C1506">
        <v>1</v>
      </c>
      <c r="D1506">
        <v>1</v>
      </c>
      <c r="E1506">
        <v>2</v>
      </c>
      <c r="F1506">
        <v>1</v>
      </c>
      <c r="G1506">
        <v>0</v>
      </c>
      <c r="H1506">
        <f t="shared" si="23"/>
        <v>5</v>
      </c>
    </row>
    <row r="1507" spans="1:8">
      <c r="A1507">
        <v>9946</v>
      </c>
      <c r="C1507">
        <v>1</v>
      </c>
      <c r="D1507">
        <v>1</v>
      </c>
      <c r="E1507">
        <v>2</v>
      </c>
      <c r="F1507">
        <v>1</v>
      </c>
      <c r="G1507">
        <v>0</v>
      </c>
      <c r="H1507">
        <f t="shared" si="23"/>
        <v>5</v>
      </c>
    </row>
    <row r="1508" spans="1:8">
      <c r="A1508">
        <v>9949</v>
      </c>
      <c r="C1508">
        <v>0</v>
      </c>
      <c r="D1508">
        <v>0</v>
      </c>
      <c r="E1508">
        <v>0</v>
      </c>
      <c r="F1508">
        <v>1</v>
      </c>
      <c r="G1508">
        <v>0</v>
      </c>
      <c r="H1508">
        <f t="shared" si="23"/>
        <v>1</v>
      </c>
    </row>
    <row r="1509" spans="1:8">
      <c r="A1509">
        <v>9950</v>
      </c>
      <c r="C1509">
        <v>0</v>
      </c>
      <c r="D1509">
        <v>1</v>
      </c>
      <c r="E1509">
        <v>1</v>
      </c>
      <c r="F1509">
        <v>1</v>
      </c>
      <c r="G1509">
        <v>0</v>
      </c>
      <c r="H1509">
        <f t="shared" si="23"/>
        <v>3</v>
      </c>
    </row>
    <row r="1510" spans="1:8">
      <c r="A1510">
        <v>9951</v>
      </c>
      <c r="C1510">
        <v>1</v>
      </c>
      <c r="D1510">
        <v>1</v>
      </c>
      <c r="E1510">
        <v>0</v>
      </c>
      <c r="F1510">
        <v>1</v>
      </c>
      <c r="G1510">
        <v>0</v>
      </c>
      <c r="H1510">
        <f t="shared" si="23"/>
        <v>3</v>
      </c>
    </row>
    <row r="1511" spans="1:8">
      <c r="A1511">
        <v>9955</v>
      </c>
      <c r="C1511">
        <v>0</v>
      </c>
      <c r="D1511">
        <v>1</v>
      </c>
      <c r="E1511">
        <v>0</v>
      </c>
      <c r="F1511">
        <v>1</v>
      </c>
      <c r="G1511">
        <v>0</v>
      </c>
      <c r="H1511">
        <f t="shared" si="23"/>
        <v>2</v>
      </c>
    </row>
    <row r="1512" spans="1:8">
      <c r="A1512">
        <v>9958</v>
      </c>
      <c r="C1512">
        <v>1</v>
      </c>
      <c r="D1512">
        <v>1</v>
      </c>
      <c r="E1512">
        <v>1</v>
      </c>
      <c r="F1512">
        <v>1</v>
      </c>
      <c r="G1512">
        <v>0</v>
      </c>
      <c r="H1512">
        <f t="shared" si="23"/>
        <v>4</v>
      </c>
    </row>
    <row r="1513" spans="1:8">
      <c r="A1513">
        <v>9960</v>
      </c>
      <c r="C1513">
        <v>0</v>
      </c>
      <c r="D1513">
        <v>0</v>
      </c>
      <c r="E1513">
        <v>0</v>
      </c>
      <c r="F1513">
        <v>0</v>
      </c>
      <c r="G1513">
        <v>0</v>
      </c>
      <c r="H1513">
        <f t="shared" si="23"/>
        <v>0</v>
      </c>
    </row>
    <row r="1514" spans="1:8">
      <c r="A1514">
        <v>9962</v>
      </c>
      <c r="C1514">
        <v>0</v>
      </c>
      <c r="D1514">
        <v>0</v>
      </c>
      <c r="E1514">
        <v>0</v>
      </c>
      <c r="F1514">
        <v>0</v>
      </c>
      <c r="G1514">
        <v>0</v>
      </c>
      <c r="H1514">
        <f t="shared" si="23"/>
        <v>0</v>
      </c>
    </row>
  </sheetData>
  <phoneticPr fontId="2" type="noConversion"/>
  <pageMargins left="0.7" right="0.7" top="0.75" bottom="0.75" header="0.3" footer="0.3"/>
  <legacyDrawing r:id="rId1"/>
  <controls>
    <control shapeId="60417" r:id="rId2" name="CommandButton1"/>
  </controls>
</worksheet>
</file>

<file path=xl/worksheets/sheet15.xml><?xml version="1.0" encoding="utf-8"?>
<worksheet xmlns="http://schemas.openxmlformats.org/spreadsheetml/2006/main" xmlns:r="http://schemas.openxmlformats.org/officeDocument/2006/relationships">
  <sheetPr codeName="sheet4"/>
  <dimension ref="A1:L76"/>
  <sheetViews>
    <sheetView workbookViewId="0">
      <pane xSplit="12" ySplit="4" topLeftCell="M5" activePane="bottomRight" state="frozen"/>
      <selection pane="topRight" activeCell="M1" sqref="M1"/>
      <selection pane="bottomLeft" activeCell="A5" sqref="A5"/>
      <selection pane="bottomRight" activeCell="P21" sqref="P21"/>
    </sheetView>
  </sheetViews>
  <sheetFormatPr defaultRowHeight="16.5"/>
  <cols>
    <col min="2" max="2" width="20.5" bestFit="1" customWidth="1"/>
    <col min="3" max="3" width="12.75" bestFit="1" customWidth="1"/>
    <col min="4" max="10" width="11.625" bestFit="1" customWidth="1"/>
    <col min="12" max="12" width="9.5" bestFit="1" customWidth="1"/>
  </cols>
  <sheetData>
    <row r="1" spans="1:12">
      <c r="A1" t="s">
        <v>207</v>
      </c>
      <c r="C1">
        <v>1</v>
      </c>
      <c r="D1">
        <v>2</v>
      </c>
      <c r="E1">
        <v>3</v>
      </c>
      <c r="F1">
        <v>4</v>
      </c>
      <c r="G1">
        <v>5</v>
      </c>
      <c r="H1">
        <v>6</v>
      </c>
      <c r="I1">
        <v>7</v>
      </c>
      <c r="J1">
        <v>8</v>
      </c>
      <c r="K1" t="s">
        <v>208</v>
      </c>
      <c r="L1" t="s">
        <v>208</v>
      </c>
    </row>
    <row r="2" spans="1:12">
      <c r="A2" s="86">
        <v>2455</v>
      </c>
      <c r="B2" s="86" t="s">
        <v>10</v>
      </c>
      <c r="C2" s="86">
        <f>VLOOKUP("營業收入淨額",PKA!$B$1:$L$500,9,0)</f>
        <v>408</v>
      </c>
      <c r="D2" s="86">
        <f>VLOOKUP("營業收入淨額",PKA!$B$1:$L$500,8,0)</f>
        <v>376</v>
      </c>
      <c r="E2" s="86">
        <f>VLOOKUP("營業收入淨額",PKA!$B$1:$L$500,7,0)</f>
        <v>527</v>
      </c>
      <c r="F2" s="86">
        <f>VLOOKUP("營業收入淨額",PKA!$B$1:$L$500,6,0)</f>
        <v>605</v>
      </c>
      <c r="G2" s="86">
        <f>VLOOKUP("營業收入淨額",PKA!$B$1:$L$500,5,0)</f>
        <v>565</v>
      </c>
      <c r="H2" s="86">
        <f>VLOOKUP("營業收入淨額",PKA!$B$1:$L$500,4,0)</f>
        <v>525</v>
      </c>
      <c r="I2" s="86">
        <f>VLOOKUP("營業收入淨額",PKA!$B$1:$L$500,3,0)</f>
        <v>650</v>
      </c>
      <c r="J2" s="86">
        <f>VLOOKUP("營業收入淨額",PKA!$B$1:$L$500,2,0)</f>
        <v>590</v>
      </c>
      <c r="K2" s="86">
        <f>IF(ISNA(C4),MIN(C2:J3),MIN(C2:J4))</f>
        <v>225</v>
      </c>
      <c r="L2" s="86">
        <f>IF(ISNA(C4),MAX(C2:J3),MAX(C2:J3))</f>
        <v>1197</v>
      </c>
    </row>
    <row r="3" spans="1:12">
      <c r="A3" s="86">
        <v>8086</v>
      </c>
      <c r="B3" s="86" t="s">
        <v>10</v>
      </c>
      <c r="C3" s="86">
        <f>VLOOKUP("營業收入淨額",PKB!$B$1:$L$500,9,0)</f>
        <v>225</v>
      </c>
      <c r="D3" s="86">
        <f>VLOOKUP("營業收入淨額",PKB!$B$1:$L$500,8,0)</f>
        <v>268</v>
      </c>
      <c r="E3" s="86">
        <f>VLOOKUP("營業收入淨額",PKB!$B$1:$L$500,7,0)</f>
        <v>523</v>
      </c>
      <c r="F3" s="86">
        <f>VLOOKUP("營業收入淨額",PKB!$B$1:$L$500,6,0)</f>
        <v>843</v>
      </c>
      <c r="G3" s="86">
        <f>VLOOKUP("營業收入淨額",PKB!$B$1:$L$500,5,0)</f>
        <v>1035</v>
      </c>
      <c r="H3" s="86">
        <f>VLOOKUP("營業收入淨額",PKB!$B$1:$L$500,4,0)</f>
        <v>1016</v>
      </c>
      <c r="I3" s="86">
        <f>VLOOKUP("營業收入淨額",PKB!$B$1:$L$500,3,0)</f>
        <v>1098</v>
      </c>
      <c r="J3" s="86">
        <f>VLOOKUP("營業收入淨額",PKB!$B$1:$L$500,2,0)</f>
        <v>1197</v>
      </c>
      <c r="K3" s="86"/>
      <c r="L3" s="86"/>
    </row>
    <row r="4" spans="1:12">
      <c r="A4" s="86">
        <v>3105</v>
      </c>
      <c r="B4" s="86" t="s">
        <v>10</v>
      </c>
      <c r="C4" s="86">
        <f>VLOOKUP("營業收入淨額",PKC!$B$1:$L$500,9,0)</f>
        <v>1926</v>
      </c>
      <c r="D4" s="86">
        <f>VLOOKUP("營業收入淨額",PKC!$B$1:$L$500,8,0)</f>
        <v>1667</v>
      </c>
      <c r="E4" s="86">
        <f>VLOOKUP("營業收入淨額",PKC!$B$1:$L$500,7,0)</f>
        <v>2461</v>
      </c>
      <c r="F4" s="86">
        <f>VLOOKUP("營業收入淨額",PKC!$B$1:$L$500,6,0)</f>
        <v>3069</v>
      </c>
      <c r="G4" s="86">
        <f>VLOOKUP("營業收入淨額",PKC!$B$1:$L$500,5,0)</f>
        <v>2713</v>
      </c>
      <c r="H4" s="86">
        <f>VLOOKUP("營業收入淨額",PKC!$B$1:$L$500,4,0)</f>
        <v>2807</v>
      </c>
      <c r="I4" s="86">
        <f>VLOOKUP("營業收入淨額",PKC!$B$1:$L$500,3,0)</f>
        <v>3099</v>
      </c>
      <c r="J4" s="86">
        <f>VLOOKUP("營業收入淨額",PKC!$B$1:$L$500,2,0)</f>
        <v>2913</v>
      </c>
      <c r="K4" s="86"/>
      <c r="L4" s="86"/>
    </row>
    <row r="5" spans="1:12">
      <c r="A5" s="87">
        <v>2455</v>
      </c>
      <c r="B5" s="87" t="s">
        <v>11</v>
      </c>
      <c r="C5" s="87">
        <f>VLOOKUP("營業成本",PKA!$B$1:$L$500,9,0)</f>
        <v>290</v>
      </c>
      <c r="D5" s="87">
        <f>VLOOKUP("營業成本",PKA!$B$1:$L$500,8,0)</f>
        <v>256</v>
      </c>
      <c r="E5" s="87">
        <f>VLOOKUP("營業成本",PKA!$B$1:$L$500,7,0)</f>
        <v>349</v>
      </c>
      <c r="F5" s="87">
        <f>VLOOKUP("營業成本",PKA!$B$1:$L$500,6,0)</f>
        <v>390</v>
      </c>
      <c r="G5" s="87">
        <f>VLOOKUP("營業成本",PKA!$B$1:$L$500,5,0)</f>
        <v>357</v>
      </c>
      <c r="H5" s="87">
        <f>VLOOKUP("營業成本",PKA!$B$1:$L$500,4,0)</f>
        <v>320</v>
      </c>
      <c r="I5" s="87">
        <f>VLOOKUP("營業成本",PKA!$B$1:$L$500,3,0)</f>
        <v>399</v>
      </c>
      <c r="J5" s="87">
        <f>VLOOKUP("營業成本",PKA!$B$1:$L$500,2,0)</f>
        <v>379</v>
      </c>
      <c r="K5" s="87"/>
      <c r="L5" s="87"/>
    </row>
    <row r="6" spans="1:12">
      <c r="A6" s="87">
        <v>8086</v>
      </c>
      <c r="B6" s="87" t="s">
        <v>11</v>
      </c>
      <c r="C6" s="87">
        <f>VLOOKUP("營業成本",PKB!$B$1:$L$500,9,0)</f>
        <v>212</v>
      </c>
      <c r="D6" s="87">
        <f>VLOOKUP("營業成本",PKB!$B$1:$L$500,8,0)</f>
        <v>263</v>
      </c>
      <c r="E6" s="87">
        <f>VLOOKUP("營業成本",PKB!$B$1:$L$500,7,0)</f>
        <v>429</v>
      </c>
      <c r="F6" s="87">
        <f>VLOOKUP("營業成本",PKB!$B$1:$L$500,6,0)</f>
        <v>665</v>
      </c>
      <c r="G6" s="87">
        <f>VLOOKUP("營業成本",PKB!$B$1:$L$500,5,0)</f>
        <v>734</v>
      </c>
      <c r="H6" s="87">
        <f>VLOOKUP("營業成本",PKB!$B$1:$L$500,4,0)</f>
        <v>680</v>
      </c>
      <c r="I6" s="87">
        <f>VLOOKUP("營業成本",PKB!$B$1:$L$500,3,0)</f>
        <v>721</v>
      </c>
      <c r="J6" s="87">
        <f>VLOOKUP("營業成本",PKB!$B$1:$L$500,2,0)</f>
        <v>800</v>
      </c>
      <c r="K6" s="87"/>
      <c r="L6" s="87"/>
    </row>
    <row r="7" spans="1:12">
      <c r="A7" s="87">
        <v>3105</v>
      </c>
      <c r="B7" s="87" t="s">
        <v>11</v>
      </c>
      <c r="C7" s="87">
        <f>VLOOKUP("營業成本",PKC!$B$1:$L$500,9,0)</f>
        <v>1414</v>
      </c>
      <c r="D7" s="87">
        <f>VLOOKUP("營業成本",PKC!$B$1:$L$500,8,0)</f>
        <v>1167</v>
      </c>
      <c r="E7" s="87">
        <f>VLOOKUP("營業成本",PKC!$B$1:$L$500,7,0)</f>
        <v>1599</v>
      </c>
      <c r="F7" s="87">
        <f>VLOOKUP("營業成本",PKC!$B$1:$L$500,6,0)</f>
        <v>1932</v>
      </c>
      <c r="G7" s="87">
        <f>VLOOKUP("營業成本",PKC!$B$1:$L$500,5,0)</f>
        <v>1702</v>
      </c>
      <c r="H7" s="87">
        <f>VLOOKUP("營業成本",PKC!$B$1:$L$500,4,0)</f>
        <v>1744</v>
      </c>
      <c r="I7" s="87">
        <f>VLOOKUP("營業成本",PKC!$B$1:$L$500,3,0)</f>
        <v>1898</v>
      </c>
      <c r="J7" s="87">
        <f>VLOOKUP("營業成本",PKC!$B$1:$L$500,2,0)</f>
        <v>1735</v>
      </c>
      <c r="K7" s="87"/>
      <c r="L7" s="87"/>
    </row>
    <row r="8" spans="1:12">
      <c r="A8" s="88">
        <v>2455</v>
      </c>
      <c r="B8" s="88" t="s">
        <v>13</v>
      </c>
      <c r="C8" s="88">
        <f>VLOOKUP("本期稅後淨利",PKA!$B$1:$L$500,9,0)</f>
        <v>62</v>
      </c>
      <c r="D8" s="88">
        <f>VLOOKUP("本期稅後淨利",PKA!$B$1:$L$500,8,0)</f>
        <v>74</v>
      </c>
      <c r="E8" s="88">
        <f>VLOOKUP("本期稅後淨利",PKA!$B$1:$L$500,7,0)</f>
        <v>88</v>
      </c>
      <c r="F8" s="88">
        <f>VLOOKUP("本期稅後淨利",PKA!$B$1:$L$500,6,0)</f>
        <v>155</v>
      </c>
      <c r="G8" s="88">
        <f>VLOOKUP("本期稅後淨利",PKA!$B$1:$L$500,5,0)</f>
        <v>151</v>
      </c>
      <c r="H8" s="88">
        <f>VLOOKUP("本期稅後淨利",PKA!$B$1:$L$500,4,0)</f>
        <v>133</v>
      </c>
      <c r="I8" s="88">
        <f>VLOOKUP("本期稅後淨利",PKA!$B$1:$L$500,3,0)</f>
        <v>173</v>
      </c>
      <c r="J8" s="88">
        <f>VLOOKUP("本期稅後淨利",PKA!$B$1:$L$500,2,0)</f>
        <v>171</v>
      </c>
      <c r="K8" s="88"/>
      <c r="L8" s="88"/>
    </row>
    <row r="9" spans="1:12">
      <c r="A9" s="88">
        <v>8086</v>
      </c>
      <c r="B9" s="88" t="s">
        <v>13</v>
      </c>
      <c r="C9" s="88">
        <f>VLOOKUP("本期稅後淨利",PKB!$B$1:$L$500,9,0)</f>
        <v>-24</v>
      </c>
      <c r="D9" s="88">
        <f>VLOOKUP("本期稅後淨利",PKB!$B$1:$L$500,8,0)</f>
        <v>-18</v>
      </c>
      <c r="E9" s="88">
        <f>VLOOKUP("本期稅後淨利",PKB!$B$1:$L$500,7,0)</f>
        <v>41</v>
      </c>
      <c r="F9" s="88">
        <f>VLOOKUP("本期稅後淨利",PKB!$B$1:$L$500,6,0)</f>
        <v>119</v>
      </c>
      <c r="G9" s="88">
        <f>VLOOKUP("本期稅後淨利",PKB!$B$1:$L$500,5,0)</f>
        <v>232</v>
      </c>
      <c r="H9" s="88">
        <f>VLOOKUP("本期稅後淨利",PKB!$B$1:$L$500,4,0)</f>
        <v>236</v>
      </c>
      <c r="I9" s="88">
        <f>VLOOKUP("本期稅後淨利",PKB!$B$1:$L$500,3,0)</f>
        <v>265</v>
      </c>
      <c r="J9" s="88">
        <f>VLOOKUP("本期稅後淨利",PKB!$B$1:$L$500,2,0)</f>
        <v>314</v>
      </c>
      <c r="K9" s="88"/>
      <c r="L9" s="88"/>
    </row>
    <row r="10" spans="1:12">
      <c r="A10" s="88">
        <v>3105</v>
      </c>
      <c r="B10" s="88" t="s">
        <v>13</v>
      </c>
      <c r="C10" s="88">
        <f>VLOOKUP("本期稅後淨利",PKC!$B$1:$L$500,9,0)</f>
        <v>126</v>
      </c>
      <c r="D10" s="88">
        <f>VLOOKUP("本期稅後淨利",PKC!$B$1:$L$500,8,0)</f>
        <v>213</v>
      </c>
      <c r="E10" s="88">
        <f>VLOOKUP("本期稅後淨利",PKC!$B$1:$L$500,7,0)</f>
        <v>440</v>
      </c>
      <c r="F10" s="88">
        <f>VLOOKUP("本期稅後淨利",PKC!$B$1:$L$500,6,0)</f>
        <v>753</v>
      </c>
      <c r="G10" s="88">
        <f>VLOOKUP("本期稅後淨利",PKC!$B$1:$L$500,5,0)</f>
        <v>557</v>
      </c>
      <c r="H10" s="88">
        <f>VLOOKUP("本期稅後淨利",PKC!$B$1:$L$500,4,0)</f>
        <v>618</v>
      </c>
      <c r="I10" s="88">
        <f>VLOOKUP("本期稅後淨利",PKC!$B$1:$L$500,3,0)</f>
        <v>537</v>
      </c>
      <c r="J10" s="88">
        <f>VLOOKUP("本期稅後淨利",PKC!$B$1:$L$500,2,0)</f>
        <v>805</v>
      </c>
      <c r="K10" s="88"/>
      <c r="L10" s="88"/>
    </row>
    <row r="11" spans="1:12">
      <c r="A11" s="89">
        <v>2455</v>
      </c>
      <c r="B11" s="89" t="s">
        <v>209</v>
      </c>
      <c r="C11" s="89">
        <f>VLOOKUP("每股盈餘 (元)",PKA!$B$1:$L$500,9,0)</f>
        <v>0.25</v>
      </c>
      <c r="D11" s="89">
        <f>VLOOKUP("每股盈餘 (元)",PKA!$B$1:$L$500,8,0)</f>
        <v>0.3</v>
      </c>
      <c r="E11" s="89">
        <f>VLOOKUP("每股盈餘 (元)",PKA!$B$1:$L$500,7,0)</f>
        <v>0.36</v>
      </c>
      <c r="F11" s="89">
        <f>VLOOKUP("每股盈餘 (元)",PKA!$B$1:$L$500,6,0)</f>
        <v>0.63</v>
      </c>
      <c r="G11" s="89">
        <f>VLOOKUP("每股盈餘 (元)",PKA!$B$1:$L$500,5,0)</f>
        <v>0.61</v>
      </c>
      <c r="H11" s="89">
        <f>VLOOKUP("每股盈餘 (元)",PKA!$B$1:$L$500,4,0)</f>
        <v>0.54</v>
      </c>
      <c r="I11" s="89">
        <f>VLOOKUP("每股盈餘 (元)",PKA!$B$1:$L$500,3,0)</f>
        <v>0.7</v>
      </c>
      <c r="J11" s="89">
        <f>VLOOKUP("每股盈餘 (元)",PKA!$B$1:$L$500,2,0)</f>
        <v>0.69</v>
      </c>
      <c r="K11" s="89"/>
      <c r="L11" s="89">
        <f>(SUM(G11:J11)/2)+(J11+I11)/2+(((G11-F11)/F11)+1)*J11</f>
        <v>2.6330952380952377</v>
      </c>
    </row>
    <row r="12" spans="1:12">
      <c r="A12" s="89">
        <v>8086</v>
      </c>
      <c r="B12" s="89" t="s">
        <v>209</v>
      </c>
      <c r="C12" s="89">
        <f>VLOOKUP("每股盈餘 (元)",PKB!$B$1:$L$500,9,0)</f>
        <v>-0.18</v>
      </c>
      <c r="D12" s="89">
        <f>VLOOKUP("每股盈餘 (元)",PKB!$B$1:$L$500,8,0)</f>
        <v>-0.13</v>
      </c>
      <c r="E12" s="89">
        <f>VLOOKUP("每股盈餘 (元)",PKB!$B$1:$L$500,7,0)</f>
        <v>0.3</v>
      </c>
      <c r="F12" s="89">
        <f>VLOOKUP("每股盈餘 (元)",PKB!$B$1:$L$500,6,0)</f>
        <v>0.88</v>
      </c>
      <c r="G12" s="89">
        <f>VLOOKUP("每股盈餘 (元)",PKB!$B$1:$L$500,5,0)</f>
        <v>1.71</v>
      </c>
      <c r="H12" s="89">
        <f>VLOOKUP("每股盈餘 (元)",PKB!$B$1:$L$500,4,0)</f>
        <v>1.73</v>
      </c>
      <c r="I12" s="89">
        <f>VLOOKUP("每股盈餘 (元)",PKB!$B$1:$L$500,3,0)</f>
        <v>1.93</v>
      </c>
      <c r="J12" s="89">
        <f>VLOOKUP("每股盈餘 (元)",PKB!$B$1:$L$500,2,0)</f>
        <v>2.25</v>
      </c>
      <c r="K12" s="89"/>
      <c r="L12" s="89">
        <f>(SUM(G12:J12)/2)+(J12+I12)/2+(((G12-F12)/F12)+1)*J12</f>
        <v>10.272159090909092</v>
      </c>
    </row>
    <row r="13" spans="1:12">
      <c r="A13" s="89">
        <v>3105</v>
      </c>
      <c r="B13" s="89" t="s">
        <v>209</v>
      </c>
      <c r="C13" s="89">
        <f>VLOOKUP("每股盈餘 (元)",PKC!$B$1:$L$500,9,0)</f>
        <v>0.17</v>
      </c>
      <c r="D13" s="89">
        <f>VLOOKUP("每股盈餘 (元)",PKC!$B$1:$L$500,8,0)</f>
        <v>0.28999999999999998</v>
      </c>
      <c r="E13" s="89">
        <f>VLOOKUP("每股盈餘 (元)",PKC!$B$1:$L$500,7,0)</f>
        <v>0.59</v>
      </c>
      <c r="F13" s="89">
        <f>VLOOKUP("每股盈餘 (元)",PKC!$B$1:$L$500,6,0)</f>
        <v>1.02</v>
      </c>
      <c r="G13" s="89">
        <f>VLOOKUP("每股盈餘 (元)",PKC!$B$1:$L$500,5,0)</f>
        <v>0.75</v>
      </c>
      <c r="H13" s="89">
        <f>VLOOKUP("每股盈餘 (元)",PKC!$B$1:$L$500,4,0)</f>
        <v>0.83</v>
      </c>
      <c r="I13" s="89">
        <f>VLOOKUP("每股盈餘 (元)",PKC!$B$1:$L$500,3,0)</f>
        <v>0.72</v>
      </c>
      <c r="J13" s="89">
        <f>VLOOKUP("每股盈餘 (元)",PKC!$B$1:$L$500,2,0)</f>
        <v>1.32</v>
      </c>
      <c r="K13" s="89"/>
      <c r="L13" s="89">
        <f>(SUM(G13:J13)/2)+(J13+I13)/2+(((G13-F13)/F13)+1)*J13</f>
        <v>3.8005882352941178</v>
      </c>
    </row>
    <row r="14" spans="1:12">
      <c r="A14" s="90">
        <v>2455</v>
      </c>
      <c r="B14" s="90" t="s">
        <v>190</v>
      </c>
      <c r="C14" s="90">
        <f>VLOOKUP(" 應收帳款及票據",PKA!$B$1:$L$500,9,0)</f>
        <v>256</v>
      </c>
      <c r="D14" s="90">
        <f>VLOOKUP(" 應收帳款及票據",PKA!$B$1:$L$500,8,0)</f>
        <v>270</v>
      </c>
      <c r="E14" s="90">
        <f>VLOOKUP(" 應收帳款及票據",PKA!$B$1:$L$500,7,0)</f>
        <v>347</v>
      </c>
      <c r="F14" s="90">
        <f>VLOOKUP(" 應收帳款及票據",PKA!$B$1:$L$500,6,0)</f>
        <v>396</v>
      </c>
      <c r="G14" s="90">
        <f>VLOOKUP(" 應收帳款及票據",PKA!$B$1:$L$500,5,0)</f>
        <v>374</v>
      </c>
      <c r="H14" s="90">
        <f>VLOOKUP(" 應收帳款及票據",PKA!$B$1:$L$500,4,0)</f>
        <v>364</v>
      </c>
      <c r="I14" s="90">
        <f>VLOOKUP(" 應收帳款及票據",PKA!$B$1:$L$500,3,0)</f>
        <v>453</v>
      </c>
      <c r="J14" s="90">
        <f>VLOOKUP(" 應收帳款及票據",PKA!$B$1:$L$500,2,0)</f>
        <v>382</v>
      </c>
      <c r="K14" s="90"/>
      <c r="L14" s="90"/>
    </row>
    <row r="15" spans="1:12">
      <c r="A15" s="90">
        <v>8086</v>
      </c>
      <c r="B15" s="90" t="s">
        <v>190</v>
      </c>
      <c r="C15" s="90">
        <f>VLOOKUP(" 應收帳款及票據",PKB!$B$1:$L$500,9,0)</f>
        <v>102</v>
      </c>
      <c r="D15" s="90">
        <f>VLOOKUP(" 應收帳款及票據",PKB!$B$1:$L$500,8,0)</f>
        <v>96</v>
      </c>
      <c r="E15" s="90">
        <f>VLOOKUP(" 應收帳款及票據",PKB!$B$1:$L$500,7,0)</f>
        <v>119</v>
      </c>
      <c r="F15" s="90">
        <f>VLOOKUP(" 應收帳款及票據",PKB!$B$1:$L$500,6,0)</f>
        <v>189</v>
      </c>
      <c r="G15" s="90">
        <f>VLOOKUP(" 應收帳款及票據",PKB!$B$1:$L$500,5,0)</f>
        <v>252</v>
      </c>
      <c r="H15" s="90">
        <f>VLOOKUP(" 應收帳款及票據",PKB!$B$1:$L$500,4,0)</f>
        <v>185</v>
      </c>
      <c r="I15" s="90">
        <f>VLOOKUP(" 應收帳款及票據",PKB!$B$1:$L$500,3,0)</f>
        <v>176</v>
      </c>
      <c r="J15" s="90">
        <f>VLOOKUP(" 應收帳款及票據",PKB!$B$1:$L$500,2,0)</f>
        <v>273</v>
      </c>
      <c r="K15" s="90"/>
      <c r="L15" s="90"/>
    </row>
    <row r="16" spans="1:12">
      <c r="A16" s="90">
        <v>3105</v>
      </c>
      <c r="B16" s="90" t="s">
        <v>190</v>
      </c>
      <c r="C16" s="90">
        <f>VLOOKUP(" 應收帳款及票據",PKC!$B$1:$L$500,9,0)</f>
        <v>650</v>
      </c>
      <c r="D16" s="90">
        <f>VLOOKUP(" 應收帳款及票據",PKC!$B$1:$L$500,8,0)</f>
        <v>617</v>
      </c>
      <c r="E16" s="90">
        <f>VLOOKUP(" 應收帳款及票據",PKC!$B$1:$L$500,7,0)</f>
        <v>856</v>
      </c>
      <c r="F16" s="90">
        <f>VLOOKUP(" 應收帳款及票據",PKC!$B$1:$L$500,6,0)</f>
        <v>1017</v>
      </c>
      <c r="G16" s="90">
        <f>VLOOKUP(" 應收帳款及票據",PKC!$B$1:$L$500,5,0)</f>
        <v>690</v>
      </c>
      <c r="H16" s="90">
        <f>VLOOKUP(" 應收帳款及票據",PKC!$B$1:$L$500,4,0)</f>
        <v>936</v>
      </c>
      <c r="I16" s="90">
        <f>VLOOKUP(" 應收帳款及票據",PKC!$B$1:$L$500,3,0)</f>
        <v>994</v>
      </c>
      <c r="J16" s="90">
        <f>VLOOKUP(" 應收帳款及票據",PKC!$B$1:$L$500,2,0)</f>
        <v>946</v>
      </c>
      <c r="K16" s="90"/>
      <c r="L16" s="90"/>
    </row>
    <row r="17" spans="1:12">
      <c r="A17" s="86">
        <v>2455</v>
      </c>
      <c r="B17" s="86" t="s">
        <v>15</v>
      </c>
      <c r="C17" s="86">
        <f>VLOOKUP(" 存貨",PKA!$B$1:$L$500,9,0)</f>
        <v>285</v>
      </c>
      <c r="D17" s="86">
        <f>VLOOKUP(" 存貨",PKA!$B$1:$L$500,8,0)</f>
        <v>300</v>
      </c>
      <c r="E17" s="86">
        <f>VLOOKUP(" 存貨",PKA!$B$1:$L$500,7,0)</f>
        <v>322</v>
      </c>
      <c r="F17" s="86">
        <f>VLOOKUP(" 存貨",PKA!$B$1:$L$500,6,0)</f>
        <v>341</v>
      </c>
      <c r="G17" s="86">
        <f>VLOOKUP(" 存貨",PKA!$B$1:$L$500,5,0)</f>
        <v>356</v>
      </c>
      <c r="H17" s="86">
        <f>VLOOKUP(" 存貨",PKA!$B$1:$L$500,4,0)</f>
        <v>431</v>
      </c>
      <c r="I17" s="86">
        <f>VLOOKUP(" 存貨",PKA!$B$1:$L$500,3,0)</f>
        <v>409</v>
      </c>
      <c r="J17" s="86">
        <f>VLOOKUP(" 存貨",PKA!$B$1:$L$500,2,0)</f>
        <v>362</v>
      </c>
      <c r="K17" s="86"/>
      <c r="L17" s="86"/>
    </row>
    <row r="18" spans="1:12">
      <c r="A18" s="86">
        <v>8086</v>
      </c>
      <c r="B18" s="86" t="s">
        <v>15</v>
      </c>
      <c r="C18" s="86">
        <f>VLOOKUP(" 存貨",PKB!$B$1:$L$500,9,0)</f>
        <v>134</v>
      </c>
      <c r="D18" s="86">
        <f>VLOOKUP(" 存貨",PKB!$B$1:$L$500,8,0)</f>
        <v>170</v>
      </c>
      <c r="E18" s="86">
        <f>VLOOKUP(" 存貨",PKB!$B$1:$L$500,7,0)</f>
        <v>322</v>
      </c>
      <c r="F18" s="86">
        <f>VLOOKUP(" 存貨",PKB!$B$1:$L$500,6,0)</f>
        <v>427</v>
      </c>
      <c r="G18" s="86">
        <f>VLOOKUP(" 存貨",PKB!$B$1:$L$500,5,0)</f>
        <v>379</v>
      </c>
      <c r="H18" s="86">
        <f>VLOOKUP(" 存貨",PKB!$B$1:$L$500,4,0)</f>
        <v>366</v>
      </c>
      <c r="I18" s="86">
        <f>VLOOKUP(" 存貨",PKB!$B$1:$L$500,3,0)</f>
        <v>432</v>
      </c>
      <c r="J18" s="86">
        <f>VLOOKUP(" 存貨",PKB!$B$1:$L$500,2,0)</f>
        <v>357</v>
      </c>
      <c r="K18" s="86"/>
      <c r="L18" s="86"/>
    </row>
    <row r="19" spans="1:12">
      <c r="A19" s="86">
        <v>3105</v>
      </c>
      <c r="B19" s="86" t="s">
        <v>15</v>
      </c>
      <c r="C19" s="86">
        <f>VLOOKUP(" 存貨",PKC!$B$1:$L$500,9,0)</f>
        <v>1127</v>
      </c>
      <c r="D19" s="86">
        <f>VLOOKUP(" 存貨",PKC!$B$1:$L$500,8,0)</f>
        <v>1047</v>
      </c>
      <c r="E19" s="86">
        <f>VLOOKUP(" 存貨",PKC!$B$1:$L$500,7,0)</f>
        <v>1563</v>
      </c>
      <c r="F19" s="86">
        <f>VLOOKUP(" 存貨",PKC!$B$1:$L$500,6,0)</f>
        <v>1642</v>
      </c>
      <c r="G19" s="86">
        <f>VLOOKUP(" 存貨",PKC!$B$1:$L$500,5,0)</f>
        <v>1500</v>
      </c>
      <c r="H19" s="86">
        <f>VLOOKUP(" 存貨",PKC!$B$1:$L$500,4,0)</f>
        <v>1915</v>
      </c>
      <c r="I19" s="86">
        <f>VLOOKUP(" 存貨",PKC!$B$1:$L$500,3,0)</f>
        <v>2085</v>
      </c>
      <c r="J19" s="86">
        <f>VLOOKUP(" 存貨",PKC!$B$1:$L$500,2,0)</f>
        <v>2166</v>
      </c>
      <c r="K19" s="86"/>
      <c r="L19" s="86"/>
    </row>
    <row r="20" spans="1:12">
      <c r="A20" s="87">
        <v>2455</v>
      </c>
      <c r="B20" s="87" t="s">
        <v>17</v>
      </c>
      <c r="C20" s="87">
        <f>VLOOKUP("負債總額",PKA!$B$1:$L$500,9,0)</f>
        <v>374</v>
      </c>
      <c r="D20" s="87">
        <f>VLOOKUP("負債總額",PKA!$B$1:$L$500,8,0)</f>
        <v>366</v>
      </c>
      <c r="E20" s="87">
        <f>VLOOKUP("負債總額",PKA!$B$1:$L$500,7,0)</f>
        <v>888</v>
      </c>
      <c r="F20" s="87">
        <f>VLOOKUP("負債總額",PKA!$B$1:$L$500,6,0)</f>
        <v>413</v>
      </c>
      <c r="G20" s="87">
        <f>VLOOKUP("負債總額",PKA!$B$1:$L$500,5,0)</f>
        <v>441</v>
      </c>
      <c r="H20" s="87">
        <f>VLOOKUP("負債總額",PKA!$B$1:$L$500,4,0)</f>
        <v>478</v>
      </c>
      <c r="I20" s="87">
        <f>VLOOKUP("負債總額",PKA!$B$1:$L$500,3,0)</f>
        <v>951</v>
      </c>
      <c r="J20" s="87">
        <f>VLOOKUP("負債總額",PKA!$B$1:$L$500,2,0)</f>
        <v>436</v>
      </c>
      <c r="K20" s="87"/>
      <c r="L20" s="87"/>
    </row>
    <row r="21" spans="1:12">
      <c r="A21" s="87">
        <v>8086</v>
      </c>
      <c r="B21" s="87" t="s">
        <v>17</v>
      </c>
      <c r="C21" s="87">
        <f>VLOOKUP("負債總額",PKB!$B$1:$L$500,9,0)</f>
        <v>400</v>
      </c>
      <c r="D21" s="87">
        <f>VLOOKUP("負債總額",PKB!$B$1:$L$500,8,0)</f>
        <v>416</v>
      </c>
      <c r="E21" s="87">
        <f>VLOOKUP("負債總額",PKB!$B$1:$L$500,7,0)</f>
        <v>613</v>
      </c>
      <c r="F21" s="87">
        <f>VLOOKUP("負債總額",PKB!$B$1:$L$500,6,0)</f>
        <v>631</v>
      </c>
      <c r="G21" s="87">
        <f>VLOOKUP("負債總額",PKB!$B$1:$L$500,5,0)</f>
        <v>675</v>
      </c>
      <c r="H21" s="87">
        <f>VLOOKUP("負債總額",PKB!$B$1:$L$500,4,0)</f>
        <v>666</v>
      </c>
      <c r="I21" s="87">
        <f>VLOOKUP("負債總額",PKB!$B$1:$L$500,3,0)</f>
        <v>1058</v>
      </c>
      <c r="J21" s="87">
        <f>VLOOKUP("負債總額",PKB!$B$1:$L$500,2,0)</f>
        <v>765</v>
      </c>
      <c r="K21" s="87"/>
      <c r="L21" s="87"/>
    </row>
    <row r="22" spans="1:12">
      <c r="A22" s="87">
        <v>3105</v>
      </c>
      <c r="B22" s="87" t="s">
        <v>17</v>
      </c>
      <c r="C22" s="87">
        <f>VLOOKUP("負債總額",PKC!$B$1:$L$500,9,0)</f>
        <v>6220</v>
      </c>
      <c r="D22" s="87">
        <f>VLOOKUP("負債總額",PKC!$B$1:$L$500,8,0)</f>
        <v>6036</v>
      </c>
      <c r="E22" s="87">
        <f>VLOOKUP("負債總額",PKC!$B$1:$L$500,7,0)</f>
        <v>7705</v>
      </c>
      <c r="F22" s="87">
        <f>VLOOKUP("負債總額",PKC!$B$1:$L$500,6,0)</f>
        <v>6353</v>
      </c>
      <c r="G22" s="87">
        <f>VLOOKUP("負債總額",PKC!$B$1:$L$500,5,0)</f>
        <v>5876</v>
      </c>
      <c r="H22" s="87">
        <f>VLOOKUP("負債總額",PKC!$B$1:$L$500,4,0)</f>
        <v>6026</v>
      </c>
      <c r="I22" s="87">
        <f>VLOOKUP("負債總額",PKC!$B$1:$L$500,3,0)</f>
        <v>6461</v>
      </c>
      <c r="J22" s="87">
        <f>VLOOKUP("負債總額",PKC!$B$1:$L$500,2,0)</f>
        <v>5951</v>
      </c>
      <c r="K22" s="87"/>
      <c r="L22" s="87"/>
    </row>
    <row r="23" spans="1:12">
      <c r="A23" s="88">
        <v>2455</v>
      </c>
      <c r="B23" s="88" t="s">
        <v>18</v>
      </c>
      <c r="C23" s="88">
        <f>VLOOKUP("資產總額",PKA!$B$1:$L$500,9,0)</f>
        <v>3899</v>
      </c>
      <c r="D23" s="88">
        <f>VLOOKUP("資產總額",PKA!$B$1:$L$500,8,0)</f>
        <v>3970</v>
      </c>
      <c r="E23" s="88">
        <f>VLOOKUP("資產總額",PKA!$B$1:$L$500,7,0)</f>
        <v>4080</v>
      </c>
      <c r="F23" s="88">
        <f>VLOOKUP("資產總額",PKA!$B$1:$L$500,6,0)</f>
        <v>3757</v>
      </c>
      <c r="G23" s="88">
        <f>VLOOKUP("資產總額",PKA!$B$1:$L$500,5,0)</f>
        <v>3947</v>
      </c>
      <c r="H23" s="88">
        <f>VLOOKUP("資產總額",PKA!$B$1:$L$500,4,0)</f>
        <v>4119</v>
      </c>
      <c r="I23" s="88">
        <f>VLOOKUP("資產總額",PKA!$B$1:$L$500,3,0)</f>
        <v>4270</v>
      </c>
      <c r="J23" s="88">
        <f>VLOOKUP("資產總額",PKA!$B$1:$L$500,2,0)</f>
        <v>3895</v>
      </c>
      <c r="K23" s="88"/>
      <c r="L23" s="88"/>
    </row>
    <row r="24" spans="1:12">
      <c r="A24" s="88">
        <v>8086</v>
      </c>
      <c r="B24" s="88" t="s">
        <v>18</v>
      </c>
      <c r="C24" s="88">
        <f>VLOOKUP("資產總額",PKB!$B$1:$L$500,9,0)</f>
        <v>2195</v>
      </c>
      <c r="D24" s="88">
        <f>VLOOKUP("資產總額",PKB!$B$1:$L$500,8,0)</f>
        <v>2196</v>
      </c>
      <c r="E24" s="88">
        <f>VLOOKUP("資產總額",PKB!$B$1:$L$500,7,0)</f>
        <v>2438</v>
      </c>
      <c r="F24" s="88">
        <f>VLOOKUP("資產總額",PKB!$B$1:$L$500,6,0)</f>
        <v>2584</v>
      </c>
      <c r="G24" s="88">
        <f>VLOOKUP("資產總額",PKB!$B$1:$L$500,5,0)</f>
        <v>2897</v>
      </c>
      <c r="H24" s="88">
        <f>VLOOKUP("資產總額",PKB!$B$1:$L$500,4,0)</f>
        <v>3131</v>
      </c>
      <c r="I24" s="88">
        <f>VLOOKUP("資產總額",PKB!$B$1:$L$500,3,0)</f>
        <v>3642</v>
      </c>
      <c r="J24" s="88">
        <f>VLOOKUP("資產總額",PKB!$B$1:$L$500,2,0)</f>
        <v>3679</v>
      </c>
      <c r="K24" s="88"/>
      <c r="L24" s="88"/>
    </row>
    <row r="25" spans="1:12">
      <c r="A25" s="88">
        <v>3105</v>
      </c>
      <c r="B25" s="88" t="s">
        <v>18</v>
      </c>
      <c r="C25" s="88">
        <f>VLOOKUP("資產總額",PKC!$B$1:$L$500,9,0)</f>
        <v>21112</v>
      </c>
      <c r="D25" s="88">
        <f>VLOOKUP("資產總額",PKC!$B$1:$L$500,8,0)</f>
        <v>21281</v>
      </c>
      <c r="E25" s="88">
        <f>VLOOKUP("資產總額",PKC!$B$1:$L$500,7,0)</f>
        <v>22287</v>
      </c>
      <c r="F25" s="88">
        <f>VLOOKUP("資產總額",PKC!$B$1:$L$500,6,0)</f>
        <v>21650</v>
      </c>
      <c r="G25" s="88">
        <f>VLOOKUP("資產總額",PKC!$B$1:$L$500,5,0)</f>
        <v>21816</v>
      </c>
      <c r="H25" s="88">
        <f>VLOOKUP("資產總額",PKC!$B$1:$L$500,4,0)</f>
        <v>22689</v>
      </c>
      <c r="I25" s="88">
        <f>VLOOKUP("資產總額",PKC!$B$1:$L$500,3,0)</f>
        <v>23424</v>
      </c>
      <c r="J25" s="88">
        <f>VLOOKUP("資產總額",PKC!$B$1:$L$500,2,0)</f>
        <v>22269</v>
      </c>
      <c r="K25" s="88"/>
      <c r="L25" s="88"/>
    </row>
    <row r="26" spans="1:12">
      <c r="A26" s="89">
        <v>2455</v>
      </c>
      <c r="B26" s="89" t="s">
        <v>210</v>
      </c>
      <c r="C26" s="89">
        <f>VLOOKUP("來自營運之現金流量",PKA!$B$1:$L$500,9,0)</f>
        <v>229</v>
      </c>
      <c r="D26" s="89">
        <f>VLOOKUP("來自營運之現金流量",PKA!$B$1:$L$500,8,0)</f>
        <v>94</v>
      </c>
      <c r="E26" s="89">
        <f>VLOOKUP("來自營運之現金流量",PKA!$B$1:$L$500,7,0)</f>
        <v>105</v>
      </c>
      <c r="F26" s="89">
        <f>VLOOKUP("來自營運之現金流量",PKA!$B$1:$L$500,6,0)</f>
        <v>153</v>
      </c>
      <c r="G26" s="89">
        <f>VLOOKUP("來自營運之現金流量",PKA!$B$1:$L$500,5,0)</f>
        <v>243</v>
      </c>
      <c r="H26" s="89">
        <f>VLOOKUP("來自營運之現金流量",PKA!$B$1:$L$500,4,0)</f>
        <v>139</v>
      </c>
      <c r="I26" s="89">
        <f>VLOOKUP("來自營運之現金流量",PKA!$B$1:$L$500,3,0)</f>
        <v>151</v>
      </c>
      <c r="J26" s="89">
        <f>VLOOKUP("來自營運之現金流量",PKA!$B$1:$L$500,2,0)</f>
        <v>314</v>
      </c>
      <c r="K26" s="89">
        <f>IF(ISNA(C28),MIN(C26:J27),MIN(C26:J28))</f>
        <v>32</v>
      </c>
      <c r="L26" s="89">
        <f>IF(ISNA(C28),MAX(C26:J27),MAX(C26:J28))</f>
        <v>1704</v>
      </c>
    </row>
    <row r="27" spans="1:12">
      <c r="A27" s="89">
        <v>8086</v>
      </c>
      <c r="B27" s="89" t="s">
        <v>211</v>
      </c>
      <c r="C27" s="89">
        <f>VLOOKUP("來自營運之現金流量",PKB!$B$1:$L$500,9,0)</f>
        <v>102</v>
      </c>
      <c r="D27" s="89">
        <f>VLOOKUP("來自營運之現金流量",PKB!$B$1:$L$500,8,0)</f>
        <v>32</v>
      </c>
      <c r="E27" s="89">
        <f>VLOOKUP("來自營運之現金流量",PKB!$B$1:$L$500,7,0)</f>
        <v>65</v>
      </c>
      <c r="F27" s="89">
        <f>VLOOKUP("來自營運之現金流量",PKB!$B$1:$L$500,6,0)</f>
        <v>98</v>
      </c>
      <c r="G27" s="89">
        <f>VLOOKUP("來自營運之現金流量",PKB!$B$1:$L$500,5,0)</f>
        <v>356</v>
      </c>
      <c r="H27" s="89">
        <f>VLOOKUP("來自營運之現金流量",PKB!$B$1:$L$500,4,0)</f>
        <v>325</v>
      </c>
      <c r="I27" s="89">
        <f>VLOOKUP("來自營運之現金流量",PKB!$B$1:$L$500,3,0)</f>
        <v>402</v>
      </c>
      <c r="J27" s="89">
        <f>VLOOKUP("來自營運之現金流量",PKB!$B$1:$L$500,2,0)</f>
        <v>299</v>
      </c>
      <c r="K27" s="89"/>
      <c r="L27" s="89"/>
    </row>
    <row r="28" spans="1:12">
      <c r="A28" s="89">
        <v>3105</v>
      </c>
      <c r="B28" s="89" t="s">
        <v>211</v>
      </c>
      <c r="C28" s="89">
        <f>VLOOKUP("來自營運之現金流量",PKC!$B$1:$L$500,9,0)</f>
        <v>1110</v>
      </c>
      <c r="D28" s="89">
        <f>VLOOKUP("來自營運之現金流量",PKC!$B$1:$L$500,8,0)</f>
        <v>528</v>
      </c>
      <c r="E28" s="89">
        <f>VLOOKUP("來自營運之現金流量",PKC!$B$1:$L$500,7,0)</f>
        <v>557</v>
      </c>
      <c r="F28" s="89">
        <f>VLOOKUP("來自營運之現金流量",PKC!$B$1:$L$500,6,0)</f>
        <v>1041</v>
      </c>
      <c r="G28" s="89">
        <f>VLOOKUP("來自營運之現金流量",PKC!$B$1:$L$500,5,0)</f>
        <v>1704</v>
      </c>
      <c r="H28" s="89">
        <f>VLOOKUP("來自營運之現金流量",PKC!$B$1:$L$500,4,0)</f>
        <v>751</v>
      </c>
      <c r="I28" s="89">
        <f>VLOOKUP("來自營運之現金流量",PKC!$B$1:$L$500,3,0)</f>
        <v>1107</v>
      </c>
      <c r="J28" s="89">
        <f>VLOOKUP("來自營運之現金流量",PKC!$B$1:$L$500,2,0)</f>
        <v>1025</v>
      </c>
      <c r="K28" s="89"/>
      <c r="L28" s="89"/>
    </row>
    <row r="29" spans="1:12">
      <c r="A29" s="90">
        <v>2455</v>
      </c>
      <c r="B29" s="90" t="s">
        <v>131</v>
      </c>
      <c r="C29" s="90">
        <f>VLOOKUP("投資活動之現金流量",PKA!$B$1:$L$500,9,0)</f>
        <v>-70</v>
      </c>
      <c r="D29" s="90">
        <f>VLOOKUP("投資活動之現金流量",PKA!$B$1:$L$500,8,0)</f>
        <v>-70</v>
      </c>
      <c r="E29" s="90">
        <f>VLOOKUP("投資活動之現金流量",PKA!$B$1:$L$500,7,0)</f>
        <v>-4</v>
      </c>
      <c r="F29" s="90">
        <f>VLOOKUP("投資活動之現金流量",PKA!$B$1:$L$500,6,0)</f>
        <v>-7</v>
      </c>
      <c r="G29" s="90">
        <f>VLOOKUP("投資活動之現金流量",PKA!$B$1:$L$500,5,0)</f>
        <v>-6</v>
      </c>
      <c r="H29" s="90">
        <f>VLOOKUP("投資活動之現金流量",PKA!$B$1:$L$500,4,0)</f>
        <v>-3</v>
      </c>
      <c r="I29" s="90">
        <f>VLOOKUP("投資活動之現金流量",PKA!$B$1:$L$500,3,0)</f>
        <v>-4</v>
      </c>
      <c r="J29" s="90">
        <f>VLOOKUP("投資活動之現金流量",PKA!$B$1:$L$500,2,0)</f>
        <v>-13</v>
      </c>
      <c r="K29" s="90"/>
      <c r="L29" s="90"/>
    </row>
    <row r="30" spans="1:12">
      <c r="A30" s="90">
        <v>8086</v>
      </c>
      <c r="B30" s="90" t="s">
        <v>131</v>
      </c>
      <c r="C30" s="90">
        <f>VLOOKUP("投資活動之現金流量",PKB!$B$1:$L$500,9,0)</f>
        <v>-9</v>
      </c>
      <c r="D30" s="90">
        <f>VLOOKUP("投資活動之現金流量",PKB!$B$1:$L$500,8,0)</f>
        <v>0</v>
      </c>
      <c r="E30" s="90">
        <f>VLOOKUP("投資活動之現金流量",PKB!$B$1:$L$500,7,0)</f>
        <v>-67</v>
      </c>
      <c r="F30" s="90">
        <f>VLOOKUP("投資活動之現金流量",PKB!$B$1:$L$500,6,0)</f>
        <v>-89</v>
      </c>
      <c r="G30" s="90">
        <f>VLOOKUP("投資活動之現金流量",PKB!$B$1:$L$500,5,0)</f>
        <v>-171</v>
      </c>
      <c r="H30" s="90">
        <f>VLOOKUP("投資活動之現金流量",PKB!$B$1:$L$500,4,0)</f>
        <v>-158</v>
      </c>
      <c r="I30" s="90">
        <f>VLOOKUP("投資活動之現金流量",PKB!$B$1:$L$500,3,0)</f>
        <v>-84</v>
      </c>
      <c r="J30" s="90">
        <f>VLOOKUP("投資活動之現金流量",PKB!$B$1:$L$500,2,0)</f>
        <v>-114</v>
      </c>
      <c r="K30" s="90"/>
      <c r="L30" s="90"/>
    </row>
    <row r="31" spans="1:12">
      <c r="A31" s="90">
        <v>3105</v>
      </c>
      <c r="B31" s="90" t="s">
        <v>131</v>
      </c>
      <c r="C31" s="90">
        <f>VLOOKUP("投資活動之現金流量",PKC!$B$1:$L$500,9,0)</f>
        <v>-933</v>
      </c>
      <c r="D31" s="90">
        <f>VLOOKUP("投資活動之現金流量",PKC!$B$1:$L$500,8,0)</f>
        <v>-815</v>
      </c>
      <c r="E31" s="90">
        <f>VLOOKUP("投資活動之現金流量",PKC!$B$1:$L$500,7,0)</f>
        <v>-411</v>
      </c>
      <c r="F31" s="90">
        <f>VLOOKUP("投資活動之現金流量",PKC!$B$1:$L$500,6,0)</f>
        <v>439</v>
      </c>
      <c r="G31" s="90">
        <f>VLOOKUP("投資活動之現金流量",PKC!$B$1:$L$500,5,0)</f>
        <v>-486</v>
      </c>
      <c r="H31" s="90">
        <f>VLOOKUP("投資活動之現金流量",PKC!$B$1:$L$500,4,0)</f>
        <v>-274</v>
      </c>
      <c r="I31" s="90">
        <f>VLOOKUP("投資活動之現金流量",PKC!$B$1:$L$500,3,0)</f>
        <v>-857</v>
      </c>
      <c r="J31" s="90">
        <f>VLOOKUP("投資活動之現金流量",PKC!$B$1:$L$500,2,0)</f>
        <v>-621</v>
      </c>
      <c r="K31" s="90"/>
      <c r="L31" s="90"/>
    </row>
    <row r="32" spans="1:12">
      <c r="A32" s="86">
        <v>2455</v>
      </c>
      <c r="B32" s="86" t="s">
        <v>20</v>
      </c>
      <c r="C32" s="86">
        <f>VLOOKUP(" 固定資產(購置)",PKA!$B$1:$L$500,9,0)</f>
        <v>-46</v>
      </c>
      <c r="D32" s="86">
        <f>VLOOKUP(" 固定資產(購置)",PKA!$B$1:$L$500,8,0)</f>
        <v>-11</v>
      </c>
      <c r="E32" s="86">
        <f>VLOOKUP(" 固定資產(購置)",PKA!$B$1:$L$500,7,0)</f>
        <v>1</v>
      </c>
      <c r="F32" s="86">
        <f>VLOOKUP(" 固定資產(購置)",PKA!$B$1:$L$500,6,0)</f>
        <v>-3</v>
      </c>
      <c r="G32" s="86">
        <f>VLOOKUP(" 固定資產(購置)",PKA!$B$1:$L$500,5,0)</f>
        <v>-73</v>
      </c>
      <c r="H32" s="86">
        <f>VLOOKUP(" 固定資產(購置)",PKA!$B$1:$L$500,4,0)</f>
        <v>0</v>
      </c>
      <c r="I32" s="86">
        <f>VLOOKUP(" 固定資產(購置)",PKA!$B$1:$L$500,3,0)</f>
        <v>-1</v>
      </c>
      <c r="J32" s="86">
        <f>VLOOKUP(" 固定資產(購置)",PKA!$B$1:$L$500,2,0)</f>
        <v>-18</v>
      </c>
      <c r="K32" s="86"/>
      <c r="L32" s="86"/>
    </row>
    <row r="33" spans="1:12">
      <c r="A33" s="86">
        <v>8086</v>
      </c>
      <c r="B33" s="86" t="s">
        <v>20</v>
      </c>
      <c r="C33" s="86">
        <f>VLOOKUP(" 固定資產(購置)",PKB!$B$1:$L$500,9,0)</f>
        <v>-10</v>
      </c>
      <c r="D33" s="86">
        <f>VLOOKUP(" 固定資產(購置)",PKB!$B$1:$L$500,8,0)</f>
        <v>-3</v>
      </c>
      <c r="E33" s="86">
        <f>VLOOKUP(" 固定資產(購置)",PKB!$B$1:$L$500,7,0)</f>
        <v>-68</v>
      </c>
      <c r="F33" s="86">
        <f>VLOOKUP(" 固定資產(購置)",PKB!$B$1:$L$500,6,0)</f>
        <v>-81</v>
      </c>
      <c r="G33" s="86">
        <f>VLOOKUP(" 固定資產(購置)",PKB!$B$1:$L$500,5,0)</f>
        <v>-167</v>
      </c>
      <c r="H33" s="86">
        <f>VLOOKUP(" 固定資產(購置)",PKB!$B$1:$L$500,4,0)</f>
        <v>-157</v>
      </c>
      <c r="I33" s="86">
        <f>VLOOKUP(" 固定資產(購置)",PKB!$B$1:$L$500,3,0)</f>
        <v>-78</v>
      </c>
      <c r="J33" s="86">
        <f>VLOOKUP(" 固定資產(購置)",PKB!$B$1:$L$500,2,0)</f>
        <v>-115</v>
      </c>
      <c r="K33" s="86"/>
      <c r="L33" s="86"/>
    </row>
    <row r="34" spans="1:12">
      <c r="A34" s="86">
        <v>3105</v>
      </c>
      <c r="B34" s="86" t="s">
        <v>20</v>
      </c>
      <c r="C34" s="86">
        <f>VLOOKUP(" 固定資產(購置)",PKC!$B$1:$L$500,9,0)</f>
        <v>-463</v>
      </c>
      <c r="D34" s="86">
        <f>VLOOKUP(" 固定資產(購置)",PKC!$B$1:$L$500,8,0)</f>
        <v>-232</v>
      </c>
      <c r="E34" s="86">
        <f>VLOOKUP(" 固定資產(購置)",PKC!$B$1:$L$500,7,0)</f>
        <v>-131</v>
      </c>
      <c r="F34" s="86">
        <f>VLOOKUP(" 固定資產(購置)",PKC!$B$1:$L$500,6,0)</f>
        <v>-92</v>
      </c>
      <c r="G34" s="86">
        <f>VLOOKUP(" 固定資產(購置)",PKC!$B$1:$L$500,5,0)</f>
        <v>-282</v>
      </c>
      <c r="H34" s="86">
        <f>VLOOKUP(" 固定資產(購置)",PKC!$B$1:$L$500,4,0)</f>
        <v>-499</v>
      </c>
      <c r="I34" s="86">
        <f>VLOOKUP(" 固定資產(購置)",PKC!$B$1:$L$500,3,0)</f>
        <v>-380</v>
      </c>
      <c r="J34" s="86">
        <f>VLOOKUP(" 固定資產(購置)",PKC!$B$1:$L$500,2,0)</f>
        <v>-907</v>
      </c>
      <c r="K34" s="86"/>
      <c r="L34" s="86"/>
    </row>
    <row r="35" spans="1:12">
      <c r="A35" s="87">
        <v>2455</v>
      </c>
      <c r="B35" s="87" t="s">
        <v>21</v>
      </c>
      <c r="C35" s="87">
        <f>VLOOKUP(" 長期投資(新增)",PKA!$B$1:$L$500,9,0)</f>
        <v>-59</v>
      </c>
      <c r="D35" s="87">
        <f>VLOOKUP(" 長期投資(新增)",PKA!$B$1:$L$500,8,0)</f>
        <v>0</v>
      </c>
      <c r="E35" s="87">
        <f>VLOOKUP(" 長期投資(新增)",PKA!$B$1:$L$500,7,0)</f>
        <v>0</v>
      </c>
      <c r="F35" s="87">
        <f>VLOOKUP(" 長期投資(新增)",PKA!$B$1:$L$500,6,0)</f>
        <v>0</v>
      </c>
      <c r="G35" s="87">
        <f>VLOOKUP(" 長期投資(新增)",PKA!$B$1:$L$500,5,0)</f>
        <v>0</v>
      </c>
      <c r="H35" s="87">
        <f>VLOOKUP(" 長期投資(新增)",PKA!$B$1:$L$500,4,0)</f>
        <v>0</v>
      </c>
      <c r="I35" s="87">
        <f>VLOOKUP(" 長期投資(新增)",PKA!$B$1:$L$500,3,0)</f>
        <v>0</v>
      </c>
      <c r="J35" s="87">
        <f>VLOOKUP(" 長期投資(新增)",PKA!$B$1:$L$500,2,0)</f>
        <v>0</v>
      </c>
      <c r="K35" s="87"/>
      <c r="L35" s="87"/>
    </row>
    <row r="36" spans="1:12">
      <c r="A36" s="87">
        <v>8086</v>
      </c>
      <c r="B36" s="87" t="s">
        <v>21</v>
      </c>
      <c r="C36" s="87">
        <f>VLOOKUP(" 長期投資(新增)",PKB!$B$1:$L$500,9,0)</f>
        <v>0</v>
      </c>
      <c r="D36" s="87">
        <f>VLOOKUP(" 長期投資(新增)",PKB!$B$1:$L$500,8,0)</f>
        <v>0</v>
      </c>
      <c r="E36" s="87">
        <f>VLOOKUP(" 長期投資(新增)",PKB!$B$1:$L$500,7,0)</f>
        <v>0</v>
      </c>
      <c r="F36" s="87">
        <f>VLOOKUP(" 長期投資(新增)",PKB!$B$1:$L$500,6,0)</f>
        <v>0</v>
      </c>
      <c r="G36" s="87">
        <f>VLOOKUP(" 長期投資(新增)",PKB!$B$1:$L$500,5,0)</f>
        <v>0</v>
      </c>
      <c r="H36" s="87">
        <f>VLOOKUP(" 長期投資(新增)",PKB!$B$1:$L$500,4,0)</f>
        <v>0</v>
      </c>
      <c r="I36" s="87">
        <f>VLOOKUP(" 長期投資(新增)",PKB!$B$1:$L$500,3,0)</f>
        <v>0</v>
      </c>
      <c r="J36" s="87">
        <f>VLOOKUP(" 長期投資(新增)",PKB!$B$1:$L$500,2,0)</f>
        <v>0</v>
      </c>
      <c r="K36" s="87"/>
      <c r="L36" s="87"/>
    </row>
    <row r="37" spans="1:12">
      <c r="A37" s="87">
        <v>3105</v>
      </c>
      <c r="B37" s="87" t="s">
        <v>21</v>
      </c>
      <c r="C37" s="87">
        <f>VLOOKUP(" 長期投資(新增)",PKC!$B$1:$L$500,9,0)</f>
        <v>-208</v>
      </c>
      <c r="D37" s="87">
        <f>VLOOKUP(" 長期投資(新增)",PKC!$B$1:$L$500,8,0)</f>
        <v>0</v>
      </c>
      <c r="E37" s="87">
        <f>VLOOKUP(" 長期投資(新增)",PKC!$B$1:$L$500,7,0)</f>
        <v>-12</v>
      </c>
      <c r="F37" s="87">
        <f>VLOOKUP(" 長期投資(新增)",PKC!$B$1:$L$500,6,0)</f>
        <v>12</v>
      </c>
      <c r="G37" s="87">
        <f>VLOOKUP(" 長期投資(新增)",PKC!$B$1:$L$500,5,0)</f>
        <v>0</v>
      </c>
      <c r="H37" s="87">
        <f>VLOOKUP(" 長期投資(新增)",PKC!$B$1:$L$500,4,0)</f>
        <v>-220</v>
      </c>
      <c r="I37" s="87">
        <f>VLOOKUP(" 長期投資(新增)",PKC!$B$1:$L$500,3,0)</f>
        <v>0</v>
      </c>
      <c r="J37" s="87">
        <f>VLOOKUP(" 長期投資(新增)",PKC!$B$1:$L$500,2,0)</f>
        <v>0</v>
      </c>
      <c r="K37" s="87"/>
      <c r="L37" s="87"/>
    </row>
    <row r="38" spans="1:12">
      <c r="A38" s="88">
        <v>2455</v>
      </c>
      <c r="B38" s="88" t="s">
        <v>114</v>
      </c>
      <c r="C38" s="88">
        <f>VLOOKUP(" 折舊",PKA!$B$1:$L$500,9,0)</f>
        <v>54</v>
      </c>
      <c r="D38" s="88">
        <f>VLOOKUP(" 折舊",PKA!$B$1:$L$500,8,0)</f>
        <v>54</v>
      </c>
      <c r="E38" s="88">
        <f>VLOOKUP(" 折舊",PKA!$B$1:$L$500,7,0)</f>
        <v>54</v>
      </c>
      <c r="F38" s="88">
        <f>VLOOKUP(" 折舊",PKA!$B$1:$L$500,6,0)</f>
        <v>53</v>
      </c>
      <c r="G38" s="88">
        <f>VLOOKUP(" 折舊",PKA!$B$1:$L$500,5,0)</f>
        <v>54</v>
      </c>
      <c r="H38" s="88">
        <f>VLOOKUP(" 折舊",PKA!$B$1:$L$500,4,0)</f>
        <v>52</v>
      </c>
      <c r="I38" s="88">
        <f>VLOOKUP(" 折舊",PKA!$B$1:$L$500,3,0)</f>
        <v>52</v>
      </c>
      <c r="J38" s="88">
        <f>VLOOKUP(" 折舊",PKA!$B$1:$L$500,2,0)</f>
        <v>52</v>
      </c>
      <c r="K38" s="88"/>
      <c r="L38" s="88"/>
    </row>
    <row r="39" spans="1:12">
      <c r="A39" s="88">
        <v>8086</v>
      </c>
      <c r="B39" s="88" t="s">
        <v>114</v>
      </c>
      <c r="C39" s="88">
        <f>VLOOKUP(" 折舊",PKB!$B$1:$L$500,9,0)</f>
        <v>57</v>
      </c>
      <c r="D39" s="88">
        <f>VLOOKUP(" 折舊",PKB!$B$1:$L$500,8,0)</f>
        <v>56</v>
      </c>
      <c r="E39" s="88">
        <f>VLOOKUP(" 折舊",PKB!$B$1:$L$500,7,0)</f>
        <v>56</v>
      </c>
      <c r="F39" s="88">
        <f>VLOOKUP(" 折舊",PKB!$B$1:$L$500,6,0)</f>
        <v>57</v>
      </c>
      <c r="G39" s="88">
        <f>VLOOKUP(" 折舊",PKB!$B$1:$L$500,5,0)</f>
        <v>55</v>
      </c>
      <c r="H39" s="88">
        <f>VLOOKUP(" 折舊",PKB!$B$1:$L$500,4,0)</f>
        <v>58</v>
      </c>
      <c r="I39" s="88">
        <f>VLOOKUP(" 折舊",PKB!$B$1:$L$500,3,0)</f>
        <v>59</v>
      </c>
      <c r="J39" s="88">
        <f>VLOOKUP(" 折舊",PKB!$B$1:$L$500,2,0)</f>
        <v>61</v>
      </c>
      <c r="K39" s="88"/>
      <c r="L39" s="88"/>
    </row>
    <row r="40" spans="1:12">
      <c r="A40" s="88">
        <v>3105</v>
      </c>
      <c r="B40" s="88" t="s">
        <v>114</v>
      </c>
      <c r="C40" s="88">
        <f>VLOOKUP(" 折舊",PKC!$B$1:$L$500,9,0)</f>
        <v>446</v>
      </c>
      <c r="D40" s="88">
        <f>VLOOKUP(" 折舊",PKC!$B$1:$L$500,8,0)</f>
        <v>459</v>
      </c>
      <c r="E40" s="88">
        <f>VLOOKUP(" 折舊",PKC!$B$1:$L$500,7,0)</f>
        <v>462</v>
      </c>
      <c r="F40" s="88">
        <f>VLOOKUP(" 折舊",PKC!$B$1:$L$500,6,0)</f>
        <v>465</v>
      </c>
      <c r="G40" s="88">
        <f>VLOOKUP(" 折舊",PKC!$B$1:$L$500,5,0)</f>
        <v>466</v>
      </c>
      <c r="H40" s="88">
        <f>VLOOKUP(" 折舊",PKC!$B$1:$L$500,4,0)</f>
        <v>468</v>
      </c>
      <c r="I40" s="88">
        <f>VLOOKUP(" 折舊",PKC!$B$1:$L$500,3,0)</f>
        <v>470</v>
      </c>
      <c r="J40" s="88">
        <f>VLOOKUP(" 折舊",PKC!$B$1:$L$500,2,0)</f>
        <v>475</v>
      </c>
      <c r="K40" s="88"/>
      <c r="L40" s="88"/>
    </row>
    <row r="41" spans="1:12">
      <c r="A41" s="89">
        <v>2455</v>
      </c>
      <c r="B41" s="89" t="s">
        <v>212</v>
      </c>
      <c r="C41" s="89">
        <f>VLOOKUP("營業費用",PKA!$B$1:$L$500,9,0)</f>
        <v>51</v>
      </c>
      <c r="D41" s="89">
        <f>VLOOKUP("營業費用",PKA!$B$1:$L$500,8,0)</f>
        <v>44</v>
      </c>
      <c r="E41" s="89">
        <f>VLOOKUP("營業費用",PKA!$B$1:$L$500,7,0)</f>
        <v>48</v>
      </c>
      <c r="F41" s="89">
        <f>VLOOKUP("營業費用",PKA!$B$1:$L$500,6,0)</f>
        <v>48</v>
      </c>
      <c r="G41" s="89">
        <f>VLOOKUP("營業費用",PKA!$B$1:$L$500,5,0)</f>
        <v>57</v>
      </c>
      <c r="H41" s="89">
        <f>VLOOKUP("營業費用",PKA!$B$1:$L$500,4,0)</f>
        <v>51</v>
      </c>
      <c r="I41" s="89">
        <f>VLOOKUP("營業費用",PKA!$B$1:$L$500,3,0)</f>
        <v>54</v>
      </c>
      <c r="J41" s="89">
        <f>VLOOKUP("營業費用",PKA!$B$1:$L$500,2,0)</f>
        <v>55</v>
      </c>
      <c r="K41" s="89"/>
      <c r="L41" s="89"/>
    </row>
    <row r="42" spans="1:12">
      <c r="A42" s="89">
        <v>8086</v>
      </c>
      <c r="B42" s="89" t="s">
        <v>212</v>
      </c>
      <c r="C42" s="89">
        <f>VLOOKUP("營業費用",PKB!$B$1:$L$500,9,0)</f>
        <v>39</v>
      </c>
      <c r="D42" s="89">
        <f>VLOOKUP("營業費用",PKB!$B$1:$L$500,8,0)</f>
        <v>37</v>
      </c>
      <c r="E42" s="89">
        <f>VLOOKUP("營業費用",PKB!$B$1:$L$500,7,0)</f>
        <v>43</v>
      </c>
      <c r="F42" s="89">
        <f>VLOOKUP("營業費用",PKB!$B$1:$L$500,6,0)</f>
        <v>47</v>
      </c>
      <c r="G42" s="89">
        <f>VLOOKUP("營業費用",PKB!$B$1:$L$500,5,0)</f>
        <v>54</v>
      </c>
      <c r="H42" s="89">
        <f>VLOOKUP("營業費用",PKB!$B$1:$L$500,4,0)</f>
        <v>61</v>
      </c>
      <c r="I42" s="89">
        <f>VLOOKUP("營業費用",PKB!$B$1:$L$500,3,0)</f>
        <v>59</v>
      </c>
      <c r="J42" s="89">
        <f>VLOOKUP("營業費用",PKB!$B$1:$L$500,2,0)</f>
        <v>64</v>
      </c>
      <c r="K42" s="89"/>
      <c r="L42" s="89"/>
    </row>
    <row r="43" spans="1:12">
      <c r="A43" s="89">
        <v>3105</v>
      </c>
      <c r="B43" s="89" t="s">
        <v>212</v>
      </c>
      <c r="C43" s="89">
        <f>VLOOKUP("營業費用",PKC!$B$1:$L$500,9,0)</f>
        <v>268</v>
      </c>
      <c r="D43" s="89">
        <f>VLOOKUP("營業費用",PKC!$B$1:$L$500,8,0)</f>
        <v>297</v>
      </c>
      <c r="E43" s="89">
        <f>VLOOKUP("營業費用",PKC!$B$1:$L$500,7,0)</f>
        <v>293</v>
      </c>
      <c r="F43" s="89">
        <f>VLOOKUP("營業費用",PKC!$B$1:$L$500,6,0)</f>
        <v>271</v>
      </c>
      <c r="G43" s="89">
        <f>VLOOKUP("營業費用",PKC!$B$1:$L$500,5,0)</f>
        <v>334</v>
      </c>
      <c r="H43" s="89">
        <f>VLOOKUP("營業費用",PKC!$B$1:$L$500,4,0)</f>
        <v>288</v>
      </c>
      <c r="I43" s="89">
        <f>VLOOKUP("營業費用",PKC!$B$1:$L$500,3,0)</f>
        <v>300</v>
      </c>
      <c r="J43" s="89">
        <f>VLOOKUP("營業費用",PKC!$B$1:$L$500,2,0)</f>
        <v>350</v>
      </c>
      <c r="K43" s="89"/>
      <c r="L43" s="89"/>
    </row>
    <row r="44" spans="1:12">
      <c r="A44" s="91">
        <v>2455</v>
      </c>
      <c r="B44" s="91" t="s">
        <v>542</v>
      </c>
      <c r="C44" s="91">
        <f>VLOOKUP(" 普通股股本",PKA!$B$1:$L$500,9,0)</f>
        <v>2465</v>
      </c>
      <c r="D44" s="91">
        <f>VLOOKUP(" 普通股股本",PKA!$B$1:$L$500,8,0)</f>
        <v>2465</v>
      </c>
      <c r="E44" s="91">
        <f>VLOOKUP(" 普通股股本",PKA!$B$1:$L$500,7,0)</f>
        <v>2465</v>
      </c>
      <c r="F44" s="91">
        <f>VLOOKUP(" 普通股股本",PKA!$B$1:$L$500,6,0)</f>
        <v>2465</v>
      </c>
      <c r="G44" s="91">
        <f>VLOOKUP(" 普通股股本",PKA!$B$1:$L$500,5,0)</f>
        <v>2465</v>
      </c>
      <c r="H44" s="91">
        <f>VLOOKUP(" 普通股股本",PKA!$B$1:$L$500,4,0)</f>
        <v>2465</v>
      </c>
      <c r="I44" s="91">
        <f>VLOOKUP(" 普通股股本",PKA!$B$1:$L$500,3,0)</f>
        <v>2465</v>
      </c>
      <c r="J44" s="91">
        <f>VLOOKUP(" 普通股股本",PKA!$B$1:$L$500,2,0)</f>
        <v>2465</v>
      </c>
      <c r="K44" s="91"/>
      <c r="L44" s="91"/>
    </row>
    <row r="45" spans="1:12">
      <c r="A45" s="91">
        <v>8086</v>
      </c>
      <c r="B45" s="91" t="s">
        <v>542</v>
      </c>
      <c r="C45" s="91">
        <f>VLOOKUP(" 普通股股本",PKB!$B$1:$L$500,9,0)</f>
        <v>1355</v>
      </c>
      <c r="D45" s="91">
        <f>VLOOKUP(" 普通股股本",PKB!$B$1:$L$500,8,0)</f>
        <v>1355</v>
      </c>
      <c r="E45" s="91">
        <f>VLOOKUP(" 普通股股本",PKB!$B$1:$L$500,7,0)</f>
        <v>1355</v>
      </c>
      <c r="F45" s="91">
        <f>VLOOKUP(" 普通股股本",PKB!$B$1:$L$500,6,0)</f>
        <v>1357</v>
      </c>
      <c r="G45" s="91">
        <f>VLOOKUP(" 普通股股本",PKB!$B$1:$L$500,5,0)</f>
        <v>1369</v>
      </c>
      <c r="H45" s="91">
        <f>VLOOKUP(" 普通股股本",PKB!$B$1:$L$500,4,0)</f>
        <v>1371</v>
      </c>
      <c r="I45" s="91">
        <f>VLOOKUP(" 普通股股本",PKB!$B$1:$L$500,3,0)</f>
        <v>1400</v>
      </c>
      <c r="J45" s="91">
        <f>VLOOKUP(" 普通股股本",PKB!$B$1:$L$500,2,0)</f>
        <v>1403</v>
      </c>
      <c r="K45" s="91"/>
      <c r="L45" s="91"/>
    </row>
    <row r="46" spans="1:12">
      <c r="A46" s="91">
        <v>3105</v>
      </c>
      <c r="B46" s="91" t="s">
        <v>542</v>
      </c>
      <c r="C46" s="91">
        <f>VLOOKUP(" 普通股股本",PKC!$B$1:$L$500,9,0)</f>
        <v>7393</v>
      </c>
      <c r="D46" s="91">
        <f>VLOOKUP(" 普通股股本",PKC!$B$1:$L$500,8,0)</f>
        <v>7402</v>
      </c>
      <c r="E46" s="91">
        <f>VLOOKUP(" 普通股股本",PKC!$B$1:$L$500,7,0)</f>
        <v>7406</v>
      </c>
      <c r="F46" s="91">
        <f>VLOOKUP(" 普通股股本",PKC!$B$1:$L$500,6,0)</f>
        <v>7421</v>
      </c>
      <c r="G46" s="91">
        <f>VLOOKUP(" 普通股股本",PKC!$B$1:$L$500,5,0)</f>
        <v>7422</v>
      </c>
      <c r="H46" s="91">
        <f>VLOOKUP(" 普通股股本",PKC!$B$1:$L$500,4,0)</f>
        <v>7434</v>
      </c>
      <c r="I46" s="91">
        <f>VLOOKUP(" 普通股股本",PKC!$B$1:$L$500,3,0)</f>
        <v>7441</v>
      </c>
      <c r="J46" s="91">
        <f>VLOOKUP(" 普通股股本",PKC!$B$1:$L$500,2,0)</f>
        <v>5955</v>
      </c>
      <c r="K46" s="91"/>
      <c r="L46" s="91"/>
    </row>
    <row r="47" spans="1:12">
      <c r="A47" s="90">
        <v>2455</v>
      </c>
      <c r="B47" s="90" t="s">
        <v>25</v>
      </c>
      <c r="C47" s="92">
        <f>IF(ISNUMBER((C2-C5)/C2),(C2-C5)/C2,0)</f>
        <v>0.28921568627450983</v>
      </c>
      <c r="D47" s="92">
        <f t="shared" ref="D47:J47" si="0">IF(ISNUMBER((D2-D5)/D2),(D2-D5)/D2,0)</f>
        <v>0.31914893617021278</v>
      </c>
      <c r="E47" s="92">
        <f t="shared" si="0"/>
        <v>0.33776091081593929</v>
      </c>
      <c r="F47" s="92">
        <f t="shared" si="0"/>
        <v>0.35537190082644626</v>
      </c>
      <c r="G47" s="92">
        <f t="shared" si="0"/>
        <v>0.36814159292035398</v>
      </c>
      <c r="H47" s="92">
        <f t="shared" si="0"/>
        <v>0.39047619047619048</v>
      </c>
      <c r="I47" s="92">
        <f t="shared" si="0"/>
        <v>0.38615384615384618</v>
      </c>
      <c r="J47" s="92">
        <f t="shared" si="0"/>
        <v>0.35762711864406782</v>
      </c>
      <c r="K47" s="90">
        <f>MIN(C47:J49)</f>
        <v>1.8656716417910446E-2</v>
      </c>
      <c r="L47" s="90">
        <f>MAX(C47:J49)</f>
        <v>0.40439409543426019</v>
      </c>
    </row>
    <row r="48" spans="1:12">
      <c r="A48" s="90">
        <v>8086</v>
      </c>
      <c r="B48" s="90" t="s">
        <v>25</v>
      </c>
      <c r="C48" s="92">
        <f>IF(ISNUMBER((C3-C6)/C3),(C3-C6)/C3,0)</f>
        <v>5.7777777777777775E-2</v>
      </c>
      <c r="D48" s="92">
        <f t="shared" ref="D48:J49" si="1">IF(ISNUMBER((D3-D6)/D3),(D3-D6)/D3,0)</f>
        <v>1.8656716417910446E-2</v>
      </c>
      <c r="E48" s="92">
        <f t="shared" si="1"/>
        <v>0.17973231357552583</v>
      </c>
      <c r="F48" s="92">
        <f t="shared" si="1"/>
        <v>0.21115065243179121</v>
      </c>
      <c r="G48" s="92">
        <f t="shared" si="1"/>
        <v>0.29082125603864734</v>
      </c>
      <c r="H48" s="92">
        <f t="shared" si="1"/>
        <v>0.33070866141732286</v>
      </c>
      <c r="I48" s="92">
        <f t="shared" si="1"/>
        <v>0.34335154826958103</v>
      </c>
      <c r="J48" s="92">
        <f t="shared" si="1"/>
        <v>0.33166248955722638</v>
      </c>
      <c r="K48" s="90"/>
      <c r="L48" s="90"/>
    </row>
    <row r="49" spans="1:12">
      <c r="A49" s="90">
        <v>3105</v>
      </c>
      <c r="B49" s="90" t="s">
        <v>25</v>
      </c>
      <c r="C49" s="92">
        <f>IF(ISNUMBER((C4-C7)/C4),(C4-C7)/C4,0)</f>
        <v>0.26583592938733125</v>
      </c>
      <c r="D49" s="92">
        <f t="shared" si="1"/>
        <v>0.29994001199760045</v>
      </c>
      <c r="E49" s="92">
        <f t="shared" si="1"/>
        <v>0.35026412027631043</v>
      </c>
      <c r="F49" s="92">
        <f t="shared" si="1"/>
        <v>0.37047898338220919</v>
      </c>
      <c r="G49" s="92">
        <f t="shared" si="1"/>
        <v>0.37265020272760779</v>
      </c>
      <c r="H49" s="92">
        <f t="shared" si="1"/>
        <v>0.37869611685073029</v>
      </c>
      <c r="I49" s="92">
        <f t="shared" si="1"/>
        <v>0.38754436915133916</v>
      </c>
      <c r="J49" s="92">
        <f t="shared" si="1"/>
        <v>0.40439409543426019</v>
      </c>
      <c r="K49" s="90"/>
      <c r="L49" s="90"/>
    </row>
    <row r="50" spans="1:12">
      <c r="A50" s="86">
        <v>2455</v>
      </c>
      <c r="B50" s="86" t="s">
        <v>213</v>
      </c>
      <c r="C50" s="93">
        <f t="shared" ref="C50:C55" si="2">D50</f>
        <v>63.826462765957444</v>
      </c>
      <c r="D50" s="93">
        <f t="shared" ref="D50:D55" si="3">IF(ISNUMBER(365/(D2*4/((C14+D14)/2))),365/(D2*4/((C14+D14)/2)),0)</f>
        <v>63.826462765957444</v>
      </c>
      <c r="E50" s="93">
        <f t="shared" ref="E50:J50" si="4">IF(ISNUMBER(365/(E2*4/((D14+E14)/2))),365/(E2*4/((D14+E14)/2)),0)</f>
        <v>53.416745730550282</v>
      </c>
      <c r="F50" s="93">
        <f t="shared" si="4"/>
        <v>56.03202479338843</v>
      </c>
      <c r="G50" s="93">
        <f t="shared" si="4"/>
        <v>62.179203539823014</v>
      </c>
      <c r="H50" s="93">
        <f t="shared" si="4"/>
        <v>64.135714285714286</v>
      </c>
      <c r="I50" s="93">
        <f t="shared" si="4"/>
        <v>57.347115384615385</v>
      </c>
      <c r="J50" s="93">
        <f t="shared" si="4"/>
        <v>64.570974576271183</v>
      </c>
      <c r="K50" s="86">
        <f>MIN(C50:J52)</f>
        <v>15.000569216757743</v>
      </c>
      <c r="L50" s="86">
        <f>MAX(C50:J52)</f>
        <v>64.570974576271183</v>
      </c>
    </row>
    <row r="51" spans="1:12">
      <c r="A51" s="86">
        <v>8086</v>
      </c>
      <c r="B51" s="86" t="s">
        <v>213</v>
      </c>
      <c r="C51" s="93">
        <f t="shared" si="2"/>
        <v>33.708022388059703</v>
      </c>
      <c r="D51" s="93">
        <f t="shared" si="3"/>
        <v>33.708022388059703</v>
      </c>
      <c r="E51" s="93">
        <f t="shared" ref="E51:J55" si="5">IF(ISNUMBER(365/(E3*4/((D15+E15)/2))),365/(E3*4/((D15+E15)/2)),0)</f>
        <v>18.75597514340344</v>
      </c>
      <c r="F51" s="93">
        <f t="shared" si="5"/>
        <v>16.669632265717677</v>
      </c>
      <c r="G51" s="93">
        <f t="shared" si="5"/>
        <v>19.440217391304348</v>
      </c>
      <c r="H51" s="93">
        <f t="shared" si="5"/>
        <v>19.624138779527559</v>
      </c>
      <c r="I51" s="93">
        <f t="shared" si="5"/>
        <v>15.000569216757743</v>
      </c>
      <c r="J51" s="93">
        <f t="shared" si="5"/>
        <v>17.114139515455303</v>
      </c>
      <c r="K51" s="86"/>
      <c r="L51" s="86">
        <f>AVERAGE(F51:J51)</f>
        <v>17.569739433752524</v>
      </c>
    </row>
    <row r="52" spans="1:12">
      <c r="A52" s="86">
        <v>3105</v>
      </c>
      <c r="B52" s="86" t="s">
        <v>213</v>
      </c>
      <c r="C52" s="93">
        <f t="shared" si="2"/>
        <v>34.677189562087584</v>
      </c>
      <c r="D52" s="93">
        <f t="shared" si="3"/>
        <v>34.677189562087584</v>
      </c>
      <c r="E52" s="93">
        <f t="shared" si="5"/>
        <v>27.308258837870785</v>
      </c>
      <c r="F52" s="93">
        <f t="shared" si="5"/>
        <v>27.84477842945585</v>
      </c>
      <c r="G52" s="93">
        <f t="shared" si="5"/>
        <v>28.706920383339476</v>
      </c>
      <c r="H52" s="93">
        <f t="shared" si="5"/>
        <v>26.42901674385465</v>
      </c>
      <c r="I52" s="93">
        <f t="shared" si="5"/>
        <v>28.414407873507582</v>
      </c>
      <c r="J52" s="93">
        <f t="shared" si="5"/>
        <v>30.385341572262274</v>
      </c>
      <c r="K52" s="86"/>
      <c r="L52" s="86">
        <f>AVERAGE(F52:J52)</f>
        <v>28.356093000483963</v>
      </c>
    </row>
    <row r="53" spans="1:12">
      <c r="A53" s="87">
        <v>2455</v>
      </c>
      <c r="B53" s="87" t="s">
        <v>214</v>
      </c>
      <c r="C53" s="94">
        <f t="shared" si="2"/>
        <v>104.26025390625</v>
      </c>
      <c r="D53" s="94">
        <f t="shared" si="3"/>
        <v>104.26025390625</v>
      </c>
      <c r="E53" s="94">
        <f t="shared" si="5"/>
        <v>81.314469914040117</v>
      </c>
      <c r="F53" s="94">
        <f t="shared" si="5"/>
        <v>77.5625</v>
      </c>
      <c r="G53" s="94">
        <f t="shared" si="5"/>
        <v>89.077380952380949</v>
      </c>
      <c r="H53" s="94">
        <f t="shared" si="5"/>
        <v>112.208984375</v>
      </c>
      <c r="I53" s="94">
        <f t="shared" si="5"/>
        <v>96.05263157894737</v>
      </c>
      <c r="J53" s="94">
        <f t="shared" si="5"/>
        <v>92.814973614775724</v>
      </c>
      <c r="K53" s="87">
        <f>MIN(C53:J55)</f>
        <v>44.997656249999999</v>
      </c>
      <c r="L53" s="87">
        <f>MAX(C53:J55)</f>
        <v>112.208984375</v>
      </c>
    </row>
    <row r="54" spans="1:12">
      <c r="A54" s="87">
        <v>8086</v>
      </c>
      <c r="B54" s="87" t="s">
        <v>214</v>
      </c>
      <c r="C54" s="94">
        <f t="shared" si="2"/>
        <v>52.737642585551328</v>
      </c>
      <c r="D54" s="94">
        <f t="shared" si="3"/>
        <v>52.737642585551328</v>
      </c>
      <c r="E54" s="94">
        <f t="shared" si="5"/>
        <v>52.325174825174827</v>
      </c>
      <c r="F54" s="94">
        <f t="shared" si="5"/>
        <v>51.388157894736842</v>
      </c>
      <c r="G54" s="94">
        <f t="shared" si="5"/>
        <v>50.100476839237054</v>
      </c>
      <c r="H54" s="94">
        <f t="shared" si="5"/>
        <v>49.986213235294116</v>
      </c>
      <c r="I54" s="94">
        <f t="shared" si="5"/>
        <v>50.497572815533978</v>
      </c>
      <c r="J54" s="94">
        <f t="shared" si="5"/>
        <v>44.997656249999999</v>
      </c>
      <c r="K54" s="87"/>
      <c r="L54" s="87">
        <f>AVERAGE(F54:J54)</f>
        <v>49.394015406960399</v>
      </c>
    </row>
    <row r="55" spans="1:12">
      <c r="A55" s="87">
        <v>3105</v>
      </c>
      <c r="B55" s="87" t="s">
        <v>214</v>
      </c>
      <c r="C55" s="94">
        <f t="shared" si="2"/>
        <v>84.994644387317919</v>
      </c>
      <c r="D55" s="94">
        <f t="shared" si="3"/>
        <v>84.994644387317919</v>
      </c>
      <c r="E55" s="94">
        <f t="shared" si="5"/>
        <v>74.472326454033762</v>
      </c>
      <c r="F55" s="94">
        <f t="shared" si="5"/>
        <v>75.687435300207042</v>
      </c>
      <c r="G55" s="94">
        <f t="shared" si="5"/>
        <v>84.226645123384259</v>
      </c>
      <c r="H55" s="94">
        <f t="shared" si="5"/>
        <v>89.340237958715605</v>
      </c>
      <c r="I55" s="94">
        <f t="shared" si="5"/>
        <v>96.15384615384616</v>
      </c>
      <c r="J55" s="94">
        <f t="shared" si="5"/>
        <v>111.7878242074928</v>
      </c>
      <c r="K55" s="87"/>
      <c r="L55" s="87">
        <f>AVERAGE(F55:J55)</f>
        <v>91.439197748729185</v>
      </c>
    </row>
    <row r="56" spans="1:12">
      <c r="A56" s="88">
        <v>2455</v>
      </c>
      <c r="B56" s="88" t="s">
        <v>215</v>
      </c>
      <c r="C56" s="95">
        <f t="shared" ref="C56:J56" si="6">C20/C23</f>
        <v>9.5922031290074372E-2</v>
      </c>
      <c r="D56" s="95">
        <f t="shared" si="6"/>
        <v>9.219143576826197E-2</v>
      </c>
      <c r="E56" s="95">
        <f t="shared" si="6"/>
        <v>0.21764705882352942</v>
      </c>
      <c r="F56" s="95">
        <f t="shared" si="6"/>
        <v>0.10992813414958744</v>
      </c>
      <c r="G56" s="95">
        <f t="shared" si="6"/>
        <v>0.11173042817329618</v>
      </c>
      <c r="H56" s="95">
        <f t="shared" si="6"/>
        <v>0.11604758436513717</v>
      </c>
      <c r="I56" s="95">
        <f t="shared" si="6"/>
        <v>0.22271662763466041</v>
      </c>
      <c r="J56" s="95">
        <f t="shared" si="6"/>
        <v>0.11193838254172016</v>
      </c>
      <c r="K56" s="88">
        <f>MIN(C56:J58)</f>
        <v>9.219143576826197E-2</v>
      </c>
      <c r="L56" s="88">
        <f>MAX(C56:J58)</f>
        <v>0.34571723426212592</v>
      </c>
    </row>
    <row r="57" spans="1:12">
      <c r="A57" s="88">
        <v>8086</v>
      </c>
      <c r="B57" s="88" t="s">
        <v>215</v>
      </c>
      <c r="C57" s="95">
        <f>IF(ISNUMBER(C21/C24),C21/C24,0)</f>
        <v>0.18223234624145787</v>
      </c>
      <c r="D57" s="95">
        <f t="shared" ref="D57:J57" si="7">D21/D24</f>
        <v>0.18943533697632059</v>
      </c>
      <c r="E57" s="95">
        <f t="shared" si="7"/>
        <v>0.25143560295324036</v>
      </c>
      <c r="F57" s="95">
        <f t="shared" si="7"/>
        <v>0.24419504643962847</v>
      </c>
      <c r="G57" s="95">
        <f t="shared" si="7"/>
        <v>0.2329996548153262</v>
      </c>
      <c r="H57" s="95">
        <f t="shared" si="7"/>
        <v>0.21271159374001916</v>
      </c>
      <c r="I57" s="95">
        <f t="shared" si="7"/>
        <v>0.29049972542559033</v>
      </c>
      <c r="J57" s="95">
        <f t="shared" si="7"/>
        <v>0.20793693938570262</v>
      </c>
      <c r="K57" s="88"/>
      <c r="L57" s="88"/>
    </row>
    <row r="58" spans="1:12">
      <c r="A58" s="88">
        <v>3105</v>
      </c>
      <c r="B58" s="88" t="s">
        <v>215</v>
      </c>
      <c r="C58" s="95">
        <f>IF(ISNUMBER(C22/C25),C22/C25,0)</f>
        <v>0.29461917392951875</v>
      </c>
      <c r="D58" s="95">
        <f t="shared" ref="D58:J58" si="8">IF(ISNUMBER(D22/D25),D22/D25,0)</f>
        <v>0.28363328790940273</v>
      </c>
      <c r="E58" s="95">
        <f t="shared" si="8"/>
        <v>0.34571723426212592</v>
      </c>
      <c r="F58" s="95">
        <f t="shared" si="8"/>
        <v>0.29344110854503463</v>
      </c>
      <c r="G58" s="95">
        <f t="shared" si="8"/>
        <v>0.26934360102676935</v>
      </c>
      <c r="H58" s="95">
        <f t="shared" si="8"/>
        <v>0.26559125567455594</v>
      </c>
      <c r="I58" s="95">
        <f t="shared" si="8"/>
        <v>0.27582821038251365</v>
      </c>
      <c r="J58" s="95">
        <f t="shared" si="8"/>
        <v>0.26723247563878039</v>
      </c>
      <c r="K58" s="88"/>
      <c r="L58" s="88"/>
    </row>
    <row r="59" spans="1:12">
      <c r="A59" s="89">
        <v>2455</v>
      </c>
      <c r="B59" s="89" t="s">
        <v>216</v>
      </c>
      <c r="C59" s="96">
        <f>IF(C8&gt;0,IF(C26&gt;C8,IF(ISNUMBER(C26/C8),C26/C8,0),0),0)</f>
        <v>3.693548387096774</v>
      </c>
      <c r="D59" s="96">
        <f t="shared" ref="D59:J59" si="9">IF(D8&gt;0,IF(D26&gt;D8,IF(ISNUMBER(D26/D8),D26/D8,0),0),0)</f>
        <v>1.2702702702702702</v>
      </c>
      <c r="E59" s="96">
        <f t="shared" si="9"/>
        <v>1.1931818181818181</v>
      </c>
      <c r="F59" s="96">
        <f t="shared" si="9"/>
        <v>0</v>
      </c>
      <c r="G59" s="96">
        <f t="shared" si="9"/>
        <v>1.6092715231788079</v>
      </c>
      <c r="H59" s="96">
        <f t="shared" si="9"/>
        <v>1.0451127819548873</v>
      </c>
      <c r="I59" s="96">
        <f t="shared" si="9"/>
        <v>0</v>
      </c>
      <c r="J59" s="96">
        <f t="shared" si="9"/>
        <v>1.8362573099415205</v>
      </c>
      <c r="K59" s="89"/>
      <c r="L59" s="89">
        <f>AVERAGE(F59:J59)</f>
        <v>0.8981283230150432</v>
      </c>
    </row>
    <row r="60" spans="1:12">
      <c r="A60" s="89">
        <v>8086</v>
      </c>
      <c r="B60" s="89" t="s">
        <v>216</v>
      </c>
      <c r="C60" s="96">
        <f>IF(C9&gt;0,IF(C27&gt;C9,IF(ISNUMBER(C27/C9),C27/C9,0),0),0)</f>
        <v>0</v>
      </c>
      <c r="D60" s="96">
        <f t="shared" ref="D60:J61" si="10">IF(D9&gt;0,IF(D27&gt;D9,IF(ISNUMBER(D27/D9),D27/D9,0),0),0)</f>
        <v>0</v>
      </c>
      <c r="E60" s="96">
        <f t="shared" si="10"/>
        <v>1.5853658536585367</v>
      </c>
      <c r="F60" s="96">
        <f t="shared" si="10"/>
        <v>0</v>
      </c>
      <c r="G60" s="96">
        <f t="shared" si="10"/>
        <v>1.5344827586206897</v>
      </c>
      <c r="H60" s="96">
        <f t="shared" si="10"/>
        <v>1.3771186440677967</v>
      </c>
      <c r="I60" s="96">
        <f t="shared" si="10"/>
        <v>1.5169811320754718</v>
      </c>
      <c r="J60" s="96">
        <f t="shared" si="10"/>
        <v>0</v>
      </c>
      <c r="K60" s="89"/>
      <c r="L60" s="89"/>
    </row>
    <row r="61" spans="1:12">
      <c r="A61" s="89">
        <v>3105</v>
      </c>
      <c r="B61" s="89" t="s">
        <v>216</v>
      </c>
      <c r="C61" s="96">
        <f>IF(C10&gt;0,IF(C28&gt;C10,IF(ISNUMBER(C28/C10),C28/C10,0),0),0)</f>
        <v>8.8095238095238102</v>
      </c>
      <c r="D61" s="96">
        <f t="shared" si="10"/>
        <v>2.4788732394366195</v>
      </c>
      <c r="E61" s="96">
        <f t="shared" si="10"/>
        <v>1.2659090909090909</v>
      </c>
      <c r="F61" s="96">
        <f t="shared" si="10"/>
        <v>1.3824701195219125</v>
      </c>
      <c r="G61" s="96">
        <f t="shared" si="10"/>
        <v>3.0592459605026932</v>
      </c>
      <c r="H61" s="96">
        <f t="shared" si="10"/>
        <v>1.2152103559870551</v>
      </c>
      <c r="I61" s="96">
        <f t="shared" si="10"/>
        <v>2.0614525139664805</v>
      </c>
      <c r="J61" s="96">
        <f t="shared" si="10"/>
        <v>1.2732919254658386</v>
      </c>
      <c r="K61" s="89"/>
      <c r="L61" s="89"/>
    </row>
    <row r="62" spans="1:12">
      <c r="A62" s="90">
        <v>2455</v>
      </c>
      <c r="B62" s="90" t="s">
        <v>217</v>
      </c>
      <c r="C62" s="97">
        <f>C38/C5</f>
        <v>0.18620689655172415</v>
      </c>
      <c r="D62" s="97">
        <f t="shared" ref="D62:J62" si="11">D38/D5</f>
        <v>0.2109375</v>
      </c>
      <c r="E62" s="97">
        <f t="shared" si="11"/>
        <v>0.15472779369627507</v>
      </c>
      <c r="F62" s="97">
        <f t="shared" si="11"/>
        <v>0.13589743589743589</v>
      </c>
      <c r="G62" s="97">
        <f t="shared" si="11"/>
        <v>0.15126050420168066</v>
      </c>
      <c r="H62" s="97">
        <f t="shared" si="11"/>
        <v>0.16250000000000001</v>
      </c>
      <c r="I62" s="97">
        <f t="shared" si="11"/>
        <v>0.13032581453634084</v>
      </c>
      <c r="J62" s="97">
        <f t="shared" si="11"/>
        <v>0.13720316622691292</v>
      </c>
      <c r="K62" s="90"/>
      <c r="L62" s="90"/>
    </row>
    <row r="63" spans="1:12">
      <c r="A63" s="90">
        <v>8086</v>
      </c>
      <c r="B63" s="90" t="s">
        <v>217</v>
      </c>
      <c r="C63" s="97">
        <f>C39/C6</f>
        <v>0.26886792452830188</v>
      </c>
      <c r="D63" s="97">
        <f t="shared" ref="D63:J64" si="12">D39/D6</f>
        <v>0.21292775665399238</v>
      </c>
      <c r="E63" s="97">
        <f t="shared" si="12"/>
        <v>0.13053613053613053</v>
      </c>
      <c r="F63" s="97">
        <f t="shared" si="12"/>
        <v>8.5714285714285715E-2</v>
      </c>
      <c r="G63" s="97">
        <f t="shared" si="12"/>
        <v>7.4931880108991822E-2</v>
      </c>
      <c r="H63" s="97">
        <f t="shared" si="12"/>
        <v>8.5294117647058826E-2</v>
      </c>
      <c r="I63" s="97">
        <f t="shared" si="12"/>
        <v>8.1830790568654652E-2</v>
      </c>
      <c r="J63" s="97">
        <f t="shared" si="12"/>
        <v>7.6249999999999998E-2</v>
      </c>
      <c r="K63" s="90"/>
      <c r="L63" s="90"/>
    </row>
    <row r="64" spans="1:12">
      <c r="A64" s="90">
        <v>3105</v>
      </c>
      <c r="B64" s="90" t="s">
        <v>217</v>
      </c>
      <c r="C64" s="97">
        <f>C40/C7</f>
        <v>0.31541725601131543</v>
      </c>
      <c r="D64" s="97">
        <f t="shared" si="12"/>
        <v>0.39331619537275064</v>
      </c>
      <c r="E64" s="97">
        <f t="shared" si="12"/>
        <v>0.28893058161350843</v>
      </c>
      <c r="F64" s="97">
        <f t="shared" si="12"/>
        <v>0.24068322981366461</v>
      </c>
      <c r="G64" s="97">
        <f t="shared" si="12"/>
        <v>0.27379553466509987</v>
      </c>
      <c r="H64" s="97">
        <f t="shared" si="12"/>
        <v>0.26834862385321101</v>
      </c>
      <c r="I64" s="97">
        <f t="shared" si="12"/>
        <v>0.2476290832455216</v>
      </c>
      <c r="J64" s="97">
        <f t="shared" si="12"/>
        <v>0.2737752161383285</v>
      </c>
      <c r="K64" s="90"/>
      <c r="L64" s="90"/>
    </row>
    <row r="65" spans="1:12">
      <c r="A65" s="86">
        <v>2455</v>
      </c>
      <c r="B65" s="86" t="s">
        <v>218</v>
      </c>
      <c r="C65" s="98">
        <f>C41/C2</f>
        <v>0.125</v>
      </c>
      <c r="D65" s="98">
        <f t="shared" ref="D65:J65" si="13">D41/D2</f>
        <v>0.11702127659574468</v>
      </c>
      <c r="E65" s="98">
        <f t="shared" si="13"/>
        <v>9.1081593927893736E-2</v>
      </c>
      <c r="F65" s="98">
        <f t="shared" si="13"/>
        <v>7.9338842975206617E-2</v>
      </c>
      <c r="G65" s="98">
        <f t="shared" si="13"/>
        <v>0.10088495575221239</v>
      </c>
      <c r="H65" s="98">
        <f t="shared" si="13"/>
        <v>9.7142857142857142E-2</v>
      </c>
      <c r="I65" s="98">
        <f t="shared" si="13"/>
        <v>8.3076923076923076E-2</v>
      </c>
      <c r="J65" s="98">
        <f t="shared" si="13"/>
        <v>9.3220338983050849E-2</v>
      </c>
      <c r="K65" s="86"/>
      <c r="L65" s="86"/>
    </row>
    <row r="66" spans="1:12">
      <c r="A66" s="86">
        <v>8086</v>
      </c>
      <c r="B66" s="86" t="s">
        <v>218</v>
      </c>
      <c r="C66" s="98">
        <f>C42/C3</f>
        <v>0.17333333333333334</v>
      </c>
      <c r="D66" s="98">
        <f t="shared" ref="D66:J67" si="14">D42/D3</f>
        <v>0.13805970149253732</v>
      </c>
      <c r="E66" s="98">
        <f t="shared" si="14"/>
        <v>8.2217973231357558E-2</v>
      </c>
      <c r="F66" s="98">
        <f t="shared" si="14"/>
        <v>5.575326215895611E-2</v>
      </c>
      <c r="G66" s="98">
        <f t="shared" si="14"/>
        <v>5.2173913043478258E-2</v>
      </c>
      <c r="H66" s="98">
        <f t="shared" si="14"/>
        <v>6.0039370078740155E-2</v>
      </c>
      <c r="I66" s="98">
        <f t="shared" si="14"/>
        <v>5.3734061930783242E-2</v>
      </c>
      <c r="J66" s="98">
        <f t="shared" si="14"/>
        <v>5.3467000835421885E-2</v>
      </c>
      <c r="K66" s="86"/>
      <c r="L66" s="86"/>
    </row>
    <row r="67" spans="1:12">
      <c r="A67" s="86">
        <v>3105</v>
      </c>
      <c r="B67" s="86" t="s">
        <v>218</v>
      </c>
      <c r="C67" s="98">
        <f>C43/C4</f>
        <v>0.1391484942886812</v>
      </c>
      <c r="D67" s="98">
        <f t="shared" si="14"/>
        <v>0.17816436712657469</v>
      </c>
      <c r="E67" s="98">
        <f t="shared" si="14"/>
        <v>0.11905729378301504</v>
      </c>
      <c r="F67" s="98">
        <f t="shared" si="14"/>
        <v>8.8302378624959266E-2</v>
      </c>
      <c r="G67" s="98">
        <f t="shared" si="14"/>
        <v>0.12311094729082196</v>
      </c>
      <c r="H67" s="98">
        <f t="shared" si="14"/>
        <v>0.10260064125400783</v>
      </c>
      <c r="I67" s="98">
        <f t="shared" si="14"/>
        <v>9.6805421103581799E-2</v>
      </c>
      <c r="J67" s="98">
        <f t="shared" si="14"/>
        <v>0.1201510470305527</v>
      </c>
      <c r="K67" s="86"/>
      <c r="L67" s="86"/>
    </row>
    <row r="68" spans="1:12">
      <c r="A68" s="87">
        <v>2455</v>
      </c>
      <c r="B68" s="87" t="s">
        <v>544</v>
      </c>
      <c r="C68" s="99">
        <f t="shared" ref="C68:J70" si="15">ROUND((C2/C44)*10,2)</f>
        <v>1.66</v>
      </c>
      <c r="D68" s="99">
        <f t="shared" si="15"/>
        <v>1.53</v>
      </c>
      <c r="E68" s="99">
        <f t="shared" si="15"/>
        <v>2.14</v>
      </c>
      <c r="F68" s="99">
        <f t="shared" si="15"/>
        <v>2.4500000000000002</v>
      </c>
      <c r="G68" s="99">
        <f t="shared" si="15"/>
        <v>2.29</v>
      </c>
      <c r="H68" s="99">
        <f t="shared" si="15"/>
        <v>2.13</v>
      </c>
      <c r="I68" s="99">
        <f t="shared" si="15"/>
        <v>2.64</v>
      </c>
      <c r="J68" s="99">
        <f t="shared" si="15"/>
        <v>2.39</v>
      </c>
      <c r="K68" s="87"/>
      <c r="L68" s="87"/>
    </row>
    <row r="69" spans="1:12">
      <c r="A69" s="87">
        <v>8086</v>
      </c>
      <c r="B69" s="87" t="s">
        <v>544</v>
      </c>
      <c r="C69" s="99">
        <f t="shared" si="15"/>
        <v>1.66</v>
      </c>
      <c r="D69" s="99">
        <f t="shared" si="15"/>
        <v>1.98</v>
      </c>
      <c r="E69" s="99">
        <f t="shared" si="15"/>
        <v>3.86</v>
      </c>
      <c r="F69" s="99">
        <f t="shared" si="15"/>
        <v>6.21</v>
      </c>
      <c r="G69" s="99">
        <f t="shared" si="15"/>
        <v>7.56</v>
      </c>
      <c r="H69" s="99">
        <f t="shared" si="15"/>
        <v>7.41</v>
      </c>
      <c r="I69" s="99">
        <f t="shared" si="15"/>
        <v>7.84</v>
      </c>
      <c r="J69" s="99">
        <f t="shared" si="15"/>
        <v>8.5299999999999994</v>
      </c>
      <c r="K69" s="87"/>
      <c r="L69" s="87"/>
    </row>
    <row r="70" spans="1:12">
      <c r="A70" s="87">
        <v>3105</v>
      </c>
      <c r="B70" s="87" t="s">
        <v>544</v>
      </c>
      <c r="C70" s="87">
        <f t="shared" si="15"/>
        <v>2.61</v>
      </c>
      <c r="D70" s="87">
        <f t="shared" si="15"/>
        <v>2.25</v>
      </c>
      <c r="E70" s="87">
        <f t="shared" si="15"/>
        <v>3.32</v>
      </c>
      <c r="F70" s="87">
        <f t="shared" si="15"/>
        <v>4.1399999999999997</v>
      </c>
      <c r="G70" s="87">
        <f t="shared" si="15"/>
        <v>3.66</v>
      </c>
      <c r="H70" s="87">
        <f t="shared" si="15"/>
        <v>3.78</v>
      </c>
      <c r="I70" s="87">
        <f t="shared" si="15"/>
        <v>4.16</v>
      </c>
      <c r="J70" s="87">
        <f t="shared" si="15"/>
        <v>4.8899999999999997</v>
      </c>
      <c r="K70" s="87"/>
      <c r="L70" s="87"/>
    </row>
    <row r="71" spans="1:12">
      <c r="A71" s="100">
        <v>2455</v>
      </c>
      <c r="B71" s="100" t="s">
        <v>543</v>
      </c>
      <c r="C71" s="100">
        <f t="shared" ref="C71:J73" si="16">ROUND((C26/C44)*10,2)</f>
        <v>0.93</v>
      </c>
      <c r="D71" s="100">
        <f t="shared" si="16"/>
        <v>0.38</v>
      </c>
      <c r="E71" s="100">
        <f t="shared" si="16"/>
        <v>0.43</v>
      </c>
      <c r="F71" s="100">
        <f t="shared" si="16"/>
        <v>0.62</v>
      </c>
      <c r="G71" s="100">
        <f t="shared" si="16"/>
        <v>0.99</v>
      </c>
      <c r="H71" s="100">
        <f t="shared" si="16"/>
        <v>0.56000000000000005</v>
      </c>
      <c r="I71" s="100">
        <f t="shared" si="16"/>
        <v>0.61</v>
      </c>
      <c r="J71" s="100">
        <f t="shared" si="16"/>
        <v>1.27</v>
      </c>
      <c r="K71" s="100"/>
      <c r="L71" s="100"/>
    </row>
    <row r="72" spans="1:12">
      <c r="A72" s="100">
        <v>8086</v>
      </c>
      <c r="B72" s="100" t="s">
        <v>543</v>
      </c>
      <c r="C72" s="100">
        <f t="shared" si="16"/>
        <v>0.75</v>
      </c>
      <c r="D72" s="100">
        <f t="shared" si="16"/>
        <v>0.24</v>
      </c>
      <c r="E72" s="100">
        <f t="shared" si="16"/>
        <v>0.48</v>
      </c>
      <c r="F72" s="100">
        <f t="shared" si="16"/>
        <v>0.72</v>
      </c>
      <c r="G72" s="100">
        <f t="shared" si="16"/>
        <v>2.6</v>
      </c>
      <c r="H72" s="100">
        <f t="shared" si="16"/>
        <v>2.37</v>
      </c>
      <c r="I72" s="100">
        <f t="shared" si="16"/>
        <v>2.87</v>
      </c>
      <c r="J72" s="100">
        <f t="shared" si="16"/>
        <v>2.13</v>
      </c>
      <c r="K72" s="100"/>
      <c r="L72" s="100"/>
    </row>
    <row r="73" spans="1:12">
      <c r="A73" s="100">
        <v>3105</v>
      </c>
      <c r="B73" s="100" t="s">
        <v>543</v>
      </c>
      <c r="C73" s="100">
        <f t="shared" si="16"/>
        <v>1.5</v>
      </c>
      <c r="D73" s="100">
        <f t="shared" si="16"/>
        <v>0.71</v>
      </c>
      <c r="E73" s="100">
        <f t="shared" si="16"/>
        <v>0.75</v>
      </c>
      <c r="F73" s="100">
        <f t="shared" si="16"/>
        <v>1.4</v>
      </c>
      <c r="G73" s="100">
        <f t="shared" si="16"/>
        <v>2.2999999999999998</v>
      </c>
      <c r="H73" s="100">
        <f t="shared" si="16"/>
        <v>1.01</v>
      </c>
      <c r="I73" s="100">
        <f t="shared" si="16"/>
        <v>1.49</v>
      </c>
      <c r="J73" s="100">
        <f t="shared" si="16"/>
        <v>1.72</v>
      </c>
      <c r="K73" s="100"/>
      <c r="L73" s="100"/>
    </row>
    <row r="74" spans="1:12">
      <c r="A74" s="101">
        <v>2455</v>
      </c>
      <c r="B74" s="101" t="s">
        <v>1870</v>
      </c>
      <c r="C74" s="101">
        <f>IF(C32&lt;0,ROUND((-C32/C44)*10,2),0)</f>
        <v>0.19</v>
      </c>
      <c r="D74" s="101">
        <f t="shared" ref="D74:J74" si="17">IF(D32&lt;0,ROUND((-D32/D44)*10,2),0)</f>
        <v>0.04</v>
      </c>
      <c r="E74" s="101">
        <f t="shared" si="17"/>
        <v>0</v>
      </c>
      <c r="F74" s="101">
        <f t="shared" si="17"/>
        <v>0.01</v>
      </c>
      <c r="G74" s="101">
        <f t="shared" si="17"/>
        <v>0.3</v>
      </c>
      <c r="H74" s="101">
        <f t="shared" si="17"/>
        <v>0</v>
      </c>
      <c r="I74" s="101">
        <f t="shared" si="17"/>
        <v>0</v>
      </c>
      <c r="J74" s="101">
        <f t="shared" si="17"/>
        <v>7.0000000000000007E-2</v>
      </c>
      <c r="K74" s="101"/>
      <c r="L74" s="101"/>
    </row>
    <row r="75" spans="1:12">
      <c r="A75" s="101">
        <v>8086</v>
      </c>
      <c r="B75" s="101" t="s">
        <v>1870</v>
      </c>
      <c r="C75" s="101">
        <f>IF(C33&lt;0,ROUND((-C33/C45)*10,2),0)</f>
        <v>7.0000000000000007E-2</v>
      </c>
      <c r="D75" s="101">
        <f t="shared" ref="D75:J75" si="18">IF(D33&lt;0,ROUND((-D33/D45)*10,2),0)</f>
        <v>0.02</v>
      </c>
      <c r="E75" s="101">
        <f t="shared" si="18"/>
        <v>0.5</v>
      </c>
      <c r="F75" s="101">
        <f t="shared" si="18"/>
        <v>0.6</v>
      </c>
      <c r="G75" s="101">
        <f t="shared" si="18"/>
        <v>1.22</v>
      </c>
      <c r="H75" s="101">
        <f t="shared" si="18"/>
        <v>1.1499999999999999</v>
      </c>
      <c r="I75" s="101">
        <f t="shared" si="18"/>
        <v>0.56000000000000005</v>
      </c>
      <c r="J75" s="101">
        <f t="shared" si="18"/>
        <v>0.82</v>
      </c>
      <c r="K75" s="101"/>
      <c r="L75" s="101"/>
    </row>
    <row r="76" spans="1:12">
      <c r="A76" s="101">
        <v>3105</v>
      </c>
      <c r="B76" s="101" t="s">
        <v>1870</v>
      </c>
      <c r="C76" s="101">
        <f>IF(C34&lt;0,ROUND((-C34/C46)*10,2),0)</f>
        <v>0.63</v>
      </c>
      <c r="D76" s="101">
        <f t="shared" ref="D76:J76" si="19">IF(D34&lt;0,ROUND((-D34/D46)*10,2),0)</f>
        <v>0.31</v>
      </c>
      <c r="E76" s="101">
        <f t="shared" si="19"/>
        <v>0.18</v>
      </c>
      <c r="F76" s="101">
        <f t="shared" si="19"/>
        <v>0.12</v>
      </c>
      <c r="G76" s="101">
        <f t="shared" si="19"/>
        <v>0.38</v>
      </c>
      <c r="H76" s="101">
        <f t="shared" si="19"/>
        <v>0.67</v>
      </c>
      <c r="I76" s="101">
        <f t="shared" si="19"/>
        <v>0.51</v>
      </c>
      <c r="J76" s="101">
        <f t="shared" si="19"/>
        <v>1.52</v>
      </c>
      <c r="K76" s="101"/>
      <c r="L76" s="101"/>
    </row>
  </sheetData>
  <sheetProtection sheet="1" objects="1" scenarios="1"/>
  <phoneticPr fontId="2" type="noConversion"/>
  <pageMargins left="0.7" right="0.7" top="0.75" bottom="0.75" header="0.3" footer="0.3"/>
  <pageSetup paperSize="9" orientation="portrait" horizontalDpi="1200" verticalDpi="1200" r:id="rId1"/>
</worksheet>
</file>

<file path=xl/worksheets/sheet16.xml><?xml version="1.0" encoding="utf-8"?>
<worksheet xmlns="http://schemas.openxmlformats.org/spreadsheetml/2006/main" xmlns:r="http://schemas.openxmlformats.org/officeDocument/2006/relationships">
  <sheetPr codeName="sheet6"/>
  <dimension ref="B2:J246"/>
  <sheetViews>
    <sheetView workbookViewId="0">
      <selection sqref="A1:XFD1000"/>
    </sheetView>
  </sheetViews>
  <sheetFormatPr defaultRowHeight="16.5"/>
  <cols>
    <col min="2" max="2" width="80.875" customWidth="1"/>
    <col min="3" max="10" width="7.625" customWidth="1"/>
  </cols>
  <sheetData>
    <row r="2" spans="2:10">
      <c r="B2" t="s">
        <v>1946</v>
      </c>
    </row>
    <row r="3" spans="2:10">
      <c r="B3" t="s">
        <v>47</v>
      </c>
    </row>
    <row r="4" spans="2:10">
      <c r="B4" t="s">
        <v>48</v>
      </c>
      <c r="C4" t="s">
        <v>1933</v>
      </c>
      <c r="D4" t="s">
        <v>226</v>
      </c>
      <c r="E4" t="s">
        <v>49</v>
      </c>
      <c r="F4" t="s">
        <v>50</v>
      </c>
      <c r="G4" t="s">
        <v>51</v>
      </c>
      <c r="H4" t="s">
        <v>52</v>
      </c>
      <c r="I4" t="s">
        <v>53</v>
      </c>
      <c r="J4" t="s">
        <v>54</v>
      </c>
    </row>
    <row r="5" spans="2:10">
      <c r="B5" t="s">
        <v>10</v>
      </c>
      <c r="C5">
        <v>590</v>
      </c>
      <c r="D5">
        <v>650</v>
      </c>
      <c r="E5">
        <v>525</v>
      </c>
      <c r="F5">
        <v>565</v>
      </c>
      <c r="G5">
        <v>605</v>
      </c>
      <c r="H5">
        <v>527</v>
      </c>
      <c r="I5">
        <v>376</v>
      </c>
      <c r="J5">
        <v>408</v>
      </c>
    </row>
    <row r="6" spans="2:10">
      <c r="B6" t="s">
        <v>11</v>
      </c>
      <c r="C6">
        <v>379</v>
      </c>
      <c r="D6">
        <v>399</v>
      </c>
      <c r="E6">
        <v>320</v>
      </c>
      <c r="F6">
        <v>357</v>
      </c>
      <c r="G6">
        <v>390</v>
      </c>
      <c r="H6">
        <v>349</v>
      </c>
      <c r="I6">
        <v>256</v>
      </c>
      <c r="J6">
        <v>290</v>
      </c>
    </row>
    <row r="7" spans="2:10">
      <c r="B7" t="s">
        <v>55</v>
      </c>
      <c r="C7">
        <v>211</v>
      </c>
      <c r="D7">
        <v>251</v>
      </c>
      <c r="E7">
        <v>205</v>
      </c>
      <c r="F7">
        <v>208</v>
      </c>
      <c r="G7">
        <v>215</v>
      </c>
      <c r="H7">
        <v>178</v>
      </c>
      <c r="I7">
        <v>120</v>
      </c>
      <c r="J7">
        <v>118</v>
      </c>
    </row>
    <row r="8" spans="2:10">
      <c r="B8" t="s">
        <v>56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</row>
    <row r="9" spans="2:10">
      <c r="B9" t="s">
        <v>57</v>
      </c>
      <c r="C9">
        <v>211</v>
      </c>
      <c r="D9">
        <v>251</v>
      </c>
      <c r="E9">
        <v>205</v>
      </c>
      <c r="F9">
        <v>208</v>
      </c>
      <c r="G9">
        <v>215</v>
      </c>
      <c r="H9">
        <v>178</v>
      </c>
      <c r="I9">
        <v>120</v>
      </c>
      <c r="J9">
        <v>118</v>
      </c>
    </row>
    <row r="10" spans="2:10">
      <c r="B10" t="s">
        <v>58</v>
      </c>
      <c r="C10">
        <v>55</v>
      </c>
      <c r="D10">
        <v>54</v>
      </c>
      <c r="E10">
        <v>51</v>
      </c>
      <c r="F10">
        <v>57</v>
      </c>
      <c r="G10">
        <v>48</v>
      </c>
      <c r="H10">
        <v>48</v>
      </c>
      <c r="I10">
        <v>44</v>
      </c>
      <c r="J10">
        <v>51</v>
      </c>
    </row>
    <row r="11" spans="2:10">
      <c r="B11" t="s">
        <v>59</v>
      </c>
      <c r="C11">
        <v>2</v>
      </c>
      <c r="D11">
        <v>3</v>
      </c>
      <c r="E11">
        <v>3</v>
      </c>
      <c r="F11">
        <v>5</v>
      </c>
      <c r="G11">
        <v>4</v>
      </c>
      <c r="H11">
        <v>3</v>
      </c>
      <c r="I11">
        <v>3</v>
      </c>
      <c r="J11">
        <v>3</v>
      </c>
    </row>
    <row r="12" spans="2:10">
      <c r="B12" t="s">
        <v>60</v>
      </c>
      <c r="C12">
        <v>23</v>
      </c>
      <c r="D12">
        <v>24</v>
      </c>
      <c r="E12">
        <v>20</v>
      </c>
      <c r="F12">
        <v>22</v>
      </c>
      <c r="G12">
        <v>21</v>
      </c>
      <c r="H12">
        <v>20</v>
      </c>
      <c r="I12">
        <v>16</v>
      </c>
      <c r="J12">
        <v>17</v>
      </c>
    </row>
    <row r="13" spans="2:10">
      <c r="B13" t="s">
        <v>61</v>
      </c>
      <c r="C13">
        <v>30</v>
      </c>
      <c r="D13">
        <v>26</v>
      </c>
      <c r="E13">
        <v>28</v>
      </c>
      <c r="F13">
        <v>30</v>
      </c>
      <c r="G13">
        <v>23</v>
      </c>
      <c r="H13">
        <v>25</v>
      </c>
      <c r="I13">
        <v>26</v>
      </c>
      <c r="J13">
        <v>32</v>
      </c>
    </row>
    <row r="14" spans="2:10">
      <c r="B14" t="s">
        <v>62</v>
      </c>
      <c r="C14">
        <v>156</v>
      </c>
      <c r="D14">
        <v>197</v>
      </c>
      <c r="E14">
        <v>154</v>
      </c>
      <c r="F14">
        <v>151</v>
      </c>
      <c r="G14">
        <v>168</v>
      </c>
      <c r="H14">
        <v>130</v>
      </c>
      <c r="I14">
        <v>76</v>
      </c>
      <c r="J14">
        <v>67</v>
      </c>
    </row>
    <row r="15" spans="2:10">
      <c r="B15" t="s">
        <v>63</v>
      </c>
      <c r="C15">
        <v>1</v>
      </c>
      <c r="D15">
        <v>2</v>
      </c>
      <c r="E15">
        <v>1</v>
      </c>
      <c r="F15">
        <v>-4</v>
      </c>
      <c r="G15">
        <v>1</v>
      </c>
      <c r="H15">
        <v>2</v>
      </c>
      <c r="I15">
        <v>1</v>
      </c>
      <c r="J15">
        <v>0</v>
      </c>
    </row>
    <row r="16" spans="2:10">
      <c r="B16" t="s">
        <v>64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</row>
    <row r="17" spans="2:10">
      <c r="B17" t="s">
        <v>65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</row>
    <row r="18" spans="2:10">
      <c r="B18" t="s">
        <v>66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</row>
    <row r="19" spans="2:10">
      <c r="B19" t="s">
        <v>67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</row>
    <row r="20" spans="2:10">
      <c r="B20" t="s">
        <v>68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</row>
    <row r="21" spans="2:10">
      <c r="B21" t="s">
        <v>69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</row>
    <row r="22" spans="2:10">
      <c r="B22" t="s">
        <v>70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</row>
    <row r="23" spans="2:10">
      <c r="B23" t="s">
        <v>71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</row>
    <row r="24" spans="2:10">
      <c r="B24" t="s">
        <v>72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</row>
    <row r="25" spans="2:10">
      <c r="B25" t="s">
        <v>73</v>
      </c>
      <c r="C25">
        <v>31</v>
      </c>
      <c r="D25">
        <v>0</v>
      </c>
      <c r="E25">
        <v>0</v>
      </c>
      <c r="F25">
        <v>22</v>
      </c>
      <c r="G25">
        <v>8</v>
      </c>
      <c r="H25">
        <v>-5</v>
      </c>
      <c r="I25">
        <v>8</v>
      </c>
      <c r="J25">
        <v>3</v>
      </c>
    </row>
    <row r="26" spans="2:10">
      <c r="B26" t="s">
        <v>74</v>
      </c>
      <c r="C26">
        <v>0</v>
      </c>
      <c r="D26">
        <v>9</v>
      </c>
      <c r="E26">
        <v>0</v>
      </c>
      <c r="F26">
        <v>6</v>
      </c>
      <c r="G26">
        <v>1</v>
      </c>
      <c r="H26">
        <v>0</v>
      </c>
      <c r="I26">
        <v>0</v>
      </c>
      <c r="J26">
        <v>2</v>
      </c>
    </row>
    <row r="27" spans="2:10">
      <c r="B27" t="s">
        <v>75</v>
      </c>
      <c r="C27">
        <v>33</v>
      </c>
      <c r="D27">
        <v>11</v>
      </c>
      <c r="E27">
        <v>1</v>
      </c>
      <c r="F27">
        <v>24</v>
      </c>
      <c r="G27">
        <v>10</v>
      </c>
      <c r="H27">
        <v>-3</v>
      </c>
      <c r="I27">
        <v>9</v>
      </c>
      <c r="J27">
        <v>5</v>
      </c>
    </row>
    <row r="28" spans="2:10">
      <c r="B28" t="s">
        <v>76</v>
      </c>
      <c r="C28">
        <v>0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</row>
    <row r="29" spans="2:10">
      <c r="B29" t="s">
        <v>77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</row>
    <row r="30" spans="2:10">
      <c r="B30" t="s">
        <v>78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</row>
    <row r="31" spans="2:10">
      <c r="B31" t="s">
        <v>79</v>
      </c>
      <c r="C31">
        <v>0</v>
      </c>
      <c r="D31">
        <v>0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</row>
    <row r="32" spans="2:10">
      <c r="B32" t="s">
        <v>80</v>
      </c>
      <c r="C32">
        <v>0</v>
      </c>
      <c r="D32">
        <v>0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</row>
    <row r="33" spans="2:10">
      <c r="B33" t="s">
        <v>81</v>
      </c>
      <c r="C33">
        <v>0</v>
      </c>
      <c r="D33">
        <v>0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</row>
    <row r="34" spans="2:10">
      <c r="B34" t="s">
        <v>82</v>
      </c>
      <c r="C34">
        <v>0</v>
      </c>
      <c r="D34">
        <v>0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</row>
    <row r="35" spans="2:10">
      <c r="B35" t="s">
        <v>83</v>
      </c>
      <c r="C35">
        <v>0</v>
      </c>
      <c r="D35">
        <v>0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</row>
    <row r="36" spans="2:10">
      <c r="B36" t="s">
        <v>84</v>
      </c>
      <c r="C36">
        <v>0</v>
      </c>
      <c r="D36">
        <v>0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</row>
    <row r="37" spans="2:10">
      <c r="B37" t="s">
        <v>85</v>
      </c>
      <c r="C37">
        <v>0</v>
      </c>
      <c r="D37">
        <v>0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</row>
    <row r="38" spans="2:10">
      <c r="B38" t="s">
        <v>86</v>
      </c>
      <c r="C38">
        <v>-10</v>
      </c>
      <c r="D38">
        <v>7</v>
      </c>
      <c r="E38">
        <v>3</v>
      </c>
      <c r="F38">
        <v>0</v>
      </c>
      <c r="G38">
        <v>0</v>
      </c>
      <c r="H38">
        <v>0</v>
      </c>
      <c r="I38">
        <v>0</v>
      </c>
      <c r="J38">
        <v>0</v>
      </c>
    </row>
    <row r="39" spans="2:10">
      <c r="B39" t="s">
        <v>87</v>
      </c>
      <c r="C39">
        <v>0</v>
      </c>
      <c r="D39">
        <v>0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</row>
    <row r="40" spans="2:10">
      <c r="B40" t="s">
        <v>88</v>
      </c>
      <c r="C40">
        <v>0</v>
      </c>
      <c r="D40">
        <v>0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</row>
    <row r="41" spans="2:10">
      <c r="B41" t="s">
        <v>89</v>
      </c>
      <c r="C41">
        <v>-10</v>
      </c>
      <c r="D41">
        <v>7</v>
      </c>
      <c r="E41">
        <v>3</v>
      </c>
      <c r="F41">
        <v>0</v>
      </c>
      <c r="G41">
        <v>0</v>
      </c>
      <c r="H41">
        <v>0</v>
      </c>
      <c r="I41">
        <v>0</v>
      </c>
      <c r="J41">
        <v>0</v>
      </c>
    </row>
    <row r="42" spans="2:10">
      <c r="B42" t="s">
        <v>90</v>
      </c>
      <c r="C42">
        <v>198</v>
      </c>
      <c r="D42">
        <v>201</v>
      </c>
      <c r="E42">
        <v>153</v>
      </c>
      <c r="F42">
        <v>174</v>
      </c>
      <c r="G42">
        <v>178</v>
      </c>
      <c r="H42">
        <v>127</v>
      </c>
      <c r="I42">
        <v>85</v>
      </c>
      <c r="J42">
        <v>72</v>
      </c>
    </row>
    <row r="43" spans="2:10">
      <c r="B43" t="s">
        <v>91</v>
      </c>
      <c r="C43">
        <v>28</v>
      </c>
      <c r="D43">
        <v>28</v>
      </c>
      <c r="E43">
        <v>20</v>
      </c>
      <c r="F43">
        <v>23</v>
      </c>
      <c r="G43">
        <v>22</v>
      </c>
      <c r="H43">
        <v>40</v>
      </c>
      <c r="I43">
        <v>11</v>
      </c>
      <c r="J43">
        <v>10</v>
      </c>
    </row>
    <row r="44" spans="2:10">
      <c r="B44" t="s">
        <v>92</v>
      </c>
      <c r="C44">
        <v>171</v>
      </c>
      <c r="D44">
        <v>173</v>
      </c>
      <c r="E44">
        <v>133</v>
      </c>
      <c r="F44">
        <v>151</v>
      </c>
      <c r="G44">
        <v>155</v>
      </c>
      <c r="H44">
        <v>88</v>
      </c>
      <c r="I44">
        <v>74</v>
      </c>
      <c r="J44">
        <v>62</v>
      </c>
    </row>
    <row r="45" spans="2:10">
      <c r="B45" t="s">
        <v>93</v>
      </c>
      <c r="C45">
        <v>0</v>
      </c>
      <c r="D45">
        <v>0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</row>
    <row r="46" spans="2:10">
      <c r="B46" t="s">
        <v>94</v>
      </c>
      <c r="C46">
        <v>0</v>
      </c>
      <c r="D46">
        <v>0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</row>
    <row r="47" spans="2:10">
      <c r="B47" t="s">
        <v>95</v>
      </c>
      <c r="C47">
        <v>0</v>
      </c>
      <c r="D47">
        <v>0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</row>
    <row r="48" spans="2:10">
      <c r="B48" t="s">
        <v>96</v>
      </c>
      <c r="C48">
        <v>171</v>
      </c>
      <c r="D48">
        <v>173</v>
      </c>
      <c r="E48">
        <v>133</v>
      </c>
      <c r="F48">
        <v>151</v>
      </c>
      <c r="G48">
        <v>155</v>
      </c>
      <c r="H48">
        <v>88</v>
      </c>
      <c r="I48">
        <v>74</v>
      </c>
      <c r="J48">
        <v>62</v>
      </c>
    </row>
    <row r="49" spans="2:10">
      <c r="B49" t="s">
        <v>97</v>
      </c>
      <c r="C49">
        <v>0</v>
      </c>
      <c r="D49">
        <v>0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</row>
    <row r="50" spans="2:10">
      <c r="B50" t="s">
        <v>99</v>
      </c>
      <c r="C50">
        <v>0</v>
      </c>
      <c r="D50">
        <v>0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</row>
    <row r="51" spans="2:10">
      <c r="B51" t="s">
        <v>100</v>
      </c>
      <c r="C51">
        <v>0</v>
      </c>
      <c r="D51">
        <v>0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</row>
    <row r="52" spans="2:10">
      <c r="B52" t="s">
        <v>13</v>
      </c>
      <c r="C52">
        <v>171</v>
      </c>
      <c r="D52">
        <v>173</v>
      </c>
      <c r="E52">
        <v>133</v>
      </c>
      <c r="F52">
        <v>151</v>
      </c>
      <c r="G52">
        <v>155</v>
      </c>
      <c r="H52">
        <v>88</v>
      </c>
      <c r="I52">
        <v>74</v>
      </c>
      <c r="J52">
        <v>62</v>
      </c>
    </row>
    <row r="53" spans="2:10">
      <c r="B53" t="s">
        <v>14</v>
      </c>
      <c r="C53">
        <v>0.69</v>
      </c>
      <c r="D53">
        <v>0.7</v>
      </c>
      <c r="E53">
        <v>0.54</v>
      </c>
      <c r="F53">
        <v>0.61</v>
      </c>
      <c r="G53">
        <v>0.63</v>
      </c>
      <c r="H53">
        <v>0.36</v>
      </c>
      <c r="I53">
        <v>0.3</v>
      </c>
      <c r="J53">
        <v>0.25</v>
      </c>
    </row>
    <row r="54" spans="2:10">
      <c r="B54" t="s">
        <v>101</v>
      </c>
      <c r="C54">
        <v>0.69</v>
      </c>
      <c r="D54">
        <v>0.69</v>
      </c>
      <c r="E54">
        <v>0.54</v>
      </c>
      <c r="F54" t="s">
        <v>98</v>
      </c>
      <c r="G54">
        <v>0.63</v>
      </c>
      <c r="H54">
        <v>0.35</v>
      </c>
      <c r="I54">
        <v>0.3</v>
      </c>
      <c r="J54" t="s">
        <v>98</v>
      </c>
    </row>
    <row r="55" spans="2:10">
      <c r="B55" t="s">
        <v>102</v>
      </c>
      <c r="C55" s="46">
        <v>2465</v>
      </c>
      <c r="D55" s="46">
        <v>2465</v>
      </c>
      <c r="E55" s="46">
        <v>2465</v>
      </c>
      <c r="F55" s="46">
        <v>2465</v>
      </c>
      <c r="G55" s="46">
        <v>2465</v>
      </c>
      <c r="H55" s="46">
        <v>2435</v>
      </c>
      <c r="I55" s="46">
        <v>2465</v>
      </c>
      <c r="J55" s="46">
        <v>2465</v>
      </c>
    </row>
    <row r="56" spans="2:10">
      <c r="B56" t="s">
        <v>103</v>
      </c>
      <c r="C56">
        <v>0</v>
      </c>
      <c r="D56">
        <v>0</v>
      </c>
      <c r="E56">
        <v>0</v>
      </c>
      <c r="F56">
        <v>0</v>
      </c>
      <c r="G56">
        <v>0</v>
      </c>
      <c r="H56">
        <v>0</v>
      </c>
      <c r="I56">
        <v>0</v>
      </c>
      <c r="J56">
        <v>0</v>
      </c>
    </row>
    <row r="57" spans="2:10">
      <c r="B57" t="s">
        <v>104</v>
      </c>
      <c r="C57" t="s">
        <v>98</v>
      </c>
      <c r="D57" t="s">
        <v>98</v>
      </c>
      <c r="E57" t="s">
        <v>98</v>
      </c>
      <c r="F57">
        <v>0</v>
      </c>
      <c r="G57" t="s">
        <v>98</v>
      </c>
      <c r="H57" t="s">
        <v>98</v>
      </c>
      <c r="I57" t="s">
        <v>98</v>
      </c>
      <c r="J57">
        <v>0</v>
      </c>
    </row>
    <row r="58" spans="2:10">
      <c r="B58" t="s">
        <v>105</v>
      </c>
      <c r="C58">
        <v>0</v>
      </c>
      <c r="D58">
        <v>0</v>
      </c>
      <c r="E58">
        <v>0</v>
      </c>
      <c r="F58">
        <v>0</v>
      </c>
      <c r="G58">
        <v>0</v>
      </c>
      <c r="H58">
        <v>0</v>
      </c>
      <c r="I58">
        <v>0</v>
      </c>
      <c r="J58">
        <v>0</v>
      </c>
    </row>
    <row r="59" spans="2:10">
      <c r="B59" t="s">
        <v>106</v>
      </c>
      <c r="C59">
        <v>0</v>
      </c>
      <c r="D59">
        <v>0</v>
      </c>
      <c r="E59">
        <v>0</v>
      </c>
      <c r="F59">
        <v>0</v>
      </c>
      <c r="G59">
        <v>0</v>
      </c>
      <c r="H59">
        <v>0</v>
      </c>
      <c r="I59">
        <v>0</v>
      </c>
      <c r="J59">
        <v>0</v>
      </c>
    </row>
    <row r="60" spans="2:10">
      <c r="B60" t="s">
        <v>107</v>
      </c>
      <c r="C60">
        <v>198</v>
      </c>
      <c r="D60">
        <v>201</v>
      </c>
      <c r="E60">
        <v>153</v>
      </c>
      <c r="F60">
        <v>174</v>
      </c>
      <c r="G60">
        <v>178</v>
      </c>
      <c r="H60">
        <v>127</v>
      </c>
      <c r="I60">
        <v>85</v>
      </c>
      <c r="J60">
        <v>72</v>
      </c>
    </row>
    <row r="61" spans="2:10">
      <c r="B61" t="s">
        <v>108</v>
      </c>
      <c r="C61">
        <v>251</v>
      </c>
      <c r="D61">
        <v>253</v>
      </c>
      <c r="E61">
        <v>204</v>
      </c>
      <c r="F61">
        <v>229</v>
      </c>
      <c r="G61">
        <v>231</v>
      </c>
      <c r="H61">
        <v>181</v>
      </c>
      <c r="I61">
        <v>140</v>
      </c>
      <c r="J61">
        <v>126</v>
      </c>
    </row>
    <row r="62" spans="2:10">
      <c r="B62" t="s">
        <v>109</v>
      </c>
      <c r="C62">
        <v>171</v>
      </c>
      <c r="D62">
        <v>172</v>
      </c>
      <c r="E62">
        <v>133</v>
      </c>
      <c r="F62">
        <v>151</v>
      </c>
      <c r="G62">
        <v>155</v>
      </c>
      <c r="H62">
        <v>88</v>
      </c>
      <c r="I62">
        <v>74</v>
      </c>
      <c r="J62">
        <v>62</v>
      </c>
    </row>
    <row r="63" spans="2:10">
      <c r="B63" t="s">
        <v>110</v>
      </c>
    </row>
    <row r="64" spans="2:10">
      <c r="B64" t="s">
        <v>111</v>
      </c>
    </row>
    <row r="101" spans="2:10">
      <c r="B101" t="s">
        <v>1947</v>
      </c>
    </row>
    <row r="102" spans="2:10">
      <c r="B102" t="s">
        <v>47</v>
      </c>
    </row>
    <row r="103" spans="2:10">
      <c r="B103" t="s">
        <v>48</v>
      </c>
      <c r="C103" t="s">
        <v>1933</v>
      </c>
      <c r="D103" t="s">
        <v>226</v>
      </c>
      <c r="E103" t="s">
        <v>49</v>
      </c>
      <c r="F103" t="s">
        <v>50</v>
      </c>
      <c r="G103" t="s">
        <v>51</v>
      </c>
      <c r="H103" t="s">
        <v>52</v>
      </c>
      <c r="I103" t="s">
        <v>53</v>
      </c>
      <c r="J103" t="s">
        <v>54</v>
      </c>
    </row>
    <row r="104" spans="2:10">
      <c r="B104" t="s">
        <v>152</v>
      </c>
      <c r="C104" s="46">
        <v>1394</v>
      </c>
      <c r="D104" s="46">
        <v>1592</v>
      </c>
      <c r="E104" s="46">
        <v>1447</v>
      </c>
      <c r="F104" s="46">
        <v>1312</v>
      </c>
      <c r="G104" s="46">
        <v>1072</v>
      </c>
      <c r="H104" s="46">
        <v>1416</v>
      </c>
      <c r="I104" s="46">
        <v>1318</v>
      </c>
      <c r="J104" s="46">
        <v>1292</v>
      </c>
    </row>
    <row r="105" spans="2:10">
      <c r="B105" t="s">
        <v>153</v>
      </c>
      <c r="C105">
        <v>0</v>
      </c>
      <c r="D105">
        <v>0</v>
      </c>
      <c r="E105">
        <v>0</v>
      </c>
      <c r="F105">
        <v>0</v>
      </c>
      <c r="G105">
        <v>0</v>
      </c>
      <c r="H105">
        <v>0</v>
      </c>
      <c r="I105">
        <v>0</v>
      </c>
      <c r="J105">
        <v>0</v>
      </c>
    </row>
    <row r="106" spans="2:10">
      <c r="B106" t="s">
        <v>190</v>
      </c>
      <c r="C106">
        <v>382</v>
      </c>
      <c r="D106">
        <v>453</v>
      </c>
      <c r="E106">
        <v>364</v>
      </c>
      <c r="F106">
        <v>374</v>
      </c>
      <c r="G106">
        <v>396</v>
      </c>
      <c r="H106">
        <v>347</v>
      </c>
      <c r="I106">
        <v>270</v>
      </c>
      <c r="J106">
        <v>256</v>
      </c>
    </row>
    <row r="107" spans="2:10">
      <c r="B107" t="s">
        <v>154</v>
      </c>
      <c r="C107">
        <v>2</v>
      </c>
      <c r="D107">
        <v>1</v>
      </c>
      <c r="E107">
        <v>3</v>
      </c>
      <c r="F107">
        <v>3</v>
      </c>
      <c r="G107">
        <v>4</v>
      </c>
      <c r="H107">
        <v>1</v>
      </c>
      <c r="I107">
        <v>9</v>
      </c>
      <c r="J107">
        <v>3</v>
      </c>
    </row>
    <row r="108" spans="2:10">
      <c r="B108" t="s">
        <v>191</v>
      </c>
      <c r="C108">
        <v>0</v>
      </c>
      <c r="D108">
        <v>0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0</v>
      </c>
    </row>
    <row r="109" spans="2:10">
      <c r="B109" t="s">
        <v>15</v>
      </c>
      <c r="C109">
        <v>362</v>
      </c>
      <c r="D109">
        <v>409</v>
      </c>
      <c r="E109">
        <v>431</v>
      </c>
      <c r="F109">
        <v>356</v>
      </c>
      <c r="G109">
        <v>341</v>
      </c>
      <c r="H109">
        <v>322</v>
      </c>
      <c r="I109">
        <v>300</v>
      </c>
      <c r="J109">
        <v>285</v>
      </c>
    </row>
    <row r="110" spans="2:10">
      <c r="B110" t="s">
        <v>192</v>
      </c>
      <c r="C110" t="s">
        <v>98</v>
      </c>
      <c r="D110" t="s">
        <v>98</v>
      </c>
      <c r="E110" t="s">
        <v>98</v>
      </c>
      <c r="F110" t="s">
        <v>98</v>
      </c>
      <c r="G110" t="s">
        <v>98</v>
      </c>
      <c r="H110" t="s">
        <v>98</v>
      </c>
      <c r="I110" t="s">
        <v>98</v>
      </c>
      <c r="J110" t="s">
        <v>98</v>
      </c>
    </row>
    <row r="111" spans="2:10">
      <c r="B111" t="s">
        <v>155</v>
      </c>
      <c r="C111">
        <v>36</v>
      </c>
      <c r="D111">
        <v>36</v>
      </c>
      <c r="E111">
        <v>46</v>
      </c>
      <c r="F111">
        <v>32</v>
      </c>
      <c r="G111">
        <v>35</v>
      </c>
      <c r="H111">
        <v>33</v>
      </c>
      <c r="I111">
        <v>36</v>
      </c>
      <c r="J111">
        <v>34</v>
      </c>
    </row>
    <row r="112" spans="2:10">
      <c r="B112" t="s">
        <v>156</v>
      </c>
      <c r="C112">
        <v>0</v>
      </c>
      <c r="D112">
        <v>0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</row>
    <row r="113" spans="2:10">
      <c r="B113" t="s">
        <v>157</v>
      </c>
      <c r="C113" s="46">
        <v>2177</v>
      </c>
      <c r="D113" s="46">
        <v>2491</v>
      </c>
      <c r="E113" s="46">
        <v>2291</v>
      </c>
      <c r="F113" s="46">
        <v>2077</v>
      </c>
      <c r="G113" s="46">
        <v>1848</v>
      </c>
      <c r="H113" s="46">
        <v>2119</v>
      </c>
      <c r="I113" s="46">
        <v>1933</v>
      </c>
      <c r="J113" s="46">
        <v>1870</v>
      </c>
    </row>
    <row r="114" spans="2:10">
      <c r="B114" t="s">
        <v>158</v>
      </c>
      <c r="C114">
        <v>37</v>
      </c>
      <c r="D114">
        <v>67</v>
      </c>
      <c r="E114">
        <v>69</v>
      </c>
      <c r="F114">
        <v>66</v>
      </c>
      <c r="G114">
        <v>54</v>
      </c>
      <c r="H114">
        <v>58</v>
      </c>
      <c r="I114">
        <v>64</v>
      </c>
      <c r="J114">
        <v>59</v>
      </c>
    </row>
    <row r="115" spans="2:10">
      <c r="B115" t="s">
        <v>159</v>
      </c>
      <c r="C115">
        <v>141</v>
      </c>
      <c r="D115">
        <v>141</v>
      </c>
      <c r="E115">
        <v>141</v>
      </c>
      <c r="F115">
        <v>141</v>
      </c>
      <c r="G115">
        <v>141</v>
      </c>
      <c r="H115">
        <v>141</v>
      </c>
      <c r="I115">
        <v>141</v>
      </c>
      <c r="J115">
        <v>141</v>
      </c>
    </row>
    <row r="116" spans="2:10">
      <c r="B116" t="s">
        <v>160</v>
      </c>
      <c r="C116">
        <v>866</v>
      </c>
      <c r="D116">
        <v>865</v>
      </c>
      <c r="E116">
        <v>864</v>
      </c>
      <c r="F116">
        <v>864</v>
      </c>
      <c r="G116">
        <v>864</v>
      </c>
      <c r="H116">
        <v>864</v>
      </c>
      <c r="I116">
        <v>864</v>
      </c>
      <c r="J116">
        <v>852</v>
      </c>
    </row>
    <row r="117" spans="2:10">
      <c r="B117" t="s">
        <v>161</v>
      </c>
      <c r="C117" s="46">
        <v>2394</v>
      </c>
      <c r="D117" s="46">
        <v>2373</v>
      </c>
      <c r="E117" s="46">
        <v>2374</v>
      </c>
      <c r="F117" s="46">
        <v>2374</v>
      </c>
      <c r="G117" s="46">
        <v>2421</v>
      </c>
      <c r="H117" s="46">
        <v>2418</v>
      </c>
      <c r="I117" s="46">
        <v>2408</v>
      </c>
      <c r="J117" s="46">
        <v>2408</v>
      </c>
    </row>
    <row r="118" spans="2:10">
      <c r="B118" t="s">
        <v>162</v>
      </c>
      <c r="C118">
        <v>167</v>
      </c>
      <c r="D118">
        <v>169</v>
      </c>
      <c r="E118">
        <v>155</v>
      </c>
      <c r="F118">
        <v>155</v>
      </c>
      <c r="G118">
        <v>155</v>
      </c>
      <c r="H118">
        <v>154</v>
      </c>
      <c r="I118">
        <v>154</v>
      </c>
      <c r="J118">
        <v>154</v>
      </c>
    </row>
    <row r="119" spans="2:10">
      <c r="B119" t="s">
        <v>163</v>
      </c>
      <c r="C119">
        <v>0</v>
      </c>
      <c r="D119">
        <v>0</v>
      </c>
      <c r="E119">
        <v>0</v>
      </c>
      <c r="F119">
        <v>0</v>
      </c>
      <c r="G119">
        <v>0</v>
      </c>
      <c r="H119">
        <v>0</v>
      </c>
      <c r="I119">
        <v>0</v>
      </c>
      <c r="J119">
        <v>0</v>
      </c>
    </row>
    <row r="120" spans="2:10">
      <c r="B120" t="s">
        <v>164</v>
      </c>
      <c r="C120" s="46">
        <v>-1913</v>
      </c>
      <c r="D120" s="46">
        <v>-1862</v>
      </c>
      <c r="E120" s="46">
        <v>-1812</v>
      </c>
      <c r="F120" s="46">
        <v>-1760</v>
      </c>
      <c r="G120" s="46">
        <v>-1865</v>
      </c>
      <c r="H120" s="46">
        <v>-1812</v>
      </c>
      <c r="I120" s="46">
        <v>-1758</v>
      </c>
      <c r="J120" s="46">
        <v>-1704</v>
      </c>
    </row>
    <row r="121" spans="2:10">
      <c r="B121" t="s">
        <v>165</v>
      </c>
      <c r="C121">
        <v>0</v>
      </c>
      <c r="D121">
        <v>0</v>
      </c>
      <c r="E121">
        <v>0</v>
      </c>
      <c r="F121">
        <v>0</v>
      </c>
      <c r="G121">
        <v>0</v>
      </c>
      <c r="H121">
        <v>0</v>
      </c>
      <c r="I121">
        <v>0</v>
      </c>
      <c r="J121">
        <v>0</v>
      </c>
    </row>
    <row r="122" spans="2:10">
      <c r="B122" t="s">
        <v>166</v>
      </c>
      <c r="C122">
        <v>0</v>
      </c>
      <c r="D122">
        <v>0</v>
      </c>
      <c r="E122">
        <v>0</v>
      </c>
      <c r="F122">
        <v>0</v>
      </c>
      <c r="G122">
        <v>0</v>
      </c>
      <c r="H122">
        <v>0</v>
      </c>
      <c r="I122">
        <v>0</v>
      </c>
      <c r="J122">
        <v>0</v>
      </c>
    </row>
    <row r="123" spans="2:10">
      <c r="B123" t="s">
        <v>167</v>
      </c>
      <c r="C123" s="46">
        <v>1656</v>
      </c>
      <c r="D123" s="46">
        <v>1685</v>
      </c>
      <c r="E123" s="46">
        <v>1722</v>
      </c>
      <c r="F123" s="46">
        <v>1774</v>
      </c>
      <c r="G123" s="46">
        <v>1716</v>
      </c>
      <c r="H123" s="46">
        <v>1765</v>
      </c>
      <c r="I123" s="46">
        <v>1809</v>
      </c>
      <c r="J123" s="46">
        <v>1851</v>
      </c>
    </row>
    <row r="124" spans="2:10">
      <c r="B124" t="s">
        <v>168</v>
      </c>
      <c r="C124">
        <v>6</v>
      </c>
      <c r="D124">
        <v>8</v>
      </c>
      <c r="E124">
        <v>11</v>
      </c>
      <c r="F124">
        <v>6</v>
      </c>
      <c r="G124">
        <v>6</v>
      </c>
      <c r="H124">
        <v>7</v>
      </c>
      <c r="I124">
        <v>28</v>
      </c>
      <c r="J124">
        <v>29</v>
      </c>
    </row>
    <row r="125" spans="2:10">
      <c r="B125" t="s">
        <v>169</v>
      </c>
      <c r="C125">
        <v>2</v>
      </c>
      <c r="D125">
        <v>2</v>
      </c>
      <c r="E125">
        <v>2</v>
      </c>
      <c r="F125">
        <v>1</v>
      </c>
      <c r="G125">
        <v>0</v>
      </c>
      <c r="H125">
        <v>0</v>
      </c>
      <c r="I125">
        <v>0</v>
      </c>
      <c r="J125">
        <v>0</v>
      </c>
    </row>
    <row r="126" spans="2:10">
      <c r="B126" t="s">
        <v>170</v>
      </c>
      <c r="C126">
        <v>17</v>
      </c>
      <c r="D126">
        <v>17</v>
      </c>
      <c r="E126">
        <v>24</v>
      </c>
      <c r="F126">
        <v>23</v>
      </c>
      <c r="G126">
        <v>131</v>
      </c>
      <c r="H126">
        <v>131</v>
      </c>
      <c r="I126">
        <v>136</v>
      </c>
      <c r="J126">
        <v>89</v>
      </c>
    </row>
    <row r="127" spans="2:10">
      <c r="B127" t="s">
        <v>171</v>
      </c>
      <c r="C127">
        <v>25</v>
      </c>
      <c r="D127">
        <v>26</v>
      </c>
      <c r="E127">
        <v>37</v>
      </c>
      <c r="F127">
        <v>30</v>
      </c>
      <c r="G127">
        <v>138</v>
      </c>
      <c r="H127">
        <v>138</v>
      </c>
      <c r="I127">
        <v>165</v>
      </c>
      <c r="J127">
        <v>119</v>
      </c>
    </row>
    <row r="128" spans="2:10">
      <c r="B128" t="s">
        <v>18</v>
      </c>
      <c r="C128" s="46">
        <v>3895</v>
      </c>
      <c r="D128" s="46">
        <v>4270</v>
      </c>
      <c r="E128" s="46">
        <v>4119</v>
      </c>
      <c r="F128" s="46">
        <v>3947</v>
      </c>
      <c r="G128" s="46">
        <v>3757</v>
      </c>
      <c r="H128" s="46">
        <v>4080</v>
      </c>
      <c r="I128" s="46">
        <v>3970</v>
      </c>
      <c r="J128" s="46">
        <v>3899</v>
      </c>
    </row>
    <row r="129" spans="2:10">
      <c r="B129" t="s">
        <v>193</v>
      </c>
      <c r="C129">
        <v>0</v>
      </c>
      <c r="D129">
        <v>0</v>
      </c>
      <c r="E129">
        <v>0</v>
      </c>
      <c r="F129">
        <v>0</v>
      </c>
      <c r="G129">
        <v>0</v>
      </c>
      <c r="H129">
        <v>0</v>
      </c>
      <c r="I129">
        <v>0</v>
      </c>
      <c r="J129">
        <v>0</v>
      </c>
    </row>
    <row r="130" spans="2:10">
      <c r="B130" t="s">
        <v>194</v>
      </c>
      <c r="C130">
        <v>0</v>
      </c>
      <c r="D130">
        <v>0</v>
      </c>
      <c r="E130">
        <v>0</v>
      </c>
      <c r="F130">
        <v>0</v>
      </c>
      <c r="G130">
        <v>0</v>
      </c>
      <c r="H130">
        <v>0</v>
      </c>
      <c r="I130">
        <v>0</v>
      </c>
      <c r="J130">
        <v>0</v>
      </c>
    </row>
    <row r="131" spans="2:10">
      <c r="B131" t="s">
        <v>16</v>
      </c>
      <c r="C131">
        <v>233</v>
      </c>
      <c r="D131">
        <v>257</v>
      </c>
      <c r="E131">
        <v>273</v>
      </c>
      <c r="F131">
        <v>269</v>
      </c>
      <c r="G131">
        <v>280</v>
      </c>
      <c r="H131">
        <v>250</v>
      </c>
      <c r="I131">
        <v>172</v>
      </c>
      <c r="J131">
        <v>172</v>
      </c>
    </row>
    <row r="132" spans="2:10">
      <c r="B132" t="s">
        <v>172</v>
      </c>
      <c r="C132">
        <v>129</v>
      </c>
      <c r="D132">
        <v>120</v>
      </c>
      <c r="E132">
        <v>118</v>
      </c>
      <c r="F132">
        <v>118</v>
      </c>
      <c r="G132">
        <v>96</v>
      </c>
      <c r="H132">
        <v>77</v>
      </c>
      <c r="I132">
        <v>90</v>
      </c>
      <c r="J132">
        <v>109</v>
      </c>
    </row>
    <row r="133" spans="2:10">
      <c r="B133" t="s">
        <v>173</v>
      </c>
      <c r="C133">
        <v>0</v>
      </c>
      <c r="D133">
        <v>0</v>
      </c>
      <c r="E133">
        <v>0</v>
      </c>
      <c r="F133">
        <v>0</v>
      </c>
      <c r="G133">
        <v>0</v>
      </c>
      <c r="H133">
        <v>0</v>
      </c>
      <c r="I133">
        <v>0</v>
      </c>
      <c r="J133">
        <v>0</v>
      </c>
    </row>
    <row r="134" spans="2:10">
      <c r="B134" t="s">
        <v>174</v>
      </c>
      <c r="C134">
        <v>28</v>
      </c>
      <c r="D134">
        <v>517</v>
      </c>
      <c r="E134">
        <v>15</v>
      </c>
      <c r="F134">
        <v>12</v>
      </c>
      <c r="G134">
        <v>14</v>
      </c>
      <c r="H134">
        <v>526</v>
      </c>
      <c r="I134">
        <v>23</v>
      </c>
      <c r="J134">
        <v>23</v>
      </c>
    </row>
    <row r="135" spans="2:10">
      <c r="B135" t="s">
        <v>175</v>
      </c>
      <c r="C135">
        <v>38</v>
      </c>
      <c r="D135">
        <v>49</v>
      </c>
      <c r="E135">
        <v>62</v>
      </c>
      <c r="F135">
        <v>38</v>
      </c>
      <c r="G135">
        <v>15</v>
      </c>
      <c r="H135">
        <v>28</v>
      </c>
      <c r="I135">
        <v>76</v>
      </c>
      <c r="J135">
        <v>66</v>
      </c>
    </row>
    <row r="136" spans="2:10">
      <c r="B136" t="s">
        <v>176</v>
      </c>
      <c r="C136">
        <v>0</v>
      </c>
      <c r="D136">
        <v>0</v>
      </c>
      <c r="E136">
        <v>0</v>
      </c>
      <c r="F136">
        <v>0</v>
      </c>
      <c r="G136">
        <v>0</v>
      </c>
      <c r="H136">
        <v>0</v>
      </c>
      <c r="I136">
        <v>0</v>
      </c>
      <c r="J136">
        <v>0</v>
      </c>
    </row>
    <row r="137" spans="2:10">
      <c r="B137" t="s">
        <v>177</v>
      </c>
      <c r="C137">
        <v>7</v>
      </c>
      <c r="D137">
        <v>7</v>
      </c>
      <c r="E137">
        <v>10</v>
      </c>
      <c r="F137">
        <v>4</v>
      </c>
      <c r="G137">
        <v>7</v>
      </c>
      <c r="H137">
        <v>7</v>
      </c>
      <c r="I137">
        <v>4</v>
      </c>
      <c r="J137">
        <v>5</v>
      </c>
    </row>
    <row r="138" spans="2:10">
      <c r="B138" t="s">
        <v>178</v>
      </c>
      <c r="C138">
        <v>436</v>
      </c>
      <c r="D138">
        <v>951</v>
      </c>
      <c r="E138">
        <v>477</v>
      </c>
      <c r="F138">
        <v>441</v>
      </c>
      <c r="G138">
        <v>412</v>
      </c>
      <c r="H138">
        <v>887</v>
      </c>
      <c r="I138">
        <v>366</v>
      </c>
      <c r="J138">
        <v>374</v>
      </c>
    </row>
    <row r="139" spans="2:10">
      <c r="B139" t="s">
        <v>179</v>
      </c>
      <c r="C139">
        <v>0</v>
      </c>
      <c r="D139">
        <v>0</v>
      </c>
      <c r="E139">
        <v>0</v>
      </c>
      <c r="F139">
        <v>0</v>
      </c>
      <c r="G139">
        <v>0</v>
      </c>
      <c r="H139">
        <v>0</v>
      </c>
      <c r="I139">
        <v>0</v>
      </c>
      <c r="J139">
        <v>0</v>
      </c>
    </row>
    <row r="140" spans="2:10">
      <c r="B140" t="s">
        <v>180</v>
      </c>
      <c r="C140">
        <v>0</v>
      </c>
      <c r="D140">
        <v>0</v>
      </c>
      <c r="E140">
        <v>0</v>
      </c>
      <c r="F140">
        <v>0</v>
      </c>
      <c r="G140">
        <v>0</v>
      </c>
      <c r="H140">
        <v>0</v>
      </c>
      <c r="I140">
        <v>0</v>
      </c>
      <c r="J140">
        <v>0</v>
      </c>
    </row>
    <row r="141" spans="2:10">
      <c r="B141" t="s">
        <v>181</v>
      </c>
      <c r="C141">
        <v>0</v>
      </c>
      <c r="D141">
        <v>0</v>
      </c>
      <c r="E141">
        <v>0</v>
      </c>
      <c r="F141">
        <v>0</v>
      </c>
      <c r="G141">
        <v>0</v>
      </c>
      <c r="H141">
        <v>0</v>
      </c>
      <c r="I141">
        <v>0</v>
      </c>
      <c r="J141">
        <v>0</v>
      </c>
    </row>
    <row r="142" spans="2:10">
      <c r="B142" t="s">
        <v>182</v>
      </c>
      <c r="C142">
        <v>0</v>
      </c>
      <c r="D142">
        <v>0</v>
      </c>
      <c r="E142">
        <v>0</v>
      </c>
      <c r="F142">
        <v>0</v>
      </c>
      <c r="G142">
        <v>0</v>
      </c>
      <c r="H142">
        <v>0</v>
      </c>
      <c r="I142">
        <v>0</v>
      </c>
      <c r="J142">
        <v>0</v>
      </c>
    </row>
    <row r="143" spans="2:10">
      <c r="B143" t="s">
        <v>183</v>
      </c>
      <c r="C143">
        <v>0</v>
      </c>
      <c r="D143">
        <v>0</v>
      </c>
      <c r="E143">
        <v>0</v>
      </c>
      <c r="F143">
        <v>0</v>
      </c>
      <c r="G143">
        <v>0</v>
      </c>
      <c r="H143">
        <v>0</v>
      </c>
      <c r="I143">
        <v>0</v>
      </c>
      <c r="J143">
        <v>0</v>
      </c>
    </row>
    <row r="144" spans="2:10">
      <c r="B144" t="s">
        <v>184</v>
      </c>
      <c r="C144">
        <v>0</v>
      </c>
      <c r="D144">
        <v>0</v>
      </c>
      <c r="E144">
        <v>0</v>
      </c>
      <c r="F144">
        <v>0</v>
      </c>
      <c r="G144">
        <v>0</v>
      </c>
      <c r="H144">
        <v>0</v>
      </c>
      <c r="I144">
        <v>0</v>
      </c>
      <c r="J144">
        <v>0</v>
      </c>
    </row>
    <row r="145" spans="2:10">
      <c r="B145" t="s">
        <v>185</v>
      </c>
      <c r="C145">
        <v>0</v>
      </c>
      <c r="D145">
        <v>0</v>
      </c>
      <c r="E145">
        <v>0</v>
      </c>
      <c r="F145">
        <v>0</v>
      </c>
      <c r="G145">
        <v>0</v>
      </c>
      <c r="H145">
        <v>0</v>
      </c>
      <c r="I145">
        <v>0</v>
      </c>
      <c r="J145">
        <v>0</v>
      </c>
    </row>
    <row r="146" spans="2:10">
      <c r="B146" t="s">
        <v>186</v>
      </c>
      <c r="C146">
        <v>0</v>
      </c>
      <c r="D146">
        <v>0</v>
      </c>
      <c r="E146">
        <v>0</v>
      </c>
      <c r="F146">
        <v>0</v>
      </c>
      <c r="G146">
        <v>0</v>
      </c>
      <c r="H146">
        <v>0</v>
      </c>
      <c r="I146">
        <v>0</v>
      </c>
      <c r="J146">
        <v>0</v>
      </c>
    </row>
    <row r="147" spans="2:10">
      <c r="B147" t="s">
        <v>17</v>
      </c>
      <c r="C147">
        <v>436</v>
      </c>
      <c r="D147">
        <v>951</v>
      </c>
      <c r="E147">
        <v>478</v>
      </c>
      <c r="F147">
        <v>441</v>
      </c>
      <c r="G147">
        <v>413</v>
      </c>
      <c r="H147">
        <v>888</v>
      </c>
      <c r="I147">
        <v>366</v>
      </c>
      <c r="J147">
        <v>374</v>
      </c>
    </row>
    <row r="148" spans="2:10">
      <c r="B148" t="s">
        <v>187</v>
      </c>
      <c r="C148" s="46">
        <v>3459</v>
      </c>
      <c r="D148" s="46">
        <v>3319</v>
      </c>
      <c r="E148" s="46">
        <v>3642</v>
      </c>
      <c r="F148" s="46">
        <v>3506</v>
      </c>
      <c r="G148" s="46">
        <v>3344</v>
      </c>
      <c r="H148" s="46">
        <v>3192</v>
      </c>
      <c r="I148" s="46">
        <v>3604</v>
      </c>
      <c r="J148" s="46">
        <v>3525</v>
      </c>
    </row>
    <row r="149" spans="2:10">
      <c r="B149" t="s">
        <v>195</v>
      </c>
      <c r="C149" s="46">
        <v>2465</v>
      </c>
      <c r="D149" s="46">
        <v>2465</v>
      </c>
      <c r="E149" s="46">
        <v>2465</v>
      </c>
      <c r="F149" s="46">
        <v>2465</v>
      </c>
      <c r="G149" s="46">
        <v>2465</v>
      </c>
      <c r="H149" s="46">
        <v>2465</v>
      </c>
      <c r="I149" s="46">
        <v>2465</v>
      </c>
      <c r="J149" s="46">
        <v>2465</v>
      </c>
    </row>
    <row r="150" spans="2:10">
      <c r="B150" t="s">
        <v>196</v>
      </c>
      <c r="C150">
        <v>0</v>
      </c>
      <c r="D150">
        <v>0</v>
      </c>
      <c r="E150">
        <v>0</v>
      </c>
      <c r="F150">
        <v>0</v>
      </c>
      <c r="G150">
        <v>0</v>
      </c>
      <c r="H150">
        <v>0</v>
      </c>
      <c r="I150">
        <v>0</v>
      </c>
      <c r="J150">
        <v>0</v>
      </c>
    </row>
    <row r="151" spans="2:10">
      <c r="B151" t="s">
        <v>197</v>
      </c>
      <c r="C151">
        <v>107</v>
      </c>
      <c r="D151">
        <v>107</v>
      </c>
      <c r="E151">
        <v>107</v>
      </c>
      <c r="F151">
        <v>107</v>
      </c>
      <c r="G151">
        <v>107</v>
      </c>
      <c r="H151">
        <v>107</v>
      </c>
      <c r="I151">
        <v>156</v>
      </c>
      <c r="J151">
        <v>156</v>
      </c>
    </row>
    <row r="152" spans="2:10">
      <c r="B152" t="s">
        <v>198</v>
      </c>
      <c r="C152">
        <v>266</v>
      </c>
      <c r="D152">
        <v>266</v>
      </c>
      <c r="E152">
        <v>219</v>
      </c>
      <c r="F152">
        <v>219</v>
      </c>
      <c r="G152">
        <v>219</v>
      </c>
      <c r="H152">
        <v>219</v>
      </c>
      <c r="I152">
        <v>173</v>
      </c>
      <c r="J152">
        <v>173</v>
      </c>
    </row>
    <row r="153" spans="2:10">
      <c r="B153" t="s">
        <v>199</v>
      </c>
      <c r="C153">
        <v>0</v>
      </c>
      <c r="D153">
        <v>0</v>
      </c>
      <c r="E153">
        <v>0</v>
      </c>
      <c r="F153">
        <v>0</v>
      </c>
      <c r="G153">
        <v>0</v>
      </c>
      <c r="H153">
        <v>0</v>
      </c>
      <c r="I153">
        <v>0</v>
      </c>
      <c r="J153">
        <v>0</v>
      </c>
    </row>
    <row r="154" spans="2:10">
      <c r="B154" t="s">
        <v>200</v>
      </c>
      <c r="C154">
        <v>644</v>
      </c>
      <c r="D154">
        <v>473</v>
      </c>
      <c r="E154">
        <v>841</v>
      </c>
      <c r="F154">
        <v>708</v>
      </c>
      <c r="G154">
        <v>558</v>
      </c>
      <c r="H154">
        <v>403</v>
      </c>
      <c r="I154">
        <v>805</v>
      </c>
      <c r="J154">
        <v>731</v>
      </c>
    </row>
    <row r="155" spans="2:10">
      <c r="B155" t="s">
        <v>201</v>
      </c>
      <c r="C155">
        <v>0</v>
      </c>
      <c r="D155">
        <v>0</v>
      </c>
      <c r="E155">
        <v>0</v>
      </c>
      <c r="F155">
        <v>0</v>
      </c>
      <c r="G155">
        <v>0</v>
      </c>
      <c r="H155">
        <v>0</v>
      </c>
      <c r="I155">
        <v>0</v>
      </c>
      <c r="J155">
        <v>0</v>
      </c>
    </row>
    <row r="156" spans="2:10">
      <c r="B156" t="s">
        <v>188</v>
      </c>
      <c r="C156">
        <v>0</v>
      </c>
      <c r="D156">
        <v>0</v>
      </c>
      <c r="E156">
        <v>0</v>
      </c>
      <c r="F156">
        <v>0</v>
      </c>
      <c r="G156">
        <v>0</v>
      </c>
      <c r="H156">
        <v>0</v>
      </c>
      <c r="I156">
        <v>0</v>
      </c>
      <c r="J156">
        <v>0</v>
      </c>
    </row>
    <row r="157" spans="2:10">
      <c r="B157" t="s">
        <v>189</v>
      </c>
      <c r="C157" s="46">
        <v>3895</v>
      </c>
      <c r="D157" s="46">
        <v>4270</v>
      </c>
      <c r="E157" s="46">
        <v>4119</v>
      </c>
      <c r="F157" s="46">
        <v>3947</v>
      </c>
      <c r="G157" s="46">
        <v>3757</v>
      </c>
      <c r="H157" s="46">
        <v>4080</v>
      </c>
      <c r="I157" s="46">
        <v>3970</v>
      </c>
      <c r="J157" s="46">
        <v>3899</v>
      </c>
    </row>
    <row r="158" spans="2:10">
      <c r="B158" t="s">
        <v>110</v>
      </c>
    </row>
    <row r="159" spans="2:10">
      <c r="B159" t="s">
        <v>111</v>
      </c>
    </row>
    <row r="201" spans="2:10">
      <c r="B201" t="s">
        <v>1946</v>
      </c>
    </row>
    <row r="202" spans="2:10">
      <c r="B202" t="s">
        <v>47</v>
      </c>
    </row>
    <row r="203" spans="2:10">
      <c r="B203" t="s">
        <v>48</v>
      </c>
      <c r="C203" t="s">
        <v>1933</v>
      </c>
      <c r="D203" t="s">
        <v>226</v>
      </c>
      <c r="E203" t="s">
        <v>49</v>
      </c>
      <c r="F203" t="s">
        <v>50</v>
      </c>
      <c r="G203" t="s">
        <v>51</v>
      </c>
      <c r="H203" t="s">
        <v>52</v>
      </c>
      <c r="I203" t="s">
        <v>53</v>
      </c>
      <c r="J203" t="s">
        <v>54</v>
      </c>
    </row>
    <row r="204" spans="2:10">
      <c r="B204" t="s">
        <v>112</v>
      </c>
      <c r="C204">
        <v>171</v>
      </c>
      <c r="D204">
        <v>173</v>
      </c>
      <c r="E204">
        <v>133</v>
      </c>
      <c r="F204">
        <v>151</v>
      </c>
      <c r="G204">
        <v>155</v>
      </c>
      <c r="H204">
        <v>88</v>
      </c>
      <c r="I204">
        <v>74</v>
      </c>
      <c r="J204">
        <v>62</v>
      </c>
    </row>
    <row r="205" spans="2:10">
      <c r="B205" t="s">
        <v>113</v>
      </c>
      <c r="C205">
        <v>0</v>
      </c>
      <c r="D205">
        <v>0</v>
      </c>
      <c r="E205">
        <v>0</v>
      </c>
      <c r="F205">
        <v>0</v>
      </c>
      <c r="G205">
        <v>0</v>
      </c>
      <c r="H205">
        <v>0</v>
      </c>
      <c r="I205">
        <v>0</v>
      </c>
      <c r="J205">
        <v>0</v>
      </c>
    </row>
    <row r="206" spans="2:10">
      <c r="B206" t="s">
        <v>114</v>
      </c>
      <c r="C206">
        <v>52</v>
      </c>
      <c r="D206">
        <v>52</v>
      </c>
      <c r="E206">
        <v>52</v>
      </c>
      <c r="F206">
        <v>54</v>
      </c>
      <c r="G206">
        <v>53</v>
      </c>
      <c r="H206">
        <v>54</v>
      </c>
      <c r="I206">
        <v>54</v>
      </c>
      <c r="J206">
        <v>54</v>
      </c>
    </row>
    <row r="207" spans="2:10">
      <c r="B207" t="s">
        <v>115</v>
      </c>
      <c r="C207">
        <v>0</v>
      </c>
      <c r="D207">
        <v>0</v>
      </c>
      <c r="E207">
        <v>0</v>
      </c>
      <c r="F207">
        <v>0</v>
      </c>
      <c r="G207">
        <v>0</v>
      </c>
      <c r="H207">
        <v>0</v>
      </c>
      <c r="I207">
        <v>0</v>
      </c>
      <c r="J207">
        <v>0</v>
      </c>
    </row>
    <row r="208" spans="2:10">
      <c r="B208" t="s">
        <v>116</v>
      </c>
      <c r="C208">
        <v>0</v>
      </c>
      <c r="D208">
        <v>0</v>
      </c>
      <c r="E208">
        <v>0</v>
      </c>
      <c r="F208">
        <v>0</v>
      </c>
      <c r="G208">
        <v>0</v>
      </c>
      <c r="H208">
        <v>0</v>
      </c>
      <c r="I208">
        <v>0</v>
      </c>
      <c r="J208">
        <v>0</v>
      </c>
    </row>
    <row r="209" spans="2:10">
      <c r="B209" t="s">
        <v>117</v>
      </c>
      <c r="C209">
        <v>0</v>
      </c>
      <c r="D209">
        <v>0</v>
      </c>
      <c r="E209">
        <v>0</v>
      </c>
      <c r="F209">
        <v>0</v>
      </c>
      <c r="G209">
        <v>0</v>
      </c>
      <c r="H209">
        <v>0</v>
      </c>
      <c r="I209">
        <v>0</v>
      </c>
      <c r="J209">
        <v>0</v>
      </c>
    </row>
    <row r="210" spans="2:10">
      <c r="B210" t="s">
        <v>118</v>
      </c>
      <c r="C210">
        <v>0</v>
      </c>
      <c r="D210">
        <v>0</v>
      </c>
      <c r="E210">
        <v>0</v>
      </c>
      <c r="F210">
        <v>0</v>
      </c>
      <c r="G210">
        <v>0</v>
      </c>
      <c r="H210">
        <v>0</v>
      </c>
      <c r="I210">
        <v>0</v>
      </c>
      <c r="J210">
        <v>0</v>
      </c>
    </row>
    <row r="211" spans="2:10">
      <c r="B211" t="s">
        <v>119</v>
      </c>
      <c r="C211" t="s">
        <v>98</v>
      </c>
      <c r="D211" t="s">
        <v>98</v>
      </c>
      <c r="E211" t="s">
        <v>98</v>
      </c>
      <c r="F211" t="s">
        <v>98</v>
      </c>
      <c r="G211" t="s">
        <v>98</v>
      </c>
      <c r="H211" t="s">
        <v>98</v>
      </c>
      <c r="I211" t="s">
        <v>98</v>
      </c>
      <c r="J211" t="s">
        <v>98</v>
      </c>
    </row>
    <row r="212" spans="2:10">
      <c r="B212" t="s">
        <v>120</v>
      </c>
      <c r="C212">
        <v>0</v>
      </c>
      <c r="D212">
        <v>0</v>
      </c>
      <c r="E212">
        <v>0</v>
      </c>
      <c r="F212">
        <v>0</v>
      </c>
      <c r="G212">
        <v>0</v>
      </c>
      <c r="H212">
        <v>0</v>
      </c>
      <c r="I212">
        <v>0</v>
      </c>
      <c r="J212">
        <v>0</v>
      </c>
    </row>
    <row r="213" spans="2:10">
      <c r="B213" t="s">
        <v>121</v>
      </c>
      <c r="C213">
        <v>0</v>
      </c>
      <c r="D213">
        <v>0</v>
      </c>
      <c r="E213">
        <v>0</v>
      </c>
      <c r="F213">
        <v>0</v>
      </c>
      <c r="G213">
        <v>0</v>
      </c>
      <c r="H213">
        <v>0</v>
      </c>
      <c r="I213">
        <v>0</v>
      </c>
      <c r="J213">
        <v>0</v>
      </c>
    </row>
    <row r="214" spans="2:10">
      <c r="B214" t="s">
        <v>122</v>
      </c>
      <c r="C214">
        <v>0</v>
      </c>
      <c r="D214">
        <v>0</v>
      </c>
      <c r="E214">
        <v>0</v>
      </c>
      <c r="F214">
        <v>0</v>
      </c>
      <c r="G214">
        <v>0</v>
      </c>
      <c r="H214">
        <v>0</v>
      </c>
      <c r="I214">
        <v>0</v>
      </c>
      <c r="J214">
        <v>0</v>
      </c>
    </row>
    <row r="215" spans="2:10">
      <c r="B215" t="s">
        <v>123</v>
      </c>
      <c r="C215">
        <v>71</v>
      </c>
      <c r="D215">
        <v>-89</v>
      </c>
      <c r="E215">
        <v>10</v>
      </c>
      <c r="F215">
        <v>21</v>
      </c>
      <c r="G215">
        <v>-49</v>
      </c>
      <c r="H215">
        <v>-77</v>
      </c>
      <c r="I215">
        <v>-14</v>
      </c>
      <c r="J215">
        <v>68</v>
      </c>
    </row>
    <row r="216" spans="2:10">
      <c r="B216" t="s">
        <v>124</v>
      </c>
      <c r="C216">
        <v>47</v>
      </c>
      <c r="D216">
        <v>22</v>
      </c>
      <c r="E216">
        <v>-76</v>
      </c>
      <c r="F216">
        <v>-14</v>
      </c>
      <c r="G216">
        <v>-19</v>
      </c>
      <c r="H216">
        <v>-22</v>
      </c>
      <c r="I216">
        <v>-15</v>
      </c>
      <c r="J216">
        <v>43</v>
      </c>
    </row>
    <row r="217" spans="2:10">
      <c r="B217" t="s">
        <v>125</v>
      </c>
      <c r="C217">
        <v>-24</v>
      </c>
      <c r="D217">
        <v>-16</v>
      </c>
      <c r="E217">
        <v>3</v>
      </c>
      <c r="F217">
        <v>-11</v>
      </c>
      <c r="G217">
        <v>30</v>
      </c>
      <c r="H217">
        <v>77</v>
      </c>
      <c r="I217">
        <v>1</v>
      </c>
      <c r="J217">
        <v>-16</v>
      </c>
    </row>
    <row r="218" spans="2:10">
      <c r="B218" t="s">
        <v>126</v>
      </c>
      <c r="C218">
        <v>-4</v>
      </c>
      <c r="D218">
        <v>9</v>
      </c>
      <c r="E218">
        <v>16</v>
      </c>
      <c r="F218">
        <v>42</v>
      </c>
      <c r="G218">
        <v>-18</v>
      </c>
      <c r="H218">
        <v>-14</v>
      </c>
      <c r="I218">
        <v>-6</v>
      </c>
      <c r="J218">
        <v>18</v>
      </c>
    </row>
    <row r="219" spans="2:10">
      <c r="B219" t="s">
        <v>19</v>
      </c>
      <c r="C219">
        <v>314</v>
      </c>
      <c r="D219">
        <v>151</v>
      </c>
      <c r="E219">
        <v>139</v>
      </c>
      <c r="F219">
        <v>243</v>
      </c>
      <c r="G219">
        <v>153</v>
      </c>
      <c r="H219">
        <v>105</v>
      </c>
      <c r="I219">
        <v>94</v>
      </c>
      <c r="J219">
        <v>229</v>
      </c>
    </row>
    <row r="220" spans="2:10">
      <c r="B220" t="s">
        <v>127</v>
      </c>
      <c r="C220">
        <v>0</v>
      </c>
      <c r="D220">
        <v>0</v>
      </c>
      <c r="E220">
        <v>0</v>
      </c>
      <c r="F220">
        <v>0</v>
      </c>
      <c r="G220">
        <v>0</v>
      </c>
      <c r="H220">
        <v>0</v>
      </c>
      <c r="I220">
        <v>0</v>
      </c>
      <c r="J220">
        <v>0</v>
      </c>
    </row>
    <row r="221" spans="2:10">
      <c r="B221" t="s">
        <v>128</v>
      </c>
      <c r="C221">
        <v>0</v>
      </c>
      <c r="D221">
        <v>0</v>
      </c>
      <c r="E221">
        <v>0</v>
      </c>
      <c r="F221">
        <v>0</v>
      </c>
      <c r="G221">
        <v>0</v>
      </c>
      <c r="H221">
        <v>0</v>
      </c>
      <c r="I221">
        <v>0</v>
      </c>
      <c r="J221">
        <v>0</v>
      </c>
    </row>
    <row r="222" spans="2:10">
      <c r="B222" t="s">
        <v>21</v>
      </c>
      <c r="C222">
        <v>0</v>
      </c>
      <c r="D222">
        <v>0</v>
      </c>
      <c r="E222">
        <v>0</v>
      </c>
      <c r="F222">
        <v>0</v>
      </c>
      <c r="G222">
        <v>0</v>
      </c>
      <c r="H222">
        <v>0</v>
      </c>
      <c r="I222">
        <v>0</v>
      </c>
      <c r="J222">
        <v>-59</v>
      </c>
    </row>
    <row r="223" spans="2:10">
      <c r="B223" t="s">
        <v>129</v>
      </c>
      <c r="C223">
        <v>0</v>
      </c>
      <c r="D223">
        <v>0</v>
      </c>
      <c r="E223">
        <v>0</v>
      </c>
      <c r="F223">
        <v>0</v>
      </c>
      <c r="G223">
        <v>0</v>
      </c>
      <c r="H223">
        <v>0</v>
      </c>
      <c r="I223">
        <v>0</v>
      </c>
      <c r="J223">
        <v>0</v>
      </c>
    </row>
    <row r="224" spans="2:10">
      <c r="B224" t="s">
        <v>20</v>
      </c>
      <c r="C224">
        <v>-18</v>
      </c>
      <c r="D224">
        <v>-1</v>
      </c>
      <c r="E224">
        <v>0</v>
      </c>
      <c r="F224">
        <v>-73</v>
      </c>
      <c r="G224">
        <v>-3</v>
      </c>
      <c r="H224">
        <v>1</v>
      </c>
      <c r="I224">
        <v>-11</v>
      </c>
      <c r="J224">
        <v>-46</v>
      </c>
    </row>
    <row r="225" spans="2:10">
      <c r="B225" t="s">
        <v>130</v>
      </c>
      <c r="C225">
        <v>6</v>
      </c>
      <c r="D225">
        <v>-3</v>
      </c>
      <c r="E225">
        <v>-2</v>
      </c>
      <c r="F225">
        <v>67</v>
      </c>
      <c r="G225">
        <v>-4</v>
      </c>
      <c r="H225">
        <v>-5</v>
      </c>
      <c r="I225">
        <v>-59</v>
      </c>
      <c r="J225">
        <v>35</v>
      </c>
    </row>
    <row r="226" spans="2:10">
      <c r="B226" t="s">
        <v>131</v>
      </c>
      <c r="C226">
        <v>-13</v>
      </c>
      <c r="D226">
        <v>-4</v>
      </c>
      <c r="E226">
        <v>-3</v>
      </c>
      <c r="F226">
        <v>-6</v>
      </c>
      <c r="G226">
        <v>-7</v>
      </c>
      <c r="H226">
        <v>-4</v>
      </c>
      <c r="I226">
        <v>-70</v>
      </c>
      <c r="J226">
        <v>-70</v>
      </c>
    </row>
    <row r="227" spans="2:10">
      <c r="B227" t="s">
        <v>132</v>
      </c>
      <c r="C227">
        <v>0</v>
      </c>
      <c r="D227">
        <v>0</v>
      </c>
      <c r="E227">
        <v>0</v>
      </c>
      <c r="F227">
        <v>0</v>
      </c>
      <c r="G227">
        <v>0</v>
      </c>
      <c r="H227">
        <v>0</v>
      </c>
      <c r="I227">
        <v>0</v>
      </c>
      <c r="J227">
        <v>0</v>
      </c>
    </row>
    <row r="228" spans="2:10">
      <c r="B228" t="s">
        <v>133</v>
      </c>
      <c r="C228">
        <v>-493</v>
      </c>
      <c r="D228">
        <v>0</v>
      </c>
      <c r="E228">
        <v>0</v>
      </c>
      <c r="F228">
        <v>0</v>
      </c>
      <c r="G228">
        <v>-493</v>
      </c>
      <c r="H228">
        <v>0</v>
      </c>
      <c r="I228">
        <v>0</v>
      </c>
      <c r="J228">
        <v>0</v>
      </c>
    </row>
    <row r="229" spans="2:10">
      <c r="B229" t="s">
        <v>134</v>
      </c>
      <c r="C229">
        <v>0</v>
      </c>
      <c r="D229">
        <v>0</v>
      </c>
      <c r="E229">
        <v>0</v>
      </c>
      <c r="F229">
        <v>0</v>
      </c>
      <c r="G229">
        <v>0</v>
      </c>
      <c r="H229">
        <v>0</v>
      </c>
      <c r="I229">
        <v>0</v>
      </c>
      <c r="J229">
        <v>0</v>
      </c>
    </row>
    <row r="230" spans="2:10">
      <c r="B230" t="s">
        <v>135</v>
      </c>
      <c r="C230">
        <v>0</v>
      </c>
      <c r="D230">
        <v>0</v>
      </c>
      <c r="E230">
        <v>0</v>
      </c>
      <c r="F230">
        <v>0</v>
      </c>
      <c r="G230">
        <v>0</v>
      </c>
      <c r="H230">
        <v>0</v>
      </c>
      <c r="I230">
        <v>0</v>
      </c>
      <c r="J230">
        <v>0</v>
      </c>
    </row>
    <row r="231" spans="2:10">
      <c r="B231" t="s">
        <v>136</v>
      </c>
      <c r="C231">
        <v>0</v>
      </c>
      <c r="D231">
        <v>0</v>
      </c>
      <c r="E231">
        <v>0</v>
      </c>
      <c r="F231">
        <v>0</v>
      </c>
      <c r="G231">
        <v>0</v>
      </c>
      <c r="H231">
        <v>0</v>
      </c>
      <c r="I231">
        <v>0</v>
      </c>
      <c r="J231">
        <v>0</v>
      </c>
    </row>
    <row r="232" spans="2:10">
      <c r="B232" t="s">
        <v>137</v>
      </c>
      <c r="C232">
        <v>0</v>
      </c>
      <c r="D232">
        <v>0</v>
      </c>
      <c r="E232">
        <v>0</v>
      </c>
      <c r="F232">
        <v>0</v>
      </c>
      <c r="G232">
        <v>0</v>
      </c>
      <c r="H232">
        <v>0</v>
      </c>
      <c r="I232">
        <v>0</v>
      </c>
      <c r="J232">
        <v>0</v>
      </c>
    </row>
    <row r="233" spans="2:10">
      <c r="B233" t="s">
        <v>138</v>
      </c>
      <c r="C233">
        <v>0</v>
      </c>
      <c r="D233">
        <v>0</v>
      </c>
      <c r="E233">
        <v>0</v>
      </c>
      <c r="F233">
        <v>0</v>
      </c>
      <c r="G233">
        <v>0</v>
      </c>
      <c r="H233">
        <v>0</v>
      </c>
      <c r="I233">
        <v>0</v>
      </c>
      <c r="J233">
        <v>0</v>
      </c>
    </row>
    <row r="234" spans="2:10">
      <c r="B234" t="s">
        <v>139</v>
      </c>
      <c r="C234">
        <v>0</v>
      </c>
      <c r="D234">
        <v>0</v>
      </c>
      <c r="E234">
        <v>0</v>
      </c>
      <c r="F234">
        <v>0</v>
      </c>
      <c r="G234">
        <v>0</v>
      </c>
      <c r="H234">
        <v>0</v>
      </c>
      <c r="I234">
        <v>0</v>
      </c>
      <c r="J234">
        <v>0</v>
      </c>
    </row>
    <row r="235" spans="2:10">
      <c r="B235" t="s">
        <v>140</v>
      </c>
      <c r="C235">
        <v>0</v>
      </c>
      <c r="D235">
        <v>0</v>
      </c>
      <c r="E235">
        <v>0</v>
      </c>
      <c r="F235">
        <v>0</v>
      </c>
      <c r="G235">
        <v>0</v>
      </c>
      <c r="H235">
        <v>0</v>
      </c>
      <c r="I235">
        <v>0</v>
      </c>
      <c r="J235">
        <v>0</v>
      </c>
    </row>
    <row r="236" spans="2:10">
      <c r="B236" t="s">
        <v>141</v>
      </c>
      <c r="C236">
        <v>-493</v>
      </c>
      <c r="D236">
        <v>0</v>
      </c>
      <c r="E236">
        <v>0</v>
      </c>
      <c r="F236">
        <v>0</v>
      </c>
      <c r="G236">
        <v>-493</v>
      </c>
      <c r="H236">
        <v>0</v>
      </c>
      <c r="I236">
        <v>0</v>
      </c>
      <c r="J236">
        <v>0</v>
      </c>
    </row>
    <row r="237" spans="2:10">
      <c r="B237" t="s">
        <v>142</v>
      </c>
      <c r="C237">
        <v>-6</v>
      </c>
      <c r="D237">
        <v>-1</v>
      </c>
      <c r="E237">
        <v>-1</v>
      </c>
      <c r="F237">
        <v>2</v>
      </c>
      <c r="G237">
        <v>4</v>
      </c>
      <c r="H237">
        <v>-3</v>
      </c>
      <c r="I237">
        <v>1</v>
      </c>
      <c r="J237">
        <v>3</v>
      </c>
    </row>
    <row r="238" spans="2:10">
      <c r="B238" t="s">
        <v>143</v>
      </c>
      <c r="C238">
        <v>-198</v>
      </c>
      <c r="D238">
        <v>146</v>
      </c>
      <c r="E238">
        <v>135</v>
      </c>
      <c r="F238">
        <v>239</v>
      </c>
      <c r="G238">
        <v>-344</v>
      </c>
      <c r="H238">
        <v>98</v>
      </c>
      <c r="I238">
        <v>25</v>
      </c>
      <c r="J238">
        <v>162</v>
      </c>
    </row>
    <row r="239" spans="2:10">
      <c r="B239" t="s">
        <v>144</v>
      </c>
      <c r="C239" s="46">
        <v>1592</v>
      </c>
      <c r="D239" s="46">
        <v>1447</v>
      </c>
      <c r="E239" s="46">
        <v>1312</v>
      </c>
      <c r="F239" s="46">
        <v>1072</v>
      </c>
      <c r="G239" s="46">
        <v>1416</v>
      </c>
      <c r="H239" s="46">
        <v>1318</v>
      </c>
      <c r="I239" s="46">
        <v>1292</v>
      </c>
      <c r="J239" s="46">
        <v>1131</v>
      </c>
    </row>
    <row r="240" spans="2:10">
      <c r="B240" t="s">
        <v>145</v>
      </c>
      <c r="C240" s="46">
        <v>1394</v>
      </c>
      <c r="D240" s="46">
        <v>1592</v>
      </c>
      <c r="E240" s="46">
        <v>1447</v>
      </c>
      <c r="F240" s="46">
        <v>1312</v>
      </c>
      <c r="G240" s="46">
        <v>1072</v>
      </c>
      <c r="H240" s="46">
        <v>1416</v>
      </c>
      <c r="I240" s="46">
        <v>1318</v>
      </c>
      <c r="J240" s="46">
        <v>1292</v>
      </c>
    </row>
    <row r="241" spans="2:10">
      <c r="B241" t="s">
        <v>146</v>
      </c>
      <c r="C241">
        <v>0</v>
      </c>
      <c r="D241">
        <v>0</v>
      </c>
      <c r="E241">
        <v>0</v>
      </c>
      <c r="F241">
        <v>0</v>
      </c>
      <c r="G241">
        <v>0</v>
      </c>
      <c r="H241">
        <v>0</v>
      </c>
      <c r="I241">
        <v>0</v>
      </c>
      <c r="J241">
        <v>0</v>
      </c>
    </row>
    <row r="242" spans="2:10">
      <c r="B242" t="s">
        <v>147</v>
      </c>
      <c r="C242" t="s">
        <v>98</v>
      </c>
      <c r="D242" t="s">
        <v>98</v>
      </c>
      <c r="E242" t="s">
        <v>98</v>
      </c>
      <c r="F242" t="s">
        <v>98</v>
      </c>
      <c r="G242" t="s">
        <v>98</v>
      </c>
      <c r="H242" t="s">
        <v>98</v>
      </c>
      <c r="I242" t="s">
        <v>98</v>
      </c>
      <c r="J242" t="s">
        <v>98</v>
      </c>
    </row>
    <row r="243" spans="2:10">
      <c r="B243" t="s">
        <v>148</v>
      </c>
    </row>
    <row r="244" spans="2:10">
      <c r="B244" t="s">
        <v>149</v>
      </c>
    </row>
    <row r="245" spans="2:10">
      <c r="B245" t="s">
        <v>110</v>
      </c>
    </row>
    <row r="246" spans="2:10">
      <c r="B246" t="s">
        <v>111</v>
      </c>
    </row>
  </sheetData>
  <sheetProtection sheet="1" objects="1" scenarios="1"/>
  <phoneticPr fontId="2" type="noConversion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>
  <sheetPr codeName="sheet7"/>
  <dimension ref="B2:J246"/>
  <sheetViews>
    <sheetView workbookViewId="0">
      <selection sqref="A1:XFD1000"/>
    </sheetView>
  </sheetViews>
  <sheetFormatPr defaultRowHeight="16.5"/>
  <cols>
    <col min="2" max="2" width="80.875" customWidth="1"/>
    <col min="3" max="10" width="7.625" customWidth="1"/>
  </cols>
  <sheetData>
    <row r="2" spans="2:10">
      <c r="B2" t="s">
        <v>1948</v>
      </c>
    </row>
    <row r="3" spans="2:10">
      <c r="B3" t="s">
        <v>47</v>
      </c>
    </row>
    <row r="4" spans="2:10">
      <c r="B4" t="s">
        <v>48</v>
      </c>
      <c r="C4" t="s">
        <v>1933</v>
      </c>
      <c r="D4" t="s">
        <v>226</v>
      </c>
      <c r="E4" t="s">
        <v>49</v>
      </c>
      <c r="F4" t="s">
        <v>50</v>
      </c>
      <c r="G4" t="s">
        <v>51</v>
      </c>
      <c r="H4" t="s">
        <v>52</v>
      </c>
      <c r="I4" t="s">
        <v>53</v>
      </c>
      <c r="J4" t="s">
        <v>54</v>
      </c>
    </row>
    <row r="5" spans="2:10">
      <c r="B5" t="s">
        <v>10</v>
      </c>
      <c r="C5" s="46">
        <v>1197</v>
      </c>
      <c r="D5" s="46">
        <v>1098</v>
      </c>
      <c r="E5" s="46">
        <v>1016</v>
      </c>
      <c r="F5" s="46">
        <v>1035</v>
      </c>
      <c r="G5">
        <v>843</v>
      </c>
      <c r="H5">
        <v>523</v>
      </c>
      <c r="I5">
        <v>268</v>
      </c>
      <c r="J5">
        <v>225</v>
      </c>
    </row>
    <row r="6" spans="2:10">
      <c r="B6" t="s">
        <v>11</v>
      </c>
      <c r="C6">
        <v>800</v>
      </c>
      <c r="D6">
        <v>721</v>
      </c>
      <c r="E6">
        <v>680</v>
      </c>
      <c r="F6">
        <v>734</v>
      </c>
      <c r="G6">
        <v>665</v>
      </c>
      <c r="H6">
        <v>429</v>
      </c>
      <c r="I6">
        <v>263</v>
      </c>
      <c r="J6">
        <v>212</v>
      </c>
    </row>
    <row r="7" spans="2:10">
      <c r="B7" t="s">
        <v>55</v>
      </c>
      <c r="C7">
        <v>398</v>
      </c>
      <c r="D7">
        <v>377</v>
      </c>
      <c r="E7">
        <v>337</v>
      </c>
      <c r="F7">
        <v>301</v>
      </c>
      <c r="G7">
        <v>178</v>
      </c>
      <c r="H7">
        <v>94</v>
      </c>
      <c r="I7">
        <v>5</v>
      </c>
      <c r="J7">
        <v>12</v>
      </c>
    </row>
    <row r="8" spans="2:10">
      <c r="B8" t="s">
        <v>56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</row>
    <row r="9" spans="2:10">
      <c r="B9" t="s">
        <v>57</v>
      </c>
      <c r="C9">
        <v>398</v>
      </c>
      <c r="D9">
        <v>377</v>
      </c>
      <c r="E9">
        <v>337</v>
      </c>
      <c r="F9">
        <v>301</v>
      </c>
      <c r="G9">
        <v>178</v>
      </c>
      <c r="H9">
        <v>94</v>
      </c>
      <c r="I9">
        <v>5</v>
      </c>
      <c r="J9">
        <v>12</v>
      </c>
    </row>
    <row r="10" spans="2:10">
      <c r="B10" t="s">
        <v>58</v>
      </c>
      <c r="C10">
        <v>64</v>
      </c>
      <c r="D10">
        <v>59</v>
      </c>
      <c r="E10">
        <v>61</v>
      </c>
      <c r="F10">
        <v>54</v>
      </c>
      <c r="G10">
        <v>47</v>
      </c>
      <c r="H10">
        <v>43</v>
      </c>
      <c r="I10">
        <v>37</v>
      </c>
      <c r="J10">
        <v>39</v>
      </c>
    </row>
    <row r="11" spans="2:10">
      <c r="B11" t="s">
        <v>59</v>
      </c>
      <c r="C11">
        <v>5</v>
      </c>
      <c r="D11">
        <v>5</v>
      </c>
      <c r="E11">
        <v>5</v>
      </c>
      <c r="F11">
        <v>5</v>
      </c>
      <c r="G11">
        <v>4</v>
      </c>
      <c r="H11">
        <v>3</v>
      </c>
      <c r="I11">
        <v>3</v>
      </c>
      <c r="J11">
        <v>4</v>
      </c>
    </row>
    <row r="12" spans="2:10">
      <c r="B12" t="s">
        <v>60</v>
      </c>
      <c r="C12">
        <v>18</v>
      </c>
      <c r="D12">
        <v>18</v>
      </c>
      <c r="E12">
        <v>16</v>
      </c>
      <c r="F12">
        <v>17</v>
      </c>
      <c r="G12">
        <v>14</v>
      </c>
      <c r="H12">
        <v>12</v>
      </c>
      <c r="I12">
        <v>11</v>
      </c>
      <c r="J12">
        <v>11</v>
      </c>
    </row>
    <row r="13" spans="2:10">
      <c r="B13" t="s">
        <v>61</v>
      </c>
      <c r="C13">
        <v>41</v>
      </c>
      <c r="D13">
        <v>37</v>
      </c>
      <c r="E13">
        <v>40</v>
      </c>
      <c r="F13">
        <v>32</v>
      </c>
      <c r="G13">
        <v>29</v>
      </c>
      <c r="H13">
        <v>27</v>
      </c>
      <c r="I13">
        <v>23</v>
      </c>
      <c r="J13">
        <v>24</v>
      </c>
    </row>
    <row r="14" spans="2:10">
      <c r="B14" t="s">
        <v>62</v>
      </c>
      <c r="C14">
        <v>334</v>
      </c>
      <c r="D14">
        <v>318</v>
      </c>
      <c r="E14">
        <v>276</v>
      </c>
      <c r="F14">
        <v>246</v>
      </c>
      <c r="G14">
        <v>131</v>
      </c>
      <c r="H14">
        <v>51</v>
      </c>
      <c r="I14">
        <v>-32</v>
      </c>
      <c r="J14">
        <v>-27</v>
      </c>
    </row>
    <row r="15" spans="2:10">
      <c r="B15" t="s">
        <v>63</v>
      </c>
      <c r="C15">
        <v>3</v>
      </c>
      <c r="D15">
        <v>2</v>
      </c>
      <c r="E15">
        <v>2</v>
      </c>
      <c r="F15">
        <v>1</v>
      </c>
      <c r="G15">
        <v>1</v>
      </c>
      <c r="H15">
        <v>1</v>
      </c>
      <c r="I15">
        <v>1</v>
      </c>
      <c r="J15">
        <v>1</v>
      </c>
    </row>
    <row r="16" spans="2:10">
      <c r="B16" t="s">
        <v>64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</row>
    <row r="17" spans="2:10">
      <c r="B17" t="s">
        <v>65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</row>
    <row r="18" spans="2:10">
      <c r="B18" t="s">
        <v>66</v>
      </c>
      <c r="C18">
        <v>0</v>
      </c>
      <c r="D18">
        <v>0</v>
      </c>
      <c r="E18">
        <v>0</v>
      </c>
      <c r="F18">
        <v>0</v>
      </c>
      <c r="G18">
        <v>-1</v>
      </c>
      <c r="H18">
        <v>0</v>
      </c>
      <c r="I18">
        <v>1</v>
      </c>
      <c r="J18">
        <v>0</v>
      </c>
    </row>
    <row r="19" spans="2:10">
      <c r="B19" t="s">
        <v>67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</row>
    <row r="20" spans="2:10">
      <c r="B20" t="s">
        <v>68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</row>
    <row r="21" spans="2:10">
      <c r="B21" t="s">
        <v>69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</row>
    <row r="22" spans="2:10">
      <c r="B22" t="s">
        <v>70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</row>
    <row r="23" spans="2:10">
      <c r="B23" t="s">
        <v>71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</row>
    <row r="24" spans="2:10">
      <c r="B24" t="s">
        <v>72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</row>
    <row r="25" spans="2:10">
      <c r="B25" t="s">
        <v>73</v>
      </c>
      <c r="C25">
        <v>18</v>
      </c>
      <c r="D25">
        <v>0</v>
      </c>
      <c r="E25">
        <v>0</v>
      </c>
      <c r="F25">
        <v>19</v>
      </c>
      <c r="G25">
        <v>8</v>
      </c>
      <c r="H25">
        <v>-4</v>
      </c>
      <c r="I25">
        <v>6</v>
      </c>
      <c r="J25">
        <v>3</v>
      </c>
    </row>
    <row r="26" spans="2:10">
      <c r="B26" t="s">
        <v>74</v>
      </c>
      <c r="C26">
        <v>1</v>
      </c>
      <c r="D26">
        <v>0</v>
      </c>
      <c r="E26">
        <v>1</v>
      </c>
      <c r="F26">
        <v>1</v>
      </c>
      <c r="G26">
        <v>1</v>
      </c>
      <c r="H26">
        <v>2</v>
      </c>
      <c r="I26">
        <v>2</v>
      </c>
      <c r="J26">
        <v>1</v>
      </c>
    </row>
    <row r="27" spans="2:10">
      <c r="B27" t="s">
        <v>75</v>
      </c>
      <c r="C27">
        <v>21</v>
      </c>
      <c r="D27">
        <v>3</v>
      </c>
      <c r="E27">
        <v>3</v>
      </c>
      <c r="F27">
        <v>20</v>
      </c>
      <c r="G27">
        <v>10</v>
      </c>
      <c r="H27">
        <v>0</v>
      </c>
      <c r="I27">
        <v>11</v>
      </c>
      <c r="J27">
        <v>5</v>
      </c>
    </row>
    <row r="28" spans="2:10">
      <c r="B28" t="s">
        <v>76</v>
      </c>
      <c r="C28">
        <v>0</v>
      </c>
      <c r="D28">
        <v>0</v>
      </c>
      <c r="E28">
        <v>0</v>
      </c>
      <c r="F28">
        <v>0</v>
      </c>
      <c r="G28">
        <v>1</v>
      </c>
      <c r="H28">
        <v>1</v>
      </c>
      <c r="I28">
        <v>1</v>
      </c>
      <c r="J28">
        <v>1</v>
      </c>
    </row>
    <row r="29" spans="2:10">
      <c r="B29" t="s">
        <v>77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</row>
    <row r="30" spans="2:10">
      <c r="B30" t="s">
        <v>78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</row>
    <row r="31" spans="2:10">
      <c r="B31" t="s">
        <v>79</v>
      </c>
      <c r="C31">
        <v>0</v>
      </c>
      <c r="D31">
        <v>0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</row>
    <row r="32" spans="2:10">
      <c r="B32" t="s">
        <v>80</v>
      </c>
      <c r="C32">
        <v>0</v>
      </c>
      <c r="D32">
        <v>0</v>
      </c>
      <c r="E32">
        <v>0</v>
      </c>
      <c r="F32">
        <v>1</v>
      </c>
      <c r="G32">
        <v>0</v>
      </c>
      <c r="H32">
        <v>0</v>
      </c>
      <c r="I32">
        <v>0</v>
      </c>
      <c r="J32">
        <v>0</v>
      </c>
    </row>
    <row r="33" spans="2:10">
      <c r="B33" t="s">
        <v>81</v>
      </c>
      <c r="C33">
        <v>0</v>
      </c>
      <c r="D33">
        <v>0</v>
      </c>
      <c r="E33">
        <v>0</v>
      </c>
      <c r="F33">
        <v>0</v>
      </c>
      <c r="G33">
        <v>0</v>
      </c>
      <c r="H33">
        <v>1</v>
      </c>
      <c r="I33">
        <v>0</v>
      </c>
      <c r="J33">
        <v>0</v>
      </c>
    </row>
    <row r="34" spans="2:10">
      <c r="B34" t="s">
        <v>82</v>
      </c>
      <c r="C34">
        <v>0</v>
      </c>
      <c r="D34">
        <v>0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</row>
    <row r="35" spans="2:10">
      <c r="B35" t="s">
        <v>83</v>
      </c>
      <c r="C35">
        <v>0</v>
      </c>
      <c r="D35">
        <v>0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</row>
    <row r="36" spans="2:10">
      <c r="B36" t="s">
        <v>84</v>
      </c>
      <c r="C36">
        <v>0</v>
      </c>
      <c r="D36">
        <v>0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</row>
    <row r="37" spans="2:10">
      <c r="B37" t="s">
        <v>85</v>
      </c>
      <c r="C37">
        <v>0</v>
      </c>
      <c r="D37">
        <v>0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</row>
    <row r="38" spans="2:10">
      <c r="B38" t="s">
        <v>86</v>
      </c>
      <c r="C38">
        <v>-10</v>
      </c>
      <c r="D38">
        <v>5</v>
      </c>
      <c r="E38">
        <v>5</v>
      </c>
      <c r="F38">
        <v>0</v>
      </c>
      <c r="G38">
        <v>0</v>
      </c>
      <c r="H38">
        <v>0</v>
      </c>
      <c r="I38">
        <v>0</v>
      </c>
      <c r="J38">
        <v>0</v>
      </c>
    </row>
    <row r="39" spans="2:10">
      <c r="B39" t="s">
        <v>87</v>
      </c>
      <c r="C39">
        <v>0</v>
      </c>
      <c r="D39">
        <v>0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</row>
    <row r="40" spans="2:10">
      <c r="B40" t="s">
        <v>88</v>
      </c>
      <c r="C40">
        <v>0</v>
      </c>
      <c r="D40">
        <v>0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</row>
    <row r="41" spans="2:10">
      <c r="B41" t="s">
        <v>89</v>
      </c>
      <c r="C41">
        <v>-10</v>
      </c>
      <c r="D41">
        <v>5</v>
      </c>
      <c r="E41">
        <v>6</v>
      </c>
      <c r="F41">
        <v>1</v>
      </c>
      <c r="G41">
        <v>1</v>
      </c>
      <c r="H41">
        <v>1</v>
      </c>
      <c r="I41">
        <v>1</v>
      </c>
      <c r="J41">
        <v>1</v>
      </c>
    </row>
    <row r="42" spans="2:10">
      <c r="B42" t="s">
        <v>90</v>
      </c>
      <c r="C42">
        <v>365</v>
      </c>
      <c r="D42">
        <v>316</v>
      </c>
      <c r="E42">
        <v>274</v>
      </c>
      <c r="F42">
        <v>266</v>
      </c>
      <c r="G42">
        <v>140</v>
      </c>
      <c r="H42">
        <v>49</v>
      </c>
      <c r="I42">
        <v>-22</v>
      </c>
      <c r="J42">
        <v>-23</v>
      </c>
    </row>
    <row r="43" spans="2:10">
      <c r="B43" t="s">
        <v>91</v>
      </c>
      <c r="C43">
        <v>50</v>
      </c>
      <c r="D43">
        <v>51</v>
      </c>
      <c r="E43">
        <v>37</v>
      </c>
      <c r="F43">
        <v>34</v>
      </c>
      <c r="G43">
        <v>21</v>
      </c>
      <c r="H43">
        <v>8</v>
      </c>
      <c r="I43">
        <v>-4</v>
      </c>
      <c r="J43">
        <v>2</v>
      </c>
    </row>
    <row r="44" spans="2:10">
      <c r="B44" t="s">
        <v>92</v>
      </c>
      <c r="C44">
        <v>314</v>
      </c>
      <c r="D44">
        <v>265</v>
      </c>
      <c r="E44">
        <v>236</v>
      </c>
      <c r="F44">
        <v>232</v>
      </c>
      <c r="G44">
        <v>119</v>
      </c>
      <c r="H44">
        <v>41</v>
      </c>
      <c r="I44">
        <v>-18</v>
      </c>
      <c r="J44">
        <v>-24</v>
      </c>
    </row>
    <row r="45" spans="2:10">
      <c r="B45" t="s">
        <v>93</v>
      </c>
      <c r="C45">
        <v>0</v>
      </c>
      <c r="D45">
        <v>0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</row>
    <row r="46" spans="2:10">
      <c r="B46" t="s">
        <v>94</v>
      </c>
      <c r="C46">
        <v>0</v>
      </c>
      <c r="D46">
        <v>0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</row>
    <row r="47" spans="2:10">
      <c r="B47" t="s">
        <v>95</v>
      </c>
      <c r="C47">
        <v>0</v>
      </c>
      <c r="D47">
        <v>0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</row>
    <row r="48" spans="2:10">
      <c r="B48" t="s">
        <v>96</v>
      </c>
      <c r="C48">
        <v>314</v>
      </c>
      <c r="D48">
        <v>265</v>
      </c>
      <c r="E48">
        <v>236</v>
      </c>
      <c r="F48">
        <v>232</v>
      </c>
      <c r="G48">
        <v>119</v>
      </c>
      <c r="H48">
        <v>41</v>
      </c>
      <c r="I48">
        <v>-18</v>
      </c>
      <c r="J48">
        <v>-24</v>
      </c>
    </row>
    <row r="49" spans="2:10">
      <c r="B49" t="s">
        <v>97</v>
      </c>
      <c r="C49">
        <v>0</v>
      </c>
      <c r="D49">
        <v>0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</row>
    <row r="50" spans="2:10">
      <c r="B50" t="s">
        <v>99</v>
      </c>
      <c r="C50">
        <v>0</v>
      </c>
      <c r="D50">
        <v>0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</row>
    <row r="51" spans="2:10">
      <c r="B51" t="s">
        <v>100</v>
      </c>
      <c r="C51">
        <v>0</v>
      </c>
      <c r="D51">
        <v>0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</row>
    <row r="52" spans="2:10">
      <c r="B52" t="s">
        <v>13</v>
      </c>
      <c r="C52">
        <v>314</v>
      </c>
      <c r="D52">
        <v>265</v>
      </c>
      <c r="E52">
        <v>236</v>
      </c>
      <c r="F52">
        <v>232</v>
      </c>
      <c r="G52">
        <v>119</v>
      </c>
      <c r="H52">
        <v>41</v>
      </c>
      <c r="I52">
        <v>-18</v>
      </c>
      <c r="J52">
        <v>-24</v>
      </c>
    </row>
    <row r="53" spans="2:10">
      <c r="B53" t="s">
        <v>14</v>
      </c>
      <c r="C53">
        <v>2.25</v>
      </c>
      <c r="D53">
        <v>1.93</v>
      </c>
      <c r="E53">
        <v>1.73</v>
      </c>
      <c r="F53">
        <v>1.71</v>
      </c>
      <c r="G53">
        <v>0.88</v>
      </c>
      <c r="H53">
        <v>0.3</v>
      </c>
      <c r="I53">
        <v>-0.13</v>
      </c>
      <c r="J53">
        <v>-0.18</v>
      </c>
    </row>
    <row r="54" spans="2:10">
      <c r="B54" t="s">
        <v>101</v>
      </c>
      <c r="C54">
        <v>2.1800000000000002</v>
      </c>
      <c r="D54">
        <v>1.86</v>
      </c>
      <c r="E54">
        <v>1.69</v>
      </c>
      <c r="F54" t="s">
        <v>98</v>
      </c>
      <c r="G54">
        <v>0.88</v>
      </c>
      <c r="H54">
        <v>0.3</v>
      </c>
      <c r="I54">
        <v>-0.13</v>
      </c>
      <c r="J54" t="s">
        <v>98</v>
      </c>
    </row>
    <row r="55" spans="2:10">
      <c r="B55" t="s">
        <v>102</v>
      </c>
      <c r="C55" s="46">
        <v>1400</v>
      </c>
      <c r="D55" s="46">
        <v>1371</v>
      </c>
      <c r="E55" s="46">
        <v>1369</v>
      </c>
      <c r="F55" s="46">
        <v>1356</v>
      </c>
      <c r="G55" s="46">
        <v>1355</v>
      </c>
      <c r="H55" s="46">
        <v>1355</v>
      </c>
      <c r="I55" s="46">
        <v>1355</v>
      </c>
      <c r="J55" s="46">
        <v>1355</v>
      </c>
    </row>
    <row r="56" spans="2:10">
      <c r="B56" t="s">
        <v>103</v>
      </c>
      <c r="C56">
        <v>0</v>
      </c>
      <c r="D56">
        <v>0</v>
      </c>
      <c r="E56">
        <v>0</v>
      </c>
      <c r="F56">
        <v>0</v>
      </c>
      <c r="G56">
        <v>0</v>
      </c>
      <c r="H56">
        <v>0</v>
      </c>
      <c r="I56">
        <v>0</v>
      </c>
      <c r="J56">
        <v>0</v>
      </c>
    </row>
    <row r="57" spans="2:10">
      <c r="B57" t="s">
        <v>104</v>
      </c>
      <c r="C57" t="s">
        <v>98</v>
      </c>
      <c r="D57" t="s">
        <v>98</v>
      </c>
      <c r="E57" t="s">
        <v>98</v>
      </c>
      <c r="F57">
        <v>0</v>
      </c>
      <c r="G57" t="s">
        <v>98</v>
      </c>
      <c r="H57" t="s">
        <v>98</v>
      </c>
      <c r="I57" t="s">
        <v>98</v>
      </c>
      <c r="J57">
        <v>0</v>
      </c>
    </row>
    <row r="58" spans="2:10">
      <c r="B58" t="s">
        <v>105</v>
      </c>
      <c r="C58">
        <v>0</v>
      </c>
      <c r="D58">
        <v>0</v>
      </c>
      <c r="E58">
        <v>0</v>
      </c>
      <c r="F58">
        <v>0</v>
      </c>
      <c r="G58">
        <v>0</v>
      </c>
      <c r="H58">
        <v>0</v>
      </c>
      <c r="I58">
        <v>0</v>
      </c>
      <c r="J58">
        <v>0</v>
      </c>
    </row>
    <row r="59" spans="2:10">
      <c r="B59" t="s">
        <v>106</v>
      </c>
      <c r="C59">
        <v>0</v>
      </c>
      <c r="D59">
        <v>0</v>
      </c>
      <c r="E59">
        <v>0</v>
      </c>
      <c r="F59">
        <v>0</v>
      </c>
      <c r="G59">
        <v>0</v>
      </c>
      <c r="H59">
        <v>0</v>
      </c>
      <c r="I59">
        <v>0</v>
      </c>
      <c r="J59">
        <v>0</v>
      </c>
    </row>
    <row r="60" spans="2:10">
      <c r="B60" t="s">
        <v>107</v>
      </c>
      <c r="C60">
        <v>365</v>
      </c>
      <c r="D60">
        <v>316</v>
      </c>
      <c r="E60">
        <v>274</v>
      </c>
      <c r="F60">
        <v>266</v>
      </c>
      <c r="G60">
        <v>141</v>
      </c>
      <c r="H60">
        <v>50</v>
      </c>
      <c r="I60">
        <v>-21</v>
      </c>
      <c r="J60">
        <v>-22</v>
      </c>
    </row>
    <row r="61" spans="2:10">
      <c r="B61" t="s">
        <v>108</v>
      </c>
      <c r="C61">
        <v>427</v>
      </c>
      <c r="D61">
        <v>376</v>
      </c>
      <c r="E61">
        <v>333</v>
      </c>
      <c r="F61">
        <v>322</v>
      </c>
      <c r="G61">
        <v>199</v>
      </c>
      <c r="H61">
        <v>107</v>
      </c>
      <c r="I61">
        <v>36</v>
      </c>
      <c r="J61">
        <v>36</v>
      </c>
    </row>
    <row r="62" spans="2:10">
      <c r="B62" t="s">
        <v>109</v>
      </c>
      <c r="C62">
        <v>315</v>
      </c>
      <c r="D62">
        <v>265</v>
      </c>
      <c r="E62">
        <v>236</v>
      </c>
      <c r="F62">
        <v>233</v>
      </c>
      <c r="G62">
        <v>120</v>
      </c>
      <c r="H62">
        <v>41</v>
      </c>
      <c r="I62">
        <v>-20</v>
      </c>
      <c r="J62">
        <v>-24</v>
      </c>
    </row>
    <row r="63" spans="2:10">
      <c r="B63" t="s">
        <v>110</v>
      </c>
    </row>
    <row r="64" spans="2:10">
      <c r="B64" t="s">
        <v>111</v>
      </c>
    </row>
    <row r="101" spans="2:10">
      <c r="B101" t="s">
        <v>1949</v>
      </c>
    </row>
    <row r="102" spans="2:10">
      <c r="B102" t="s">
        <v>47</v>
      </c>
    </row>
    <row r="103" spans="2:10">
      <c r="B103" t="s">
        <v>48</v>
      </c>
      <c r="C103" t="s">
        <v>1933</v>
      </c>
      <c r="D103" t="s">
        <v>226</v>
      </c>
      <c r="E103" t="s">
        <v>49</v>
      </c>
      <c r="F103" t="s">
        <v>50</v>
      </c>
      <c r="G103" t="s">
        <v>51</v>
      </c>
      <c r="H103" t="s">
        <v>52</v>
      </c>
      <c r="I103" t="s">
        <v>53</v>
      </c>
      <c r="J103" t="s">
        <v>54</v>
      </c>
    </row>
    <row r="104" spans="2:10">
      <c r="B104" t="s">
        <v>152</v>
      </c>
      <c r="C104" s="46">
        <v>1313</v>
      </c>
      <c r="D104" s="46">
        <v>1405</v>
      </c>
      <c r="E104">
        <v>998</v>
      </c>
      <c r="F104">
        <v>859</v>
      </c>
      <c r="G104">
        <v>680</v>
      </c>
      <c r="H104">
        <v>684</v>
      </c>
      <c r="I104">
        <v>665</v>
      </c>
      <c r="J104">
        <v>642</v>
      </c>
    </row>
    <row r="105" spans="2:10">
      <c r="B105" t="s">
        <v>153</v>
      </c>
      <c r="C105">
        <v>188</v>
      </c>
      <c r="D105">
        <v>141</v>
      </c>
      <c r="E105">
        <v>136</v>
      </c>
      <c r="F105">
        <v>66</v>
      </c>
      <c r="G105">
        <v>64</v>
      </c>
      <c r="H105">
        <v>95</v>
      </c>
      <c r="I105">
        <v>96</v>
      </c>
      <c r="J105">
        <v>99</v>
      </c>
    </row>
    <row r="106" spans="2:10">
      <c r="B106" t="s">
        <v>190</v>
      </c>
      <c r="C106">
        <v>273</v>
      </c>
      <c r="D106">
        <v>176</v>
      </c>
      <c r="E106">
        <v>185</v>
      </c>
      <c r="F106">
        <v>252</v>
      </c>
      <c r="G106">
        <v>189</v>
      </c>
      <c r="H106">
        <v>119</v>
      </c>
      <c r="I106">
        <v>96</v>
      </c>
      <c r="J106">
        <v>102</v>
      </c>
    </row>
    <row r="107" spans="2:10">
      <c r="B107" t="s">
        <v>154</v>
      </c>
      <c r="C107">
        <v>25</v>
      </c>
      <c r="D107">
        <v>27</v>
      </c>
      <c r="E107">
        <v>13</v>
      </c>
      <c r="F107">
        <v>7</v>
      </c>
      <c r="G107">
        <v>20</v>
      </c>
      <c r="H107">
        <v>16</v>
      </c>
      <c r="I107">
        <v>6</v>
      </c>
      <c r="J107">
        <v>2</v>
      </c>
    </row>
    <row r="108" spans="2:10">
      <c r="B108" t="s">
        <v>191</v>
      </c>
      <c r="C108">
        <v>0</v>
      </c>
      <c r="D108">
        <v>0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0</v>
      </c>
    </row>
    <row r="109" spans="2:10">
      <c r="B109" t="s">
        <v>15</v>
      </c>
      <c r="C109">
        <v>357</v>
      </c>
      <c r="D109">
        <v>432</v>
      </c>
      <c r="E109">
        <v>366</v>
      </c>
      <c r="F109">
        <v>379</v>
      </c>
      <c r="G109">
        <v>427</v>
      </c>
      <c r="H109">
        <v>322</v>
      </c>
      <c r="I109">
        <v>170</v>
      </c>
      <c r="J109">
        <v>134</v>
      </c>
    </row>
    <row r="110" spans="2:10">
      <c r="B110" t="s">
        <v>192</v>
      </c>
      <c r="C110" t="s">
        <v>98</v>
      </c>
      <c r="D110" t="s">
        <v>98</v>
      </c>
      <c r="E110" t="s">
        <v>98</v>
      </c>
      <c r="F110" t="s">
        <v>98</v>
      </c>
      <c r="G110" t="s">
        <v>98</v>
      </c>
      <c r="H110" t="s">
        <v>98</v>
      </c>
      <c r="I110" t="s">
        <v>98</v>
      </c>
      <c r="J110" t="s">
        <v>98</v>
      </c>
    </row>
    <row r="111" spans="2:10">
      <c r="B111" t="s">
        <v>155</v>
      </c>
      <c r="C111">
        <v>127</v>
      </c>
      <c r="D111">
        <v>113</v>
      </c>
      <c r="E111">
        <v>117</v>
      </c>
      <c r="F111">
        <v>107</v>
      </c>
      <c r="G111">
        <v>90</v>
      </c>
      <c r="H111">
        <v>101</v>
      </c>
      <c r="I111">
        <v>65</v>
      </c>
      <c r="J111">
        <v>67</v>
      </c>
    </row>
    <row r="112" spans="2:10">
      <c r="B112" t="s">
        <v>156</v>
      </c>
      <c r="C112">
        <v>0</v>
      </c>
      <c r="D112">
        <v>0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</row>
    <row r="113" spans="2:10">
      <c r="B113" t="s">
        <v>157</v>
      </c>
      <c r="C113" s="46">
        <v>2286</v>
      </c>
      <c r="D113" s="46">
        <v>2298</v>
      </c>
      <c r="E113" s="46">
        <v>1818</v>
      </c>
      <c r="F113" s="46">
        <v>1673</v>
      </c>
      <c r="G113" s="46">
        <v>1474</v>
      </c>
      <c r="H113" s="46">
        <v>1340</v>
      </c>
      <c r="I113" s="46">
        <v>1101</v>
      </c>
      <c r="J113" s="46">
        <v>1050</v>
      </c>
    </row>
    <row r="114" spans="2:10">
      <c r="B114" t="s">
        <v>158</v>
      </c>
      <c r="C114">
        <v>0</v>
      </c>
      <c r="D114">
        <v>0</v>
      </c>
      <c r="E114">
        <v>0</v>
      </c>
      <c r="F114">
        <v>0</v>
      </c>
      <c r="G114">
        <v>0</v>
      </c>
      <c r="H114">
        <v>0</v>
      </c>
      <c r="I114">
        <v>0</v>
      </c>
      <c r="J114">
        <v>0</v>
      </c>
    </row>
    <row r="115" spans="2:10">
      <c r="B115" t="s">
        <v>159</v>
      </c>
      <c r="C115">
        <v>0</v>
      </c>
      <c r="D115">
        <v>0</v>
      </c>
      <c r="E115">
        <v>0</v>
      </c>
      <c r="F115">
        <v>0</v>
      </c>
      <c r="G115">
        <v>0</v>
      </c>
      <c r="H115">
        <v>0</v>
      </c>
      <c r="I115">
        <v>0</v>
      </c>
      <c r="J115">
        <v>0</v>
      </c>
    </row>
    <row r="116" spans="2:10">
      <c r="B116" t="s">
        <v>160</v>
      </c>
      <c r="C116">
        <v>165</v>
      </c>
      <c r="D116">
        <v>165</v>
      </c>
      <c r="E116">
        <v>165</v>
      </c>
      <c r="F116">
        <v>165</v>
      </c>
      <c r="G116">
        <v>165</v>
      </c>
      <c r="H116">
        <v>165</v>
      </c>
      <c r="I116">
        <v>165</v>
      </c>
      <c r="J116">
        <v>165</v>
      </c>
    </row>
    <row r="117" spans="2:10">
      <c r="B117" t="s">
        <v>161</v>
      </c>
      <c r="C117" s="46">
        <v>2413</v>
      </c>
      <c r="D117" s="46">
        <v>2342</v>
      </c>
      <c r="E117" s="46">
        <v>2259</v>
      </c>
      <c r="F117" s="46">
        <v>2171</v>
      </c>
      <c r="G117" s="46">
        <v>2158</v>
      </c>
      <c r="H117" s="46">
        <v>2150</v>
      </c>
      <c r="I117" s="46">
        <v>2142</v>
      </c>
      <c r="J117" s="46">
        <v>2174</v>
      </c>
    </row>
    <row r="118" spans="2:10">
      <c r="B118" t="s">
        <v>162</v>
      </c>
      <c r="C118">
        <v>266</v>
      </c>
      <c r="D118">
        <v>243</v>
      </c>
      <c r="E118">
        <v>242</v>
      </c>
      <c r="F118">
        <v>241</v>
      </c>
      <c r="G118">
        <v>216</v>
      </c>
      <c r="H118">
        <v>215</v>
      </c>
      <c r="I118">
        <v>213</v>
      </c>
      <c r="J118">
        <v>213</v>
      </c>
    </row>
    <row r="119" spans="2:10">
      <c r="B119" t="s">
        <v>163</v>
      </c>
      <c r="C119">
        <v>0</v>
      </c>
      <c r="D119">
        <v>0</v>
      </c>
      <c r="E119">
        <v>0</v>
      </c>
      <c r="F119">
        <v>0</v>
      </c>
      <c r="G119">
        <v>0</v>
      </c>
      <c r="H119">
        <v>0</v>
      </c>
      <c r="I119">
        <v>0</v>
      </c>
      <c r="J119">
        <v>0</v>
      </c>
    </row>
    <row r="120" spans="2:10">
      <c r="B120" t="s">
        <v>164</v>
      </c>
      <c r="C120" s="46">
        <v>-1796</v>
      </c>
      <c r="D120" s="46">
        <v>-1736</v>
      </c>
      <c r="E120" s="46">
        <v>-1677</v>
      </c>
      <c r="F120" s="46">
        <v>-1620</v>
      </c>
      <c r="G120" s="46">
        <v>-1622</v>
      </c>
      <c r="H120" s="46">
        <v>-1603</v>
      </c>
      <c r="I120" s="46">
        <v>-1553</v>
      </c>
      <c r="J120" s="46">
        <v>-1530</v>
      </c>
    </row>
    <row r="121" spans="2:10">
      <c r="B121" t="s">
        <v>165</v>
      </c>
      <c r="C121">
        <v>0</v>
      </c>
      <c r="D121">
        <v>0</v>
      </c>
      <c r="E121">
        <v>0</v>
      </c>
      <c r="F121">
        <v>0</v>
      </c>
      <c r="G121">
        <v>0</v>
      </c>
      <c r="H121">
        <v>0</v>
      </c>
      <c r="I121">
        <v>0</v>
      </c>
      <c r="J121">
        <v>0</v>
      </c>
    </row>
    <row r="122" spans="2:10">
      <c r="B122" t="s">
        <v>166</v>
      </c>
      <c r="C122">
        <v>275</v>
      </c>
      <c r="D122">
        <v>236</v>
      </c>
      <c r="E122">
        <v>162</v>
      </c>
      <c r="F122">
        <v>124</v>
      </c>
      <c r="G122">
        <v>107</v>
      </c>
      <c r="H122">
        <v>66</v>
      </c>
      <c r="I122">
        <v>63</v>
      </c>
      <c r="J122">
        <v>62</v>
      </c>
    </row>
    <row r="123" spans="2:10">
      <c r="B123" t="s">
        <v>167</v>
      </c>
      <c r="C123" s="46">
        <v>1323</v>
      </c>
      <c r="D123" s="46">
        <v>1250</v>
      </c>
      <c r="E123" s="46">
        <v>1151</v>
      </c>
      <c r="F123" s="46">
        <v>1081</v>
      </c>
      <c r="G123" s="46">
        <v>1024</v>
      </c>
      <c r="H123">
        <v>992</v>
      </c>
      <c r="I123" s="46">
        <v>1030</v>
      </c>
      <c r="J123" s="46">
        <v>1084</v>
      </c>
    </row>
    <row r="124" spans="2:10">
      <c r="B124" t="s">
        <v>168</v>
      </c>
      <c r="C124">
        <v>11</v>
      </c>
      <c r="D124">
        <v>11</v>
      </c>
      <c r="E124">
        <v>12</v>
      </c>
      <c r="F124">
        <v>17</v>
      </c>
      <c r="G124">
        <v>22</v>
      </c>
      <c r="H124">
        <v>40</v>
      </c>
      <c r="I124">
        <v>49</v>
      </c>
      <c r="J124">
        <v>45</v>
      </c>
    </row>
    <row r="125" spans="2:10">
      <c r="B125" t="s">
        <v>169</v>
      </c>
      <c r="C125">
        <v>4</v>
      </c>
      <c r="D125">
        <v>5</v>
      </c>
      <c r="E125">
        <v>6</v>
      </c>
      <c r="F125">
        <v>7</v>
      </c>
      <c r="G125">
        <v>8</v>
      </c>
      <c r="H125">
        <v>8</v>
      </c>
      <c r="I125">
        <v>10</v>
      </c>
      <c r="J125">
        <v>8</v>
      </c>
    </row>
    <row r="126" spans="2:10">
      <c r="B126" t="s">
        <v>170</v>
      </c>
      <c r="C126">
        <v>55</v>
      </c>
      <c r="D126">
        <v>78</v>
      </c>
      <c r="E126">
        <v>145</v>
      </c>
      <c r="F126">
        <v>118</v>
      </c>
      <c r="G126">
        <v>56</v>
      </c>
      <c r="H126">
        <v>59</v>
      </c>
      <c r="I126">
        <v>7</v>
      </c>
      <c r="J126">
        <v>8</v>
      </c>
    </row>
    <row r="127" spans="2:10">
      <c r="B127" t="s">
        <v>171</v>
      </c>
      <c r="C127">
        <v>70</v>
      </c>
      <c r="D127">
        <v>94</v>
      </c>
      <c r="E127">
        <v>162</v>
      </c>
      <c r="F127">
        <v>142</v>
      </c>
      <c r="G127">
        <v>85</v>
      </c>
      <c r="H127">
        <v>107</v>
      </c>
      <c r="I127">
        <v>65</v>
      </c>
      <c r="J127">
        <v>61</v>
      </c>
    </row>
    <row r="128" spans="2:10">
      <c r="B128" t="s">
        <v>18</v>
      </c>
      <c r="C128" s="46">
        <v>3679</v>
      </c>
      <c r="D128" s="46">
        <v>3642</v>
      </c>
      <c r="E128" s="46">
        <v>3131</v>
      </c>
      <c r="F128" s="46">
        <v>2897</v>
      </c>
      <c r="G128" s="46">
        <v>2584</v>
      </c>
      <c r="H128" s="46">
        <v>2438</v>
      </c>
      <c r="I128" s="46">
        <v>2196</v>
      </c>
      <c r="J128" s="46">
        <v>2195</v>
      </c>
    </row>
    <row r="129" spans="2:10">
      <c r="B129" t="s">
        <v>193</v>
      </c>
      <c r="C129">
        <v>0</v>
      </c>
      <c r="D129">
        <v>0</v>
      </c>
      <c r="E129">
        <v>10</v>
      </c>
      <c r="F129">
        <v>20</v>
      </c>
      <c r="G129">
        <v>0</v>
      </c>
      <c r="H129">
        <v>0</v>
      </c>
      <c r="I129">
        <v>10</v>
      </c>
      <c r="J129">
        <v>20</v>
      </c>
    </row>
    <row r="130" spans="2:10">
      <c r="B130" t="s">
        <v>194</v>
      </c>
      <c r="C130">
        <v>0</v>
      </c>
      <c r="D130">
        <v>0</v>
      </c>
      <c r="E130">
        <v>0</v>
      </c>
      <c r="F130">
        <v>10</v>
      </c>
      <c r="G130">
        <v>30</v>
      </c>
      <c r="H130">
        <v>20</v>
      </c>
      <c r="I130">
        <v>10</v>
      </c>
      <c r="J130">
        <v>0</v>
      </c>
    </row>
    <row r="131" spans="2:10">
      <c r="B131" t="s">
        <v>16</v>
      </c>
      <c r="C131">
        <v>237</v>
      </c>
      <c r="D131">
        <v>277</v>
      </c>
      <c r="E131">
        <v>216</v>
      </c>
      <c r="F131">
        <v>246</v>
      </c>
      <c r="G131">
        <v>260</v>
      </c>
      <c r="H131">
        <v>271</v>
      </c>
      <c r="I131">
        <v>119</v>
      </c>
      <c r="J131">
        <v>75</v>
      </c>
    </row>
    <row r="132" spans="2:10">
      <c r="B132" t="s">
        <v>172</v>
      </c>
      <c r="C132">
        <v>0</v>
      </c>
      <c r="D132">
        <v>0</v>
      </c>
      <c r="E132">
        <v>0</v>
      </c>
      <c r="F132">
        <v>40</v>
      </c>
      <c r="G132">
        <v>0</v>
      </c>
      <c r="H132">
        <v>0</v>
      </c>
      <c r="I132">
        <v>0</v>
      </c>
      <c r="J132">
        <v>39</v>
      </c>
    </row>
    <row r="133" spans="2:10">
      <c r="B133" t="s">
        <v>173</v>
      </c>
      <c r="C133">
        <v>3</v>
      </c>
      <c r="D133">
        <v>1</v>
      </c>
      <c r="E133">
        <v>5</v>
      </c>
      <c r="F133">
        <v>12</v>
      </c>
      <c r="G133">
        <v>14</v>
      </c>
      <c r="H133">
        <v>0</v>
      </c>
      <c r="I133">
        <v>2</v>
      </c>
      <c r="J133">
        <v>2</v>
      </c>
    </row>
    <row r="134" spans="2:10">
      <c r="B134" t="s">
        <v>174</v>
      </c>
      <c r="C134">
        <v>264</v>
      </c>
      <c r="D134">
        <v>538</v>
      </c>
      <c r="E134">
        <v>189</v>
      </c>
      <c r="F134">
        <v>120</v>
      </c>
      <c r="G134">
        <v>94</v>
      </c>
      <c r="H134">
        <v>64</v>
      </c>
      <c r="I134">
        <v>41</v>
      </c>
      <c r="J134">
        <v>18</v>
      </c>
    </row>
    <row r="135" spans="2:10">
      <c r="B135" t="s">
        <v>175</v>
      </c>
      <c r="C135">
        <v>114</v>
      </c>
      <c r="D135">
        <v>84</v>
      </c>
      <c r="E135">
        <v>63</v>
      </c>
      <c r="F135">
        <v>30</v>
      </c>
      <c r="G135">
        <v>2</v>
      </c>
      <c r="H135">
        <v>0</v>
      </c>
      <c r="I135">
        <v>0</v>
      </c>
      <c r="J135">
        <v>0</v>
      </c>
    </row>
    <row r="136" spans="2:10">
      <c r="B136" t="s">
        <v>176</v>
      </c>
      <c r="C136">
        <v>89</v>
      </c>
      <c r="D136">
        <v>94</v>
      </c>
      <c r="E136">
        <v>88</v>
      </c>
      <c r="F136">
        <v>81</v>
      </c>
      <c r="G136">
        <v>95</v>
      </c>
      <c r="H136">
        <v>95</v>
      </c>
      <c r="I136">
        <v>70</v>
      </c>
      <c r="J136">
        <v>70</v>
      </c>
    </row>
    <row r="137" spans="2:10">
      <c r="B137" t="s">
        <v>177</v>
      </c>
      <c r="C137">
        <v>0</v>
      </c>
      <c r="D137">
        <v>0</v>
      </c>
      <c r="E137">
        <v>0</v>
      </c>
      <c r="F137">
        <v>0</v>
      </c>
      <c r="G137">
        <v>0</v>
      </c>
      <c r="H137">
        <v>0</v>
      </c>
      <c r="I137">
        <v>0</v>
      </c>
      <c r="J137">
        <v>0</v>
      </c>
    </row>
    <row r="138" spans="2:10">
      <c r="B138" t="s">
        <v>178</v>
      </c>
      <c r="C138">
        <v>708</v>
      </c>
      <c r="D138">
        <v>994</v>
      </c>
      <c r="E138">
        <v>571</v>
      </c>
      <c r="F138">
        <v>560</v>
      </c>
      <c r="G138">
        <v>496</v>
      </c>
      <c r="H138">
        <v>451</v>
      </c>
      <c r="I138">
        <v>252</v>
      </c>
      <c r="J138">
        <v>224</v>
      </c>
    </row>
    <row r="139" spans="2:10">
      <c r="B139" t="s">
        <v>179</v>
      </c>
      <c r="C139">
        <v>48</v>
      </c>
      <c r="D139">
        <v>58</v>
      </c>
      <c r="E139">
        <v>89</v>
      </c>
      <c r="F139">
        <v>106</v>
      </c>
      <c r="G139">
        <v>127</v>
      </c>
      <c r="H139">
        <v>153</v>
      </c>
      <c r="I139">
        <v>153</v>
      </c>
      <c r="J139">
        <v>163</v>
      </c>
    </row>
    <row r="140" spans="2:10">
      <c r="B140" t="s">
        <v>180</v>
      </c>
      <c r="C140">
        <v>0</v>
      </c>
      <c r="D140">
        <v>0</v>
      </c>
      <c r="E140">
        <v>0</v>
      </c>
      <c r="F140">
        <v>0</v>
      </c>
      <c r="G140">
        <v>0</v>
      </c>
      <c r="H140">
        <v>0</v>
      </c>
      <c r="I140">
        <v>0</v>
      </c>
      <c r="J140">
        <v>0</v>
      </c>
    </row>
    <row r="141" spans="2:10">
      <c r="B141" t="s">
        <v>181</v>
      </c>
      <c r="C141">
        <v>0</v>
      </c>
      <c r="D141">
        <v>0</v>
      </c>
      <c r="E141">
        <v>0</v>
      </c>
      <c r="F141">
        <v>0</v>
      </c>
      <c r="G141">
        <v>0</v>
      </c>
      <c r="H141">
        <v>0</v>
      </c>
      <c r="I141">
        <v>0</v>
      </c>
      <c r="J141">
        <v>0</v>
      </c>
    </row>
    <row r="142" spans="2:10">
      <c r="B142" t="s">
        <v>182</v>
      </c>
      <c r="C142">
        <v>4</v>
      </c>
      <c r="D142">
        <v>0</v>
      </c>
      <c r="E142">
        <v>0</v>
      </c>
      <c r="F142">
        <v>2</v>
      </c>
      <c r="G142">
        <v>1</v>
      </c>
      <c r="H142">
        <v>0</v>
      </c>
      <c r="I142">
        <v>1</v>
      </c>
      <c r="J142">
        <v>0</v>
      </c>
    </row>
    <row r="143" spans="2:10">
      <c r="B143" t="s">
        <v>183</v>
      </c>
      <c r="C143">
        <v>0</v>
      </c>
      <c r="D143">
        <v>0</v>
      </c>
      <c r="E143">
        <v>0</v>
      </c>
      <c r="F143">
        <v>0</v>
      </c>
      <c r="G143">
        <v>0</v>
      </c>
      <c r="H143">
        <v>0</v>
      </c>
      <c r="I143">
        <v>0</v>
      </c>
      <c r="J143">
        <v>0</v>
      </c>
    </row>
    <row r="144" spans="2:10">
      <c r="B144" t="s">
        <v>184</v>
      </c>
      <c r="C144">
        <v>0</v>
      </c>
      <c r="D144">
        <v>0</v>
      </c>
      <c r="E144">
        <v>0</v>
      </c>
      <c r="F144">
        <v>0</v>
      </c>
      <c r="G144">
        <v>0</v>
      </c>
      <c r="H144">
        <v>0</v>
      </c>
      <c r="I144">
        <v>0</v>
      </c>
      <c r="J144">
        <v>0</v>
      </c>
    </row>
    <row r="145" spans="2:10">
      <c r="B145" t="s">
        <v>185</v>
      </c>
      <c r="C145">
        <v>6</v>
      </c>
      <c r="D145">
        <v>6</v>
      </c>
      <c r="E145">
        <v>6</v>
      </c>
      <c r="F145">
        <v>8</v>
      </c>
      <c r="G145">
        <v>8</v>
      </c>
      <c r="H145">
        <v>8</v>
      </c>
      <c r="I145">
        <v>10</v>
      </c>
      <c r="J145">
        <v>12</v>
      </c>
    </row>
    <row r="146" spans="2:10">
      <c r="B146" t="s">
        <v>186</v>
      </c>
      <c r="C146">
        <v>10</v>
      </c>
      <c r="D146">
        <v>6</v>
      </c>
      <c r="E146">
        <v>6</v>
      </c>
      <c r="F146">
        <v>10</v>
      </c>
      <c r="G146">
        <v>9</v>
      </c>
      <c r="H146">
        <v>8</v>
      </c>
      <c r="I146">
        <v>11</v>
      </c>
      <c r="J146">
        <v>12</v>
      </c>
    </row>
    <row r="147" spans="2:10">
      <c r="B147" t="s">
        <v>17</v>
      </c>
      <c r="C147">
        <v>765</v>
      </c>
      <c r="D147" s="46">
        <v>1058</v>
      </c>
      <c r="E147">
        <v>666</v>
      </c>
      <c r="F147">
        <v>675</v>
      </c>
      <c r="G147">
        <v>631</v>
      </c>
      <c r="H147">
        <v>613</v>
      </c>
      <c r="I147">
        <v>416</v>
      </c>
      <c r="J147">
        <v>400</v>
      </c>
    </row>
    <row r="148" spans="2:10">
      <c r="B148" t="s">
        <v>187</v>
      </c>
      <c r="C148" s="46">
        <v>2914</v>
      </c>
      <c r="D148" s="46">
        <v>2584</v>
      </c>
      <c r="E148" s="46">
        <v>2466</v>
      </c>
      <c r="F148" s="46">
        <v>2221</v>
      </c>
      <c r="G148" s="46">
        <v>1953</v>
      </c>
      <c r="H148" s="46">
        <v>1826</v>
      </c>
      <c r="I148" s="46">
        <v>1780</v>
      </c>
      <c r="J148" s="46">
        <v>1796</v>
      </c>
    </row>
    <row r="149" spans="2:10">
      <c r="B149" t="s">
        <v>195</v>
      </c>
      <c r="C149" s="46">
        <v>1403</v>
      </c>
      <c r="D149" s="46">
        <v>1400</v>
      </c>
      <c r="E149" s="46">
        <v>1371</v>
      </c>
      <c r="F149" s="46">
        <v>1369</v>
      </c>
      <c r="G149" s="46">
        <v>1357</v>
      </c>
      <c r="H149" s="46">
        <v>1355</v>
      </c>
      <c r="I149" s="46">
        <v>1355</v>
      </c>
      <c r="J149" s="46">
        <v>1355</v>
      </c>
    </row>
    <row r="150" spans="2:10">
      <c r="B150" t="s">
        <v>196</v>
      </c>
      <c r="C150">
        <v>0</v>
      </c>
      <c r="D150">
        <v>0</v>
      </c>
      <c r="E150">
        <v>0</v>
      </c>
      <c r="F150">
        <v>0</v>
      </c>
      <c r="G150">
        <v>0</v>
      </c>
      <c r="H150">
        <v>0</v>
      </c>
      <c r="I150">
        <v>0</v>
      </c>
      <c r="J150">
        <v>0</v>
      </c>
    </row>
    <row r="151" spans="2:10">
      <c r="B151" t="s">
        <v>197</v>
      </c>
      <c r="C151">
        <v>531</v>
      </c>
      <c r="D151">
        <v>517</v>
      </c>
      <c r="E151">
        <v>420</v>
      </c>
      <c r="F151">
        <v>414</v>
      </c>
      <c r="G151">
        <v>389</v>
      </c>
      <c r="H151">
        <v>382</v>
      </c>
      <c r="I151">
        <v>379</v>
      </c>
      <c r="J151">
        <v>376</v>
      </c>
    </row>
    <row r="152" spans="2:10">
      <c r="B152" t="s">
        <v>198</v>
      </c>
      <c r="C152">
        <v>74</v>
      </c>
      <c r="D152">
        <v>74</v>
      </c>
      <c r="E152">
        <v>37</v>
      </c>
      <c r="F152">
        <v>37</v>
      </c>
      <c r="G152">
        <v>37</v>
      </c>
      <c r="H152">
        <v>37</v>
      </c>
      <c r="I152">
        <v>37</v>
      </c>
      <c r="J152">
        <v>37</v>
      </c>
    </row>
    <row r="153" spans="2:10">
      <c r="B153" t="s">
        <v>199</v>
      </c>
      <c r="C153">
        <v>0</v>
      </c>
      <c r="D153">
        <v>0</v>
      </c>
      <c r="E153">
        <v>0</v>
      </c>
      <c r="F153">
        <v>0</v>
      </c>
      <c r="G153">
        <v>0</v>
      </c>
      <c r="H153">
        <v>0</v>
      </c>
      <c r="I153">
        <v>0</v>
      </c>
      <c r="J153">
        <v>0</v>
      </c>
    </row>
    <row r="154" spans="2:10">
      <c r="B154" t="s">
        <v>200</v>
      </c>
      <c r="C154">
        <v>906</v>
      </c>
      <c r="D154">
        <v>591</v>
      </c>
      <c r="E154">
        <v>638</v>
      </c>
      <c r="F154">
        <v>402</v>
      </c>
      <c r="G154">
        <v>170</v>
      </c>
      <c r="H154">
        <v>50</v>
      </c>
      <c r="I154">
        <v>9</v>
      </c>
      <c r="J154">
        <v>27</v>
      </c>
    </row>
    <row r="155" spans="2:10">
      <c r="B155" t="s">
        <v>201</v>
      </c>
      <c r="C155">
        <v>0</v>
      </c>
      <c r="D155">
        <v>0</v>
      </c>
      <c r="E155">
        <v>0</v>
      </c>
      <c r="F155">
        <v>0</v>
      </c>
      <c r="G155">
        <v>0</v>
      </c>
      <c r="H155">
        <v>0</v>
      </c>
      <c r="I155">
        <v>0</v>
      </c>
      <c r="J155">
        <v>0</v>
      </c>
    </row>
    <row r="156" spans="2:10">
      <c r="B156" t="s">
        <v>188</v>
      </c>
      <c r="C156">
        <v>0</v>
      </c>
      <c r="D156">
        <v>0</v>
      </c>
      <c r="E156">
        <v>0</v>
      </c>
      <c r="F156">
        <v>0</v>
      </c>
      <c r="G156">
        <v>0</v>
      </c>
      <c r="H156">
        <v>0</v>
      </c>
      <c r="I156">
        <v>0</v>
      </c>
      <c r="J156">
        <v>0</v>
      </c>
    </row>
    <row r="157" spans="2:10">
      <c r="B157" t="s">
        <v>189</v>
      </c>
      <c r="C157" s="46">
        <v>3679</v>
      </c>
      <c r="D157" s="46">
        <v>3642</v>
      </c>
      <c r="E157" s="46">
        <v>3131</v>
      </c>
      <c r="F157" s="46">
        <v>2897</v>
      </c>
      <c r="G157" s="46">
        <v>2584</v>
      </c>
      <c r="H157" s="46">
        <v>2438</v>
      </c>
      <c r="I157" s="46">
        <v>2196</v>
      </c>
      <c r="J157" s="46">
        <v>2195</v>
      </c>
    </row>
    <row r="158" spans="2:10">
      <c r="B158" t="s">
        <v>110</v>
      </c>
    </row>
    <row r="159" spans="2:10">
      <c r="B159" t="s">
        <v>111</v>
      </c>
    </row>
    <row r="201" spans="2:10">
      <c r="B201" t="s">
        <v>1948</v>
      </c>
    </row>
    <row r="202" spans="2:10">
      <c r="B202" t="s">
        <v>47</v>
      </c>
    </row>
    <row r="203" spans="2:10">
      <c r="B203" t="s">
        <v>48</v>
      </c>
      <c r="C203" t="s">
        <v>1933</v>
      </c>
      <c r="D203" t="s">
        <v>226</v>
      </c>
      <c r="E203" t="s">
        <v>49</v>
      </c>
      <c r="F203" t="s">
        <v>50</v>
      </c>
      <c r="G203" t="s">
        <v>51</v>
      </c>
      <c r="H203" t="s">
        <v>52</v>
      </c>
      <c r="I203" t="s">
        <v>53</v>
      </c>
      <c r="J203" t="s">
        <v>54</v>
      </c>
    </row>
    <row r="204" spans="2:10">
      <c r="B204" t="s">
        <v>112</v>
      </c>
      <c r="C204">
        <v>314</v>
      </c>
      <c r="D204">
        <v>265</v>
      </c>
      <c r="E204">
        <v>236</v>
      </c>
      <c r="F204">
        <v>232</v>
      </c>
      <c r="G204">
        <v>119</v>
      </c>
      <c r="H204">
        <v>41</v>
      </c>
      <c r="I204">
        <v>-18</v>
      </c>
      <c r="J204">
        <v>-24</v>
      </c>
    </row>
    <row r="205" spans="2:10">
      <c r="B205" t="s">
        <v>113</v>
      </c>
      <c r="C205">
        <v>0</v>
      </c>
      <c r="D205">
        <v>0</v>
      </c>
      <c r="E205">
        <v>0</v>
      </c>
      <c r="F205">
        <v>0</v>
      </c>
      <c r="G205">
        <v>0</v>
      </c>
      <c r="H205">
        <v>0</v>
      </c>
      <c r="I205">
        <v>0</v>
      </c>
      <c r="J205">
        <v>0</v>
      </c>
    </row>
    <row r="206" spans="2:10">
      <c r="B206" t="s">
        <v>114</v>
      </c>
      <c r="C206">
        <v>61</v>
      </c>
      <c r="D206">
        <v>59</v>
      </c>
      <c r="E206">
        <v>58</v>
      </c>
      <c r="F206">
        <v>55</v>
      </c>
      <c r="G206">
        <v>57</v>
      </c>
      <c r="H206">
        <v>56</v>
      </c>
      <c r="I206">
        <v>56</v>
      </c>
      <c r="J206">
        <v>57</v>
      </c>
    </row>
    <row r="207" spans="2:10">
      <c r="B207" t="s">
        <v>115</v>
      </c>
      <c r="C207">
        <v>1</v>
      </c>
      <c r="D207">
        <v>1</v>
      </c>
      <c r="E207">
        <v>1</v>
      </c>
      <c r="F207">
        <v>1</v>
      </c>
      <c r="G207">
        <v>1</v>
      </c>
      <c r="H207">
        <v>2</v>
      </c>
      <c r="I207">
        <v>2</v>
      </c>
      <c r="J207">
        <v>2</v>
      </c>
    </row>
    <row r="208" spans="2:10">
      <c r="B208" t="s">
        <v>116</v>
      </c>
      <c r="C208">
        <v>0</v>
      </c>
      <c r="D208">
        <v>0</v>
      </c>
      <c r="E208">
        <v>0</v>
      </c>
      <c r="F208">
        <v>0</v>
      </c>
      <c r="G208">
        <v>0</v>
      </c>
      <c r="H208">
        <v>0</v>
      </c>
      <c r="I208">
        <v>0</v>
      </c>
      <c r="J208">
        <v>0</v>
      </c>
    </row>
    <row r="209" spans="2:10">
      <c r="B209" t="s">
        <v>117</v>
      </c>
      <c r="C209">
        <v>0</v>
      </c>
      <c r="D209">
        <v>0</v>
      </c>
      <c r="E209">
        <v>0</v>
      </c>
      <c r="F209">
        <v>0</v>
      </c>
      <c r="G209">
        <v>0</v>
      </c>
      <c r="H209">
        <v>0</v>
      </c>
      <c r="I209">
        <v>0</v>
      </c>
      <c r="J209">
        <v>0</v>
      </c>
    </row>
    <row r="210" spans="2:10">
      <c r="B210" t="s">
        <v>118</v>
      </c>
      <c r="C210">
        <v>0</v>
      </c>
      <c r="D210">
        <v>0</v>
      </c>
      <c r="E210">
        <v>0</v>
      </c>
      <c r="F210">
        <v>0</v>
      </c>
      <c r="G210">
        <v>0</v>
      </c>
      <c r="H210">
        <v>0</v>
      </c>
      <c r="I210">
        <v>0</v>
      </c>
      <c r="J210">
        <v>0</v>
      </c>
    </row>
    <row r="211" spans="2:10">
      <c r="B211" t="s">
        <v>119</v>
      </c>
      <c r="C211" t="s">
        <v>98</v>
      </c>
      <c r="D211" t="s">
        <v>98</v>
      </c>
      <c r="E211" t="s">
        <v>98</v>
      </c>
      <c r="F211" t="s">
        <v>98</v>
      </c>
      <c r="G211" t="s">
        <v>98</v>
      </c>
      <c r="H211" t="s">
        <v>98</v>
      </c>
      <c r="I211" t="s">
        <v>98</v>
      </c>
      <c r="J211" t="s">
        <v>98</v>
      </c>
    </row>
    <row r="212" spans="2:10">
      <c r="B212" t="s">
        <v>120</v>
      </c>
      <c r="C212">
        <v>0</v>
      </c>
      <c r="D212">
        <v>0</v>
      </c>
      <c r="E212">
        <v>0</v>
      </c>
      <c r="F212">
        <v>1</v>
      </c>
      <c r="G212">
        <v>1</v>
      </c>
      <c r="H212">
        <v>0</v>
      </c>
      <c r="I212">
        <v>-1</v>
      </c>
      <c r="J212">
        <v>0</v>
      </c>
    </row>
    <row r="213" spans="2:10">
      <c r="B213" t="s">
        <v>121</v>
      </c>
      <c r="C213">
        <v>0</v>
      </c>
      <c r="D213">
        <v>0</v>
      </c>
      <c r="E213">
        <v>0</v>
      </c>
      <c r="F213">
        <v>0</v>
      </c>
      <c r="G213">
        <v>0</v>
      </c>
      <c r="H213">
        <v>0</v>
      </c>
      <c r="I213">
        <v>0</v>
      </c>
      <c r="J213">
        <v>0</v>
      </c>
    </row>
    <row r="214" spans="2:10">
      <c r="B214" t="s">
        <v>122</v>
      </c>
      <c r="C214">
        <v>0</v>
      </c>
      <c r="D214">
        <v>0</v>
      </c>
      <c r="E214">
        <v>0</v>
      </c>
      <c r="F214">
        <v>0</v>
      </c>
      <c r="G214">
        <v>0</v>
      </c>
      <c r="H214">
        <v>0</v>
      </c>
      <c r="I214">
        <v>0</v>
      </c>
      <c r="J214">
        <v>0</v>
      </c>
    </row>
    <row r="215" spans="2:10">
      <c r="B215" t="s">
        <v>123</v>
      </c>
      <c r="C215">
        <v>-96</v>
      </c>
      <c r="D215">
        <v>9</v>
      </c>
      <c r="E215">
        <v>67</v>
      </c>
      <c r="F215">
        <v>-62</v>
      </c>
      <c r="G215">
        <v>-71</v>
      </c>
      <c r="H215">
        <v>-23</v>
      </c>
      <c r="I215">
        <v>7</v>
      </c>
      <c r="J215">
        <v>24</v>
      </c>
    </row>
    <row r="216" spans="2:10">
      <c r="B216" t="s">
        <v>124</v>
      </c>
      <c r="C216">
        <v>75</v>
      </c>
      <c r="D216">
        <v>-66</v>
      </c>
      <c r="E216">
        <v>13</v>
      </c>
      <c r="F216">
        <v>49</v>
      </c>
      <c r="G216">
        <v>-106</v>
      </c>
      <c r="H216">
        <v>-152</v>
      </c>
      <c r="I216">
        <v>-36</v>
      </c>
      <c r="J216">
        <v>-15</v>
      </c>
    </row>
    <row r="217" spans="2:10">
      <c r="B217" t="s">
        <v>125</v>
      </c>
      <c r="C217">
        <v>-40</v>
      </c>
      <c r="D217">
        <v>61</v>
      </c>
      <c r="E217">
        <v>-30</v>
      </c>
      <c r="F217">
        <v>-14</v>
      </c>
      <c r="G217">
        <v>-12</v>
      </c>
      <c r="H217">
        <v>153</v>
      </c>
      <c r="I217">
        <v>43</v>
      </c>
      <c r="J217">
        <v>36</v>
      </c>
    </row>
    <row r="218" spans="2:10">
      <c r="B218" t="s">
        <v>126</v>
      </c>
      <c r="C218">
        <v>28</v>
      </c>
      <c r="D218">
        <v>75</v>
      </c>
      <c r="E218">
        <v>46</v>
      </c>
      <c r="F218">
        <v>89</v>
      </c>
      <c r="G218">
        <v>71</v>
      </c>
      <c r="H218">
        <v>-14</v>
      </c>
      <c r="I218">
        <v>-26</v>
      </c>
      <c r="J218">
        <v>18</v>
      </c>
    </row>
    <row r="219" spans="2:10">
      <c r="B219" t="s">
        <v>19</v>
      </c>
      <c r="C219">
        <v>299</v>
      </c>
      <c r="D219">
        <v>402</v>
      </c>
      <c r="E219">
        <v>325</v>
      </c>
      <c r="F219">
        <v>356</v>
      </c>
      <c r="G219">
        <v>98</v>
      </c>
      <c r="H219">
        <v>65</v>
      </c>
      <c r="I219">
        <v>32</v>
      </c>
      <c r="J219">
        <v>102</v>
      </c>
    </row>
    <row r="220" spans="2:10">
      <c r="B220" t="s">
        <v>127</v>
      </c>
      <c r="C220">
        <v>0</v>
      </c>
      <c r="D220">
        <v>0</v>
      </c>
      <c r="E220">
        <v>0</v>
      </c>
      <c r="F220">
        <v>0</v>
      </c>
      <c r="G220">
        <v>0</v>
      </c>
      <c r="H220">
        <v>0</v>
      </c>
      <c r="I220">
        <v>0</v>
      </c>
      <c r="J220">
        <v>0</v>
      </c>
    </row>
    <row r="221" spans="2:10">
      <c r="B221" t="s">
        <v>128</v>
      </c>
      <c r="C221">
        <v>0</v>
      </c>
      <c r="D221">
        <v>0</v>
      </c>
      <c r="E221">
        <v>0</v>
      </c>
      <c r="F221">
        <v>0</v>
      </c>
      <c r="G221">
        <v>0</v>
      </c>
      <c r="H221">
        <v>0</v>
      </c>
      <c r="I221">
        <v>0</v>
      </c>
      <c r="J221">
        <v>0</v>
      </c>
    </row>
    <row r="222" spans="2:10">
      <c r="B222" t="s">
        <v>21</v>
      </c>
      <c r="C222">
        <v>0</v>
      </c>
      <c r="D222">
        <v>0</v>
      </c>
      <c r="E222">
        <v>0</v>
      </c>
      <c r="F222">
        <v>0</v>
      </c>
      <c r="G222">
        <v>0</v>
      </c>
      <c r="H222">
        <v>0</v>
      </c>
      <c r="I222">
        <v>0</v>
      </c>
      <c r="J222">
        <v>0</v>
      </c>
    </row>
    <row r="223" spans="2:10">
      <c r="B223" t="s">
        <v>129</v>
      </c>
      <c r="C223">
        <v>0</v>
      </c>
      <c r="D223">
        <v>0</v>
      </c>
      <c r="E223">
        <v>0</v>
      </c>
      <c r="F223">
        <v>0</v>
      </c>
      <c r="G223">
        <v>0</v>
      </c>
      <c r="H223">
        <v>0</v>
      </c>
      <c r="I223">
        <v>4</v>
      </c>
      <c r="J223">
        <v>0</v>
      </c>
    </row>
    <row r="224" spans="2:10">
      <c r="B224" t="s">
        <v>20</v>
      </c>
      <c r="C224">
        <v>-115</v>
      </c>
      <c r="D224">
        <v>-78</v>
      </c>
      <c r="E224">
        <v>-157</v>
      </c>
      <c r="F224">
        <v>-167</v>
      </c>
      <c r="G224">
        <v>-81</v>
      </c>
      <c r="H224">
        <v>-68</v>
      </c>
      <c r="I224">
        <v>-3</v>
      </c>
      <c r="J224">
        <v>-10</v>
      </c>
    </row>
    <row r="225" spans="2:10">
      <c r="B225" t="s">
        <v>130</v>
      </c>
      <c r="C225">
        <v>1</v>
      </c>
      <c r="D225">
        <v>-7</v>
      </c>
      <c r="E225">
        <v>-1</v>
      </c>
      <c r="F225">
        <v>-5</v>
      </c>
      <c r="G225">
        <v>-8</v>
      </c>
      <c r="H225">
        <v>0</v>
      </c>
      <c r="I225">
        <v>-2</v>
      </c>
      <c r="J225">
        <v>1</v>
      </c>
    </row>
    <row r="226" spans="2:10">
      <c r="B226" t="s">
        <v>131</v>
      </c>
      <c r="C226">
        <v>-114</v>
      </c>
      <c r="D226">
        <v>-84</v>
      </c>
      <c r="E226">
        <v>-158</v>
      </c>
      <c r="F226">
        <v>-171</v>
      </c>
      <c r="G226">
        <v>-89</v>
      </c>
      <c r="H226">
        <v>-67</v>
      </c>
      <c r="I226">
        <v>0</v>
      </c>
      <c r="J226">
        <v>-9</v>
      </c>
    </row>
    <row r="227" spans="2:10">
      <c r="B227" t="s">
        <v>132</v>
      </c>
      <c r="C227">
        <v>0</v>
      </c>
      <c r="D227">
        <v>0</v>
      </c>
      <c r="E227">
        <v>0</v>
      </c>
      <c r="F227">
        <v>0</v>
      </c>
      <c r="G227">
        <v>0</v>
      </c>
      <c r="H227">
        <v>0</v>
      </c>
      <c r="I227">
        <v>0</v>
      </c>
      <c r="J227">
        <v>0</v>
      </c>
    </row>
    <row r="228" spans="2:10">
      <c r="B228" t="s">
        <v>133</v>
      </c>
      <c r="C228">
        <v>-274</v>
      </c>
      <c r="D228">
        <v>0</v>
      </c>
      <c r="E228">
        <v>0</v>
      </c>
      <c r="F228">
        <v>0</v>
      </c>
      <c r="G228">
        <v>0</v>
      </c>
      <c r="H228">
        <v>0</v>
      </c>
      <c r="I228">
        <v>0</v>
      </c>
      <c r="J228">
        <v>0</v>
      </c>
    </row>
    <row r="229" spans="2:10">
      <c r="B229" t="s">
        <v>134</v>
      </c>
      <c r="C229">
        <v>0</v>
      </c>
      <c r="D229">
        <v>0</v>
      </c>
      <c r="E229">
        <v>0</v>
      </c>
      <c r="F229">
        <v>0</v>
      </c>
      <c r="G229">
        <v>0</v>
      </c>
      <c r="H229">
        <v>0</v>
      </c>
      <c r="I229">
        <v>0</v>
      </c>
      <c r="J229">
        <v>0</v>
      </c>
    </row>
    <row r="230" spans="2:10">
      <c r="B230" t="s">
        <v>135</v>
      </c>
      <c r="C230">
        <v>0</v>
      </c>
      <c r="D230">
        <v>-10</v>
      </c>
      <c r="E230">
        <v>-20</v>
      </c>
      <c r="F230">
        <v>0</v>
      </c>
      <c r="G230">
        <v>10</v>
      </c>
      <c r="H230">
        <v>0</v>
      </c>
      <c r="I230">
        <v>0</v>
      </c>
      <c r="J230">
        <v>0</v>
      </c>
    </row>
    <row r="231" spans="2:10">
      <c r="B231" t="s">
        <v>136</v>
      </c>
      <c r="C231">
        <v>-15</v>
      </c>
      <c r="D231">
        <v>-25</v>
      </c>
      <c r="E231">
        <v>-10</v>
      </c>
      <c r="F231">
        <v>-35</v>
      </c>
      <c r="G231">
        <v>-27</v>
      </c>
      <c r="H231">
        <v>25</v>
      </c>
      <c r="I231">
        <v>-10</v>
      </c>
      <c r="J231">
        <v>-30</v>
      </c>
    </row>
    <row r="232" spans="2:10">
      <c r="B232" t="s">
        <v>137</v>
      </c>
      <c r="C232">
        <v>0</v>
      </c>
      <c r="D232">
        <v>0</v>
      </c>
      <c r="E232">
        <v>0</v>
      </c>
      <c r="F232">
        <v>0</v>
      </c>
      <c r="G232">
        <v>0</v>
      </c>
      <c r="H232">
        <v>0</v>
      </c>
      <c r="I232">
        <v>0</v>
      </c>
      <c r="J232">
        <v>0</v>
      </c>
    </row>
    <row r="233" spans="2:10">
      <c r="B233" t="s">
        <v>138</v>
      </c>
      <c r="C233">
        <v>0</v>
      </c>
      <c r="D233">
        <v>0</v>
      </c>
      <c r="E233">
        <v>0</v>
      </c>
      <c r="F233">
        <v>0</v>
      </c>
      <c r="G233">
        <v>0</v>
      </c>
      <c r="H233">
        <v>0</v>
      </c>
      <c r="I233">
        <v>0</v>
      </c>
      <c r="J233">
        <v>0</v>
      </c>
    </row>
    <row r="234" spans="2:10">
      <c r="B234" t="s">
        <v>139</v>
      </c>
      <c r="C234">
        <v>0</v>
      </c>
      <c r="D234">
        <v>0</v>
      </c>
      <c r="E234">
        <v>0</v>
      </c>
      <c r="F234">
        <v>0</v>
      </c>
      <c r="G234">
        <v>0</v>
      </c>
      <c r="H234">
        <v>0</v>
      </c>
      <c r="I234">
        <v>0</v>
      </c>
      <c r="J234">
        <v>0</v>
      </c>
    </row>
    <row r="235" spans="2:10">
      <c r="B235" t="s">
        <v>140</v>
      </c>
      <c r="C235">
        <v>0</v>
      </c>
      <c r="D235">
        <v>0</v>
      </c>
      <c r="E235">
        <v>-2</v>
      </c>
      <c r="F235">
        <v>0</v>
      </c>
      <c r="G235">
        <v>0</v>
      </c>
      <c r="H235">
        <v>-2</v>
      </c>
      <c r="I235">
        <v>-2</v>
      </c>
      <c r="J235">
        <v>0</v>
      </c>
    </row>
    <row r="236" spans="2:10">
      <c r="B236" t="s">
        <v>141</v>
      </c>
      <c r="C236">
        <v>-278</v>
      </c>
      <c r="D236">
        <v>89</v>
      </c>
      <c r="E236">
        <v>-28</v>
      </c>
      <c r="F236">
        <v>-5</v>
      </c>
      <c r="G236">
        <v>-13</v>
      </c>
      <c r="H236">
        <v>25</v>
      </c>
      <c r="I236">
        <v>-12</v>
      </c>
      <c r="J236">
        <v>-30</v>
      </c>
    </row>
    <row r="237" spans="2:10">
      <c r="B237" t="s">
        <v>142</v>
      </c>
      <c r="C237">
        <v>0</v>
      </c>
      <c r="D237">
        <v>0</v>
      </c>
      <c r="E237">
        <v>0</v>
      </c>
      <c r="F237">
        <v>0</v>
      </c>
      <c r="G237">
        <v>0</v>
      </c>
      <c r="H237">
        <v>-4</v>
      </c>
      <c r="I237">
        <v>4</v>
      </c>
      <c r="J237">
        <v>2</v>
      </c>
    </row>
    <row r="238" spans="2:10">
      <c r="B238" t="s">
        <v>143</v>
      </c>
      <c r="C238">
        <v>-93</v>
      </c>
      <c r="D238">
        <v>407</v>
      </c>
      <c r="E238">
        <v>139</v>
      </c>
      <c r="F238">
        <v>179</v>
      </c>
      <c r="G238">
        <v>-4</v>
      </c>
      <c r="H238">
        <v>19</v>
      </c>
      <c r="I238">
        <v>23</v>
      </c>
      <c r="J238">
        <v>64</v>
      </c>
    </row>
    <row r="239" spans="2:10">
      <c r="B239" t="s">
        <v>144</v>
      </c>
      <c r="C239" s="46">
        <v>1405</v>
      </c>
      <c r="D239">
        <v>998</v>
      </c>
      <c r="E239">
        <v>859</v>
      </c>
      <c r="F239">
        <v>680</v>
      </c>
      <c r="G239">
        <v>684</v>
      </c>
      <c r="H239">
        <v>665</v>
      </c>
      <c r="I239">
        <v>642</v>
      </c>
      <c r="J239">
        <v>578</v>
      </c>
    </row>
    <row r="240" spans="2:10">
      <c r="B240" t="s">
        <v>145</v>
      </c>
      <c r="C240" s="46">
        <v>1313</v>
      </c>
      <c r="D240" s="46">
        <v>1405</v>
      </c>
      <c r="E240">
        <v>998</v>
      </c>
      <c r="F240">
        <v>859</v>
      </c>
      <c r="G240">
        <v>680</v>
      </c>
      <c r="H240">
        <v>684</v>
      </c>
      <c r="I240">
        <v>665</v>
      </c>
      <c r="J240">
        <v>642</v>
      </c>
    </row>
    <row r="241" spans="2:10">
      <c r="B241" t="s">
        <v>146</v>
      </c>
      <c r="C241">
        <v>0</v>
      </c>
      <c r="D241">
        <v>0</v>
      </c>
      <c r="E241">
        <v>0</v>
      </c>
      <c r="F241">
        <v>0</v>
      </c>
      <c r="G241">
        <v>1</v>
      </c>
      <c r="H241">
        <v>1</v>
      </c>
      <c r="I241">
        <v>1</v>
      </c>
      <c r="J241">
        <v>1</v>
      </c>
    </row>
    <row r="242" spans="2:10">
      <c r="B242" t="s">
        <v>147</v>
      </c>
      <c r="C242" t="s">
        <v>98</v>
      </c>
      <c r="D242" t="s">
        <v>98</v>
      </c>
      <c r="E242" t="s">
        <v>98</v>
      </c>
      <c r="F242" t="s">
        <v>98</v>
      </c>
      <c r="G242" t="s">
        <v>98</v>
      </c>
      <c r="H242" t="s">
        <v>98</v>
      </c>
      <c r="I242" t="s">
        <v>98</v>
      </c>
      <c r="J242" t="s">
        <v>98</v>
      </c>
    </row>
    <row r="243" spans="2:10">
      <c r="B243" t="s">
        <v>148</v>
      </c>
    </row>
    <row r="244" spans="2:10">
      <c r="B244" t="s">
        <v>149</v>
      </c>
    </row>
    <row r="245" spans="2:10">
      <c r="B245" t="s">
        <v>110</v>
      </c>
    </row>
    <row r="246" spans="2:10">
      <c r="B246" t="s">
        <v>111</v>
      </c>
    </row>
  </sheetData>
  <sheetProtection sheet="1" objects="1" scenarios="1"/>
  <phoneticPr fontId="2" type="noConversion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>
  <sheetPr codeName="sheet8"/>
  <dimension ref="B2:J246"/>
  <sheetViews>
    <sheetView workbookViewId="0">
      <selection sqref="A1:XFD1000"/>
    </sheetView>
  </sheetViews>
  <sheetFormatPr defaultRowHeight="16.5"/>
  <cols>
    <col min="2" max="2" width="80.875" bestFit="1" customWidth="1"/>
    <col min="3" max="10" width="7.625" customWidth="1"/>
  </cols>
  <sheetData>
    <row r="2" spans="2:10">
      <c r="B2" t="s">
        <v>1950</v>
      </c>
    </row>
    <row r="3" spans="2:10">
      <c r="B3" t="s">
        <v>47</v>
      </c>
    </row>
    <row r="4" spans="2:10">
      <c r="B4" t="s">
        <v>48</v>
      </c>
      <c r="C4" t="s">
        <v>1933</v>
      </c>
      <c r="D4" t="s">
        <v>226</v>
      </c>
      <c r="E4" t="s">
        <v>49</v>
      </c>
      <c r="F4" t="s">
        <v>50</v>
      </c>
      <c r="G4" t="s">
        <v>51</v>
      </c>
      <c r="H4" t="s">
        <v>52</v>
      </c>
      <c r="I4" t="s">
        <v>53</v>
      </c>
      <c r="J4" t="s">
        <v>54</v>
      </c>
    </row>
    <row r="5" spans="2:10">
      <c r="B5" t="s">
        <v>10</v>
      </c>
      <c r="C5" s="46">
        <v>2913</v>
      </c>
      <c r="D5" s="46">
        <v>3099</v>
      </c>
      <c r="E5" s="46">
        <v>2807</v>
      </c>
      <c r="F5" s="46">
        <v>2713</v>
      </c>
      <c r="G5" s="46">
        <v>3069</v>
      </c>
      <c r="H5" s="46">
        <v>2461</v>
      </c>
      <c r="I5" s="46">
        <v>1667</v>
      </c>
      <c r="J5" s="46">
        <v>1926</v>
      </c>
    </row>
    <row r="6" spans="2:10">
      <c r="B6" t="s">
        <v>11</v>
      </c>
      <c r="C6" s="46">
        <v>1735</v>
      </c>
      <c r="D6" s="46">
        <v>1898</v>
      </c>
      <c r="E6" s="46">
        <v>1744</v>
      </c>
      <c r="F6" s="46">
        <v>1702</v>
      </c>
      <c r="G6" s="46">
        <v>1932</v>
      </c>
      <c r="H6" s="46">
        <v>1599</v>
      </c>
      <c r="I6" s="46">
        <v>1167</v>
      </c>
      <c r="J6" s="46">
        <v>1414</v>
      </c>
    </row>
    <row r="7" spans="2:10">
      <c r="B7" t="s">
        <v>55</v>
      </c>
      <c r="C7" s="46">
        <v>1178</v>
      </c>
      <c r="D7" s="46">
        <v>1201</v>
      </c>
      <c r="E7" s="46">
        <v>1063</v>
      </c>
      <c r="F7" s="46">
        <v>1011</v>
      </c>
      <c r="G7" s="46">
        <v>1137</v>
      </c>
      <c r="H7">
        <v>862</v>
      </c>
      <c r="I7">
        <v>500</v>
      </c>
      <c r="J7">
        <v>513</v>
      </c>
    </row>
    <row r="8" spans="2:10">
      <c r="B8" t="s">
        <v>56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</row>
    <row r="9" spans="2:10">
      <c r="B9" t="s">
        <v>57</v>
      </c>
      <c r="C9" s="46">
        <v>1178</v>
      </c>
      <c r="D9" s="46">
        <v>1201</v>
      </c>
      <c r="E9" s="46">
        <v>1063</v>
      </c>
      <c r="F9" s="46">
        <v>1011</v>
      </c>
      <c r="G9" s="46">
        <v>1137</v>
      </c>
      <c r="H9">
        <v>862</v>
      </c>
      <c r="I9">
        <v>500</v>
      </c>
      <c r="J9">
        <v>513</v>
      </c>
    </row>
    <row r="10" spans="2:10">
      <c r="B10" t="s">
        <v>58</v>
      </c>
      <c r="C10">
        <v>350</v>
      </c>
      <c r="D10">
        <v>300</v>
      </c>
      <c r="E10">
        <v>288</v>
      </c>
      <c r="F10">
        <v>334</v>
      </c>
      <c r="G10">
        <v>271</v>
      </c>
      <c r="H10">
        <v>293</v>
      </c>
      <c r="I10">
        <v>297</v>
      </c>
      <c r="J10">
        <v>268</v>
      </c>
    </row>
    <row r="11" spans="2:10">
      <c r="B11" t="s">
        <v>59</v>
      </c>
      <c r="C11">
        <v>33</v>
      </c>
      <c r="D11">
        <v>34</v>
      </c>
      <c r="E11">
        <v>34</v>
      </c>
      <c r="F11">
        <v>34</v>
      </c>
      <c r="G11">
        <v>38</v>
      </c>
      <c r="H11">
        <v>29</v>
      </c>
      <c r="I11">
        <v>34</v>
      </c>
      <c r="J11">
        <v>31</v>
      </c>
    </row>
    <row r="12" spans="2:10">
      <c r="B12" t="s">
        <v>60</v>
      </c>
      <c r="C12">
        <v>163</v>
      </c>
      <c r="D12">
        <v>126</v>
      </c>
      <c r="E12">
        <v>128</v>
      </c>
      <c r="F12">
        <v>164</v>
      </c>
      <c r="G12">
        <v>133</v>
      </c>
      <c r="H12">
        <v>106</v>
      </c>
      <c r="I12">
        <v>94</v>
      </c>
      <c r="J12">
        <v>120</v>
      </c>
    </row>
    <row r="13" spans="2:10">
      <c r="B13" t="s">
        <v>61</v>
      </c>
      <c r="C13">
        <v>154</v>
      </c>
      <c r="D13">
        <v>140</v>
      </c>
      <c r="E13">
        <v>127</v>
      </c>
      <c r="F13">
        <v>136</v>
      </c>
      <c r="G13">
        <v>100</v>
      </c>
      <c r="H13">
        <v>157</v>
      </c>
      <c r="I13">
        <v>169</v>
      </c>
      <c r="J13">
        <v>117</v>
      </c>
    </row>
    <row r="14" spans="2:10">
      <c r="B14" t="s">
        <v>62</v>
      </c>
      <c r="C14">
        <v>827</v>
      </c>
      <c r="D14">
        <v>902</v>
      </c>
      <c r="E14">
        <v>774</v>
      </c>
      <c r="F14">
        <v>677</v>
      </c>
      <c r="G14">
        <v>865</v>
      </c>
      <c r="H14">
        <v>569</v>
      </c>
      <c r="I14">
        <v>204</v>
      </c>
      <c r="J14">
        <v>244</v>
      </c>
    </row>
    <row r="15" spans="2:10">
      <c r="B15" t="s">
        <v>63</v>
      </c>
      <c r="C15" t="s">
        <v>98</v>
      </c>
      <c r="D15">
        <v>7</v>
      </c>
      <c r="E15">
        <v>7</v>
      </c>
      <c r="F15">
        <v>5</v>
      </c>
      <c r="G15">
        <v>5</v>
      </c>
      <c r="H15">
        <v>4</v>
      </c>
      <c r="I15">
        <v>3</v>
      </c>
      <c r="J15">
        <v>5</v>
      </c>
    </row>
    <row r="16" spans="2:10">
      <c r="B16" t="s">
        <v>64</v>
      </c>
      <c r="C16">
        <v>-2</v>
      </c>
      <c r="D16">
        <v>1</v>
      </c>
      <c r="E16">
        <v>1</v>
      </c>
      <c r="F16">
        <v>1</v>
      </c>
      <c r="G16">
        <v>44</v>
      </c>
      <c r="H16">
        <v>1</v>
      </c>
      <c r="I16">
        <v>1</v>
      </c>
      <c r="J16">
        <v>1</v>
      </c>
    </row>
    <row r="17" spans="2:10">
      <c r="B17" t="s">
        <v>65</v>
      </c>
      <c r="C17" t="s">
        <v>98</v>
      </c>
      <c r="D17">
        <v>0</v>
      </c>
      <c r="E17">
        <v>1</v>
      </c>
      <c r="F17">
        <v>0</v>
      </c>
      <c r="G17">
        <v>0</v>
      </c>
      <c r="H17">
        <v>0</v>
      </c>
      <c r="I17">
        <v>0</v>
      </c>
      <c r="J17">
        <v>0</v>
      </c>
    </row>
    <row r="18" spans="2:10">
      <c r="B18" t="s">
        <v>66</v>
      </c>
      <c r="C18" t="s">
        <v>98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</row>
    <row r="19" spans="2:10">
      <c r="B19" t="s">
        <v>67</v>
      </c>
      <c r="C19" t="s">
        <v>98</v>
      </c>
      <c r="D19">
        <v>-2</v>
      </c>
      <c r="E19">
        <v>2</v>
      </c>
      <c r="F19">
        <v>28</v>
      </c>
      <c r="G19">
        <v>-30</v>
      </c>
      <c r="H19">
        <v>12</v>
      </c>
      <c r="I19">
        <v>121</v>
      </c>
      <c r="J19">
        <v>17</v>
      </c>
    </row>
    <row r="20" spans="2:10">
      <c r="B20" t="s">
        <v>68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</row>
    <row r="21" spans="2:10">
      <c r="B21" t="s">
        <v>69</v>
      </c>
      <c r="C21" t="s">
        <v>98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</row>
    <row r="22" spans="2:10">
      <c r="B22" t="s">
        <v>70</v>
      </c>
      <c r="C22" t="s">
        <v>98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</row>
    <row r="23" spans="2:10">
      <c r="B23" t="s">
        <v>71</v>
      </c>
      <c r="C23" t="s">
        <v>98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</row>
    <row r="24" spans="2:10">
      <c r="B24" t="s">
        <v>72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</row>
    <row r="25" spans="2:10">
      <c r="B25" t="s">
        <v>73</v>
      </c>
      <c r="C25" t="s">
        <v>98</v>
      </c>
      <c r="D25">
        <v>0</v>
      </c>
      <c r="E25">
        <v>0</v>
      </c>
      <c r="F25">
        <v>46</v>
      </c>
      <c r="G25">
        <v>21</v>
      </c>
      <c r="H25">
        <v>-4</v>
      </c>
      <c r="I25">
        <v>6</v>
      </c>
      <c r="J25">
        <v>6</v>
      </c>
    </row>
    <row r="26" spans="2:10">
      <c r="B26" t="s">
        <v>74</v>
      </c>
      <c r="C26" t="s">
        <v>98</v>
      </c>
      <c r="D26">
        <v>11</v>
      </c>
      <c r="E26">
        <v>8</v>
      </c>
      <c r="F26">
        <v>8</v>
      </c>
      <c r="G26">
        <v>8</v>
      </c>
      <c r="H26">
        <v>8</v>
      </c>
      <c r="I26">
        <v>8</v>
      </c>
      <c r="J26">
        <v>8</v>
      </c>
    </row>
    <row r="27" spans="2:10">
      <c r="B27" t="s">
        <v>75</v>
      </c>
      <c r="C27" t="s">
        <v>98</v>
      </c>
      <c r="D27">
        <v>17</v>
      </c>
      <c r="E27">
        <v>19</v>
      </c>
      <c r="F27">
        <v>87</v>
      </c>
      <c r="G27">
        <v>48</v>
      </c>
      <c r="H27">
        <v>20</v>
      </c>
      <c r="I27">
        <v>139</v>
      </c>
      <c r="J27">
        <v>38</v>
      </c>
    </row>
    <row r="28" spans="2:10">
      <c r="B28" t="s">
        <v>76</v>
      </c>
      <c r="C28" t="s">
        <v>98</v>
      </c>
      <c r="D28">
        <v>5</v>
      </c>
      <c r="E28">
        <v>7</v>
      </c>
      <c r="F28">
        <v>10</v>
      </c>
      <c r="G28">
        <v>12</v>
      </c>
      <c r="H28">
        <v>12</v>
      </c>
      <c r="I28">
        <v>14</v>
      </c>
      <c r="J28">
        <v>13</v>
      </c>
    </row>
    <row r="29" spans="2:10">
      <c r="B29" t="s">
        <v>77</v>
      </c>
      <c r="C29" t="s">
        <v>98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</row>
    <row r="30" spans="2:10">
      <c r="B30" t="s">
        <v>78</v>
      </c>
      <c r="C30">
        <v>11</v>
      </c>
      <c r="D30">
        <v>19</v>
      </c>
      <c r="E30">
        <v>14</v>
      </c>
      <c r="F30">
        <v>-11</v>
      </c>
      <c r="G30">
        <v>14</v>
      </c>
      <c r="H30">
        <v>-4</v>
      </c>
      <c r="I30">
        <v>6</v>
      </c>
      <c r="J30">
        <v>83</v>
      </c>
    </row>
    <row r="31" spans="2:10">
      <c r="B31" t="s">
        <v>79</v>
      </c>
      <c r="C31" t="s">
        <v>98</v>
      </c>
      <c r="D31">
        <v>0</v>
      </c>
      <c r="E31">
        <v>0</v>
      </c>
      <c r="F31">
        <v>20</v>
      </c>
      <c r="G31">
        <v>-9</v>
      </c>
      <c r="H31">
        <v>-1</v>
      </c>
      <c r="I31">
        <v>55</v>
      </c>
      <c r="J31">
        <v>21</v>
      </c>
    </row>
    <row r="32" spans="2:10">
      <c r="B32" t="s">
        <v>80</v>
      </c>
      <c r="C32" t="s">
        <v>98</v>
      </c>
      <c r="D32">
        <v>0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</row>
    <row r="33" spans="2:10">
      <c r="B33" t="s">
        <v>81</v>
      </c>
      <c r="C33" t="s">
        <v>98</v>
      </c>
      <c r="D33">
        <v>2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</row>
    <row r="34" spans="2:10">
      <c r="B34" t="s">
        <v>82</v>
      </c>
      <c r="C34">
        <v>0</v>
      </c>
      <c r="D34">
        <v>0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</row>
    <row r="35" spans="2:10">
      <c r="B35" t="s">
        <v>83</v>
      </c>
      <c r="C35" t="s">
        <v>98</v>
      </c>
      <c r="D35">
        <v>0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</row>
    <row r="36" spans="2:10">
      <c r="B36" t="s">
        <v>84</v>
      </c>
      <c r="C36" t="s">
        <v>98</v>
      </c>
      <c r="D36">
        <v>0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</row>
    <row r="37" spans="2:10">
      <c r="B37" t="s">
        <v>85</v>
      </c>
      <c r="C37" t="s">
        <v>98</v>
      </c>
      <c r="D37">
        <v>0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</row>
    <row r="38" spans="2:10">
      <c r="B38" t="s">
        <v>86</v>
      </c>
      <c r="C38" t="s">
        <v>98</v>
      </c>
      <c r="D38">
        <v>30</v>
      </c>
      <c r="E38">
        <v>22</v>
      </c>
      <c r="F38">
        <v>0</v>
      </c>
      <c r="G38">
        <v>0</v>
      </c>
      <c r="H38">
        <v>0</v>
      </c>
      <c r="I38">
        <v>0</v>
      </c>
      <c r="J38">
        <v>0</v>
      </c>
    </row>
    <row r="39" spans="2:10">
      <c r="B39" t="s">
        <v>87</v>
      </c>
      <c r="C39">
        <v>0</v>
      </c>
      <c r="D39">
        <v>0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</row>
    <row r="40" spans="2:10">
      <c r="B40" t="s">
        <v>88</v>
      </c>
      <c r="C40" t="s">
        <v>98</v>
      </c>
      <c r="D40">
        <v>20</v>
      </c>
      <c r="E40">
        <v>9</v>
      </c>
      <c r="F40">
        <v>30</v>
      </c>
      <c r="G40">
        <v>7</v>
      </c>
      <c r="H40">
        <v>7</v>
      </c>
      <c r="I40">
        <v>18</v>
      </c>
      <c r="J40">
        <v>58</v>
      </c>
    </row>
    <row r="41" spans="2:10">
      <c r="B41" t="s">
        <v>89</v>
      </c>
      <c r="C41" t="s">
        <v>98</v>
      </c>
      <c r="D41">
        <v>76</v>
      </c>
      <c r="E41">
        <v>52</v>
      </c>
      <c r="F41">
        <v>49</v>
      </c>
      <c r="G41">
        <v>24</v>
      </c>
      <c r="H41">
        <v>14</v>
      </c>
      <c r="I41">
        <v>92</v>
      </c>
      <c r="J41">
        <v>175</v>
      </c>
    </row>
    <row r="42" spans="2:10">
      <c r="B42" t="s">
        <v>90</v>
      </c>
      <c r="C42">
        <v>964</v>
      </c>
      <c r="D42">
        <v>843</v>
      </c>
      <c r="E42">
        <v>742</v>
      </c>
      <c r="F42">
        <v>715</v>
      </c>
      <c r="G42">
        <v>889</v>
      </c>
      <c r="H42">
        <v>575</v>
      </c>
      <c r="I42">
        <v>250</v>
      </c>
      <c r="J42">
        <v>107</v>
      </c>
    </row>
    <row r="43" spans="2:10">
      <c r="B43" t="s">
        <v>91</v>
      </c>
      <c r="C43">
        <v>159</v>
      </c>
      <c r="D43">
        <v>306</v>
      </c>
      <c r="E43">
        <v>124</v>
      </c>
      <c r="F43">
        <v>157</v>
      </c>
      <c r="G43">
        <v>136</v>
      </c>
      <c r="H43">
        <v>135</v>
      </c>
      <c r="I43">
        <v>37</v>
      </c>
      <c r="J43">
        <v>-19</v>
      </c>
    </row>
    <row r="44" spans="2:10">
      <c r="B44" t="s">
        <v>92</v>
      </c>
      <c r="C44">
        <v>805</v>
      </c>
      <c r="D44">
        <v>537</v>
      </c>
      <c r="E44">
        <v>618</v>
      </c>
      <c r="F44">
        <v>557</v>
      </c>
      <c r="G44">
        <v>753</v>
      </c>
      <c r="H44">
        <v>440</v>
      </c>
      <c r="I44">
        <v>213</v>
      </c>
      <c r="J44">
        <v>126</v>
      </c>
    </row>
    <row r="45" spans="2:10">
      <c r="B45" t="s">
        <v>93</v>
      </c>
      <c r="C45">
        <v>0</v>
      </c>
      <c r="D45">
        <v>0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</row>
    <row r="46" spans="2:10">
      <c r="B46" t="s">
        <v>94</v>
      </c>
      <c r="C46">
        <v>0</v>
      </c>
      <c r="D46">
        <v>0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</row>
    <row r="47" spans="2:10">
      <c r="B47" t="s">
        <v>95</v>
      </c>
      <c r="C47">
        <v>0</v>
      </c>
      <c r="D47">
        <v>0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</row>
    <row r="48" spans="2:10">
      <c r="B48" t="s">
        <v>96</v>
      </c>
      <c r="C48">
        <v>805</v>
      </c>
      <c r="D48">
        <v>537</v>
      </c>
      <c r="E48">
        <v>618</v>
      </c>
      <c r="F48">
        <v>557</v>
      </c>
      <c r="G48">
        <v>753</v>
      </c>
      <c r="H48">
        <v>440</v>
      </c>
      <c r="I48">
        <v>213</v>
      </c>
      <c r="J48">
        <v>126</v>
      </c>
    </row>
    <row r="49" spans="2:10">
      <c r="B49" t="s">
        <v>97</v>
      </c>
      <c r="C49" t="s">
        <v>98</v>
      </c>
      <c r="D49" t="s">
        <v>98</v>
      </c>
      <c r="E49" t="s">
        <v>98</v>
      </c>
      <c r="F49" t="s">
        <v>98</v>
      </c>
      <c r="G49" t="s">
        <v>98</v>
      </c>
      <c r="H49" t="s">
        <v>98</v>
      </c>
      <c r="I49" t="s">
        <v>98</v>
      </c>
      <c r="J49" t="s">
        <v>98</v>
      </c>
    </row>
    <row r="50" spans="2:10">
      <c r="B50" t="s">
        <v>99</v>
      </c>
      <c r="C50">
        <v>0</v>
      </c>
      <c r="D50">
        <v>0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</row>
    <row r="51" spans="2:10">
      <c r="B51" t="s">
        <v>100</v>
      </c>
      <c r="C51">
        <v>0</v>
      </c>
      <c r="D51">
        <v>0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</row>
    <row r="52" spans="2:10">
      <c r="B52" t="s">
        <v>13</v>
      </c>
      <c r="C52">
        <v>805</v>
      </c>
      <c r="D52">
        <v>537</v>
      </c>
      <c r="E52">
        <v>618</v>
      </c>
      <c r="F52">
        <v>557</v>
      </c>
      <c r="G52">
        <v>753</v>
      </c>
      <c r="H52">
        <v>440</v>
      </c>
      <c r="I52">
        <v>213</v>
      </c>
      <c r="J52">
        <v>126</v>
      </c>
    </row>
    <row r="53" spans="2:10">
      <c r="B53" t="s">
        <v>14</v>
      </c>
      <c r="C53">
        <v>1.32</v>
      </c>
      <c r="D53">
        <v>0.72</v>
      </c>
      <c r="E53">
        <v>0.83</v>
      </c>
      <c r="F53">
        <v>0.75</v>
      </c>
      <c r="G53">
        <v>1.02</v>
      </c>
      <c r="H53">
        <v>0.59</v>
      </c>
      <c r="I53">
        <v>0.28999999999999998</v>
      </c>
      <c r="J53">
        <v>0.17</v>
      </c>
    </row>
    <row r="54" spans="2:10">
      <c r="B54" t="s">
        <v>101</v>
      </c>
      <c r="C54">
        <v>1.31</v>
      </c>
      <c r="D54">
        <v>0.72</v>
      </c>
      <c r="E54">
        <v>0.83</v>
      </c>
      <c r="F54" t="s">
        <v>98</v>
      </c>
      <c r="G54">
        <v>1.01</v>
      </c>
      <c r="H54">
        <v>0.59</v>
      </c>
      <c r="I54">
        <v>0.28999999999999998</v>
      </c>
      <c r="J54" t="s">
        <v>98</v>
      </c>
    </row>
    <row r="55" spans="2:10">
      <c r="B55" t="s">
        <v>102</v>
      </c>
      <c r="C55" s="46">
        <v>6099</v>
      </c>
      <c r="D55" s="46">
        <v>7436</v>
      </c>
      <c r="E55" s="46">
        <v>7428</v>
      </c>
      <c r="F55" s="46">
        <v>7411</v>
      </c>
      <c r="G55" s="46">
        <v>7418</v>
      </c>
      <c r="H55" s="46">
        <v>7406</v>
      </c>
      <c r="I55" s="46">
        <v>7398</v>
      </c>
      <c r="J55" s="46">
        <v>7541</v>
      </c>
    </row>
    <row r="56" spans="2:10">
      <c r="B56" t="s">
        <v>103</v>
      </c>
      <c r="C56">
        <v>0</v>
      </c>
      <c r="D56">
        <v>0</v>
      </c>
      <c r="E56">
        <v>0</v>
      </c>
      <c r="F56">
        <v>0</v>
      </c>
      <c r="G56">
        <v>0</v>
      </c>
      <c r="H56">
        <v>0</v>
      </c>
      <c r="I56">
        <v>0</v>
      </c>
      <c r="J56">
        <v>0</v>
      </c>
    </row>
    <row r="57" spans="2:10">
      <c r="B57" t="s">
        <v>104</v>
      </c>
      <c r="C57" t="s">
        <v>98</v>
      </c>
      <c r="D57" t="s">
        <v>98</v>
      </c>
      <c r="E57" t="s">
        <v>98</v>
      </c>
      <c r="F57">
        <v>0</v>
      </c>
      <c r="G57" t="s">
        <v>98</v>
      </c>
      <c r="H57" t="s">
        <v>98</v>
      </c>
      <c r="I57" t="s">
        <v>98</v>
      </c>
      <c r="J57">
        <v>0</v>
      </c>
    </row>
    <row r="58" spans="2:10">
      <c r="B58" t="s">
        <v>105</v>
      </c>
      <c r="C58" t="s">
        <v>98</v>
      </c>
      <c r="D58">
        <v>0</v>
      </c>
      <c r="E58">
        <v>0</v>
      </c>
      <c r="F58">
        <v>0</v>
      </c>
      <c r="G58">
        <v>0</v>
      </c>
      <c r="H58">
        <v>0</v>
      </c>
      <c r="I58">
        <v>0</v>
      </c>
      <c r="J58">
        <v>0</v>
      </c>
    </row>
    <row r="59" spans="2:10">
      <c r="B59" t="s">
        <v>106</v>
      </c>
      <c r="C59" t="s">
        <v>98</v>
      </c>
      <c r="D59">
        <v>0</v>
      </c>
      <c r="E59">
        <v>0</v>
      </c>
      <c r="F59">
        <v>0</v>
      </c>
      <c r="G59">
        <v>0</v>
      </c>
      <c r="H59">
        <v>0</v>
      </c>
      <c r="I59">
        <v>0</v>
      </c>
      <c r="J59">
        <v>0</v>
      </c>
    </row>
    <row r="60" spans="2:10">
      <c r="B60" t="s">
        <v>107</v>
      </c>
      <c r="C60" t="s">
        <v>98</v>
      </c>
      <c r="D60">
        <v>848</v>
      </c>
      <c r="E60">
        <v>749</v>
      </c>
      <c r="F60">
        <v>725</v>
      </c>
      <c r="G60">
        <v>901</v>
      </c>
      <c r="H60">
        <v>588</v>
      </c>
      <c r="I60">
        <v>264</v>
      </c>
      <c r="J60">
        <v>120</v>
      </c>
    </row>
    <row r="61" spans="2:10">
      <c r="B61" t="s">
        <v>108</v>
      </c>
      <c r="C61" t="s">
        <v>98</v>
      </c>
      <c r="D61" s="46">
        <v>1322</v>
      </c>
      <c r="E61" s="46">
        <v>1222</v>
      </c>
      <c r="F61" s="46">
        <v>1197</v>
      </c>
      <c r="G61" s="46">
        <v>1373</v>
      </c>
      <c r="H61" s="46">
        <v>1057</v>
      </c>
      <c r="I61">
        <v>731</v>
      </c>
      <c r="J61">
        <v>576</v>
      </c>
    </row>
    <row r="62" spans="2:10">
      <c r="B62" t="s">
        <v>109</v>
      </c>
      <c r="C62">
        <v>805</v>
      </c>
      <c r="D62">
        <v>540</v>
      </c>
      <c r="E62">
        <v>615</v>
      </c>
      <c r="F62">
        <v>550</v>
      </c>
      <c r="G62">
        <v>775</v>
      </c>
      <c r="H62">
        <v>426</v>
      </c>
      <c r="I62">
        <v>147</v>
      </c>
      <c r="J62">
        <v>130</v>
      </c>
    </row>
    <row r="63" spans="2:10">
      <c r="B63" t="s">
        <v>110</v>
      </c>
    </row>
    <row r="64" spans="2:10">
      <c r="B64" t="s">
        <v>111</v>
      </c>
    </row>
    <row r="101" spans="2:10">
      <c r="B101" t="s">
        <v>1951</v>
      </c>
    </row>
    <row r="102" spans="2:10">
      <c r="B102" t="s">
        <v>47</v>
      </c>
    </row>
    <row r="103" spans="2:10">
      <c r="B103" t="s">
        <v>48</v>
      </c>
      <c r="C103" t="s">
        <v>1933</v>
      </c>
      <c r="D103" t="s">
        <v>226</v>
      </c>
      <c r="E103" t="s">
        <v>49</v>
      </c>
      <c r="F103" t="s">
        <v>50</v>
      </c>
      <c r="G103" t="s">
        <v>51</v>
      </c>
      <c r="H103" t="s">
        <v>52</v>
      </c>
      <c r="I103" t="s">
        <v>53</v>
      </c>
      <c r="J103" t="s">
        <v>54</v>
      </c>
    </row>
    <row r="104" spans="2:10">
      <c r="B104" t="s">
        <v>152</v>
      </c>
      <c r="C104" s="46">
        <v>1675</v>
      </c>
      <c r="D104" s="46">
        <v>3157</v>
      </c>
      <c r="E104" s="46">
        <v>2897</v>
      </c>
      <c r="F104" s="46">
        <v>2677</v>
      </c>
      <c r="G104" s="46">
        <v>1965</v>
      </c>
      <c r="H104" s="46">
        <v>1842</v>
      </c>
      <c r="I104" s="46">
        <v>1694</v>
      </c>
      <c r="J104" s="46">
        <v>1967</v>
      </c>
    </row>
    <row r="105" spans="2:10">
      <c r="B105" t="s">
        <v>153</v>
      </c>
      <c r="C105" s="46">
        <v>1657</v>
      </c>
      <c r="D105" s="46">
        <v>1920</v>
      </c>
      <c r="E105" s="46">
        <v>1600</v>
      </c>
      <c r="F105" s="46">
        <v>1999</v>
      </c>
      <c r="G105" s="46">
        <v>1872</v>
      </c>
      <c r="H105" s="46">
        <v>2845</v>
      </c>
      <c r="I105" s="46">
        <v>2440</v>
      </c>
      <c r="J105" s="46">
        <v>1747</v>
      </c>
    </row>
    <row r="106" spans="2:10">
      <c r="B106" t="s">
        <v>190</v>
      </c>
      <c r="C106">
        <v>946</v>
      </c>
      <c r="D106">
        <v>994</v>
      </c>
      <c r="E106">
        <v>936</v>
      </c>
      <c r="F106">
        <v>690</v>
      </c>
      <c r="G106" s="46">
        <v>1017</v>
      </c>
      <c r="H106">
        <v>856</v>
      </c>
      <c r="I106">
        <v>617</v>
      </c>
      <c r="J106">
        <v>650</v>
      </c>
    </row>
    <row r="107" spans="2:10">
      <c r="B107" t="s">
        <v>154</v>
      </c>
      <c r="C107">
        <v>0</v>
      </c>
      <c r="D107">
        <v>202</v>
      </c>
      <c r="E107">
        <v>277</v>
      </c>
      <c r="F107">
        <v>135</v>
      </c>
      <c r="G107">
        <v>567</v>
      </c>
      <c r="H107">
        <v>257</v>
      </c>
      <c r="I107">
        <v>187</v>
      </c>
      <c r="J107">
        <v>61</v>
      </c>
    </row>
    <row r="108" spans="2:10">
      <c r="B108" t="s">
        <v>191</v>
      </c>
      <c r="C108" t="s">
        <v>98</v>
      </c>
      <c r="D108">
        <v>0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0</v>
      </c>
    </row>
    <row r="109" spans="2:10">
      <c r="B109" t="s">
        <v>15</v>
      </c>
      <c r="C109" s="46">
        <v>2166</v>
      </c>
      <c r="D109" s="46">
        <v>2085</v>
      </c>
      <c r="E109" s="46">
        <v>1915</v>
      </c>
      <c r="F109" s="46">
        <v>1500</v>
      </c>
      <c r="G109" s="46">
        <v>1642</v>
      </c>
      <c r="H109" s="46">
        <v>1563</v>
      </c>
      <c r="I109" s="46">
        <v>1047</v>
      </c>
      <c r="J109" s="46">
        <v>1127</v>
      </c>
    </row>
    <row r="110" spans="2:10">
      <c r="B110" t="s">
        <v>192</v>
      </c>
      <c r="C110" t="s">
        <v>98</v>
      </c>
      <c r="D110" t="s">
        <v>98</v>
      </c>
      <c r="E110" t="s">
        <v>98</v>
      </c>
      <c r="F110" t="s">
        <v>98</v>
      </c>
      <c r="G110" t="s">
        <v>98</v>
      </c>
      <c r="H110" t="s">
        <v>98</v>
      </c>
      <c r="I110" t="s">
        <v>98</v>
      </c>
      <c r="J110" t="s">
        <v>98</v>
      </c>
    </row>
    <row r="111" spans="2:10">
      <c r="B111" t="s">
        <v>155</v>
      </c>
      <c r="C111">
        <v>0</v>
      </c>
      <c r="D111">
        <v>14</v>
      </c>
      <c r="E111">
        <v>25</v>
      </c>
      <c r="F111">
        <v>37</v>
      </c>
      <c r="G111">
        <v>14</v>
      </c>
      <c r="H111">
        <v>16</v>
      </c>
      <c r="I111">
        <v>27</v>
      </c>
      <c r="J111">
        <v>41</v>
      </c>
    </row>
    <row r="112" spans="2:10">
      <c r="B112" t="s">
        <v>156</v>
      </c>
      <c r="C112">
        <v>274</v>
      </c>
      <c r="D112">
        <v>20</v>
      </c>
      <c r="E112">
        <v>21</v>
      </c>
      <c r="F112">
        <v>87</v>
      </c>
      <c r="G112">
        <v>19</v>
      </c>
      <c r="H112">
        <v>98</v>
      </c>
      <c r="I112">
        <v>96</v>
      </c>
      <c r="J112">
        <v>97</v>
      </c>
    </row>
    <row r="113" spans="2:10">
      <c r="B113" t="s">
        <v>157</v>
      </c>
      <c r="C113" s="46">
        <v>6718</v>
      </c>
      <c r="D113" s="46">
        <v>8393</v>
      </c>
      <c r="E113" s="46">
        <v>7671</v>
      </c>
      <c r="F113" s="46">
        <v>7125</v>
      </c>
      <c r="G113" s="46">
        <v>7097</v>
      </c>
      <c r="H113" s="46">
        <v>7477</v>
      </c>
      <c r="I113" s="46">
        <v>6108</v>
      </c>
      <c r="J113" s="46">
        <v>5689</v>
      </c>
    </row>
    <row r="114" spans="2:10">
      <c r="B114" t="s">
        <v>158</v>
      </c>
      <c r="C114" s="46">
        <v>2987</v>
      </c>
      <c r="D114" s="46">
        <v>3001</v>
      </c>
      <c r="E114" s="46">
        <v>2985</v>
      </c>
      <c r="F114" s="46">
        <v>2694</v>
      </c>
      <c r="G114" s="46">
        <v>2291</v>
      </c>
      <c r="H114" s="46">
        <v>2273</v>
      </c>
      <c r="I114" s="46">
        <v>2221</v>
      </c>
      <c r="J114" s="46">
        <v>2162</v>
      </c>
    </row>
    <row r="115" spans="2:10">
      <c r="B115" t="s">
        <v>159</v>
      </c>
      <c r="C115" t="s">
        <v>98</v>
      </c>
      <c r="D115" s="46">
        <v>2547</v>
      </c>
      <c r="E115" s="46">
        <v>2547</v>
      </c>
      <c r="F115" s="46">
        <v>2547</v>
      </c>
      <c r="G115" s="46">
        <v>2547</v>
      </c>
      <c r="H115" s="46">
        <v>2547</v>
      </c>
      <c r="I115" s="46">
        <v>2547</v>
      </c>
      <c r="J115" s="46">
        <v>2547</v>
      </c>
    </row>
    <row r="116" spans="2:10">
      <c r="B116" t="s">
        <v>160</v>
      </c>
      <c r="C116" t="s">
        <v>98</v>
      </c>
      <c r="D116" s="46">
        <v>1000</v>
      </c>
      <c r="E116">
        <v>998</v>
      </c>
      <c r="F116">
        <v>998</v>
      </c>
      <c r="G116">
        <v>983</v>
      </c>
      <c r="H116">
        <v>983</v>
      </c>
      <c r="I116">
        <v>983</v>
      </c>
      <c r="J116">
        <v>983</v>
      </c>
    </row>
    <row r="117" spans="2:10">
      <c r="B117" t="s">
        <v>161</v>
      </c>
      <c r="C117" t="s">
        <v>98</v>
      </c>
      <c r="D117" s="46">
        <v>11851</v>
      </c>
      <c r="E117" s="46">
        <v>11753</v>
      </c>
      <c r="F117" s="46">
        <v>11724</v>
      </c>
      <c r="G117" s="46">
        <v>14328</v>
      </c>
      <c r="H117" s="46">
        <v>11541</v>
      </c>
      <c r="I117" s="46">
        <v>11453</v>
      </c>
      <c r="J117" s="46">
        <v>11319</v>
      </c>
    </row>
    <row r="118" spans="2:10">
      <c r="B118" t="s">
        <v>162</v>
      </c>
      <c r="C118" t="s">
        <v>98</v>
      </c>
      <c r="D118" s="46">
        <v>2962</v>
      </c>
      <c r="E118" s="46">
        <v>2944</v>
      </c>
      <c r="F118" s="46">
        <v>2967</v>
      </c>
      <c r="G118">
        <v>190</v>
      </c>
      <c r="H118" s="46">
        <v>2879</v>
      </c>
      <c r="I118" s="46">
        <v>2833</v>
      </c>
      <c r="J118" s="46">
        <v>3002</v>
      </c>
    </row>
    <row r="119" spans="2:10">
      <c r="B119" t="s">
        <v>163</v>
      </c>
      <c r="C119" t="s">
        <v>98</v>
      </c>
      <c r="D119">
        <v>0</v>
      </c>
      <c r="E119">
        <v>0</v>
      </c>
      <c r="F119">
        <v>0</v>
      </c>
      <c r="G119">
        <v>0</v>
      </c>
      <c r="H119">
        <v>0</v>
      </c>
      <c r="I119">
        <v>0</v>
      </c>
      <c r="J119">
        <v>0</v>
      </c>
    </row>
    <row r="120" spans="2:10">
      <c r="B120" t="s">
        <v>164</v>
      </c>
      <c r="C120" t="s">
        <v>98</v>
      </c>
      <c r="D120" s="46">
        <v>-8826</v>
      </c>
      <c r="E120" s="46">
        <v>-8358</v>
      </c>
      <c r="F120" s="46">
        <v>-7929</v>
      </c>
      <c r="G120" s="46">
        <v>-7465</v>
      </c>
      <c r="H120" s="46">
        <v>-7000</v>
      </c>
      <c r="I120" s="46">
        <v>-6540</v>
      </c>
      <c r="J120" s="46">
        <v>-6261</v>
      </c>
    </row>
    <row r="121" spans="2:10">
      <c r="B121" t="s">
        <v>165</v>
      </c>
      <c r="C121" t="s">
        <v>98</v>
      </c>
      <c r="D121">
        <v>0</v>
      </c>
      <c r="E121">
        <v>0</v>
      </c>
      <c r="F121">
        <v>0</v>
      </c>
      <c r="G121">
        <v>0</v>
      </c>
      <c r="H121">
        <v>0</v>
      </c>
      <c r="I121">
        <v>0</v>
      </c>
      <c r="J121">
        <v>0</v>
      </c>
    </row>
    <row r="122" spans="2:10">
      <c r="B122" t="s">
        <v>166</v>
      </c>
      <c r="C122" t="s">
        <v>98</v>
      </c>
      <c r="D122" s="46">
        <v>1588</v>
      </c>
      <c r="E122" s="46">
        <v>1575</v>
      </c>
      <c r="F122" s="46">
        <v>1346</v>
      </c>
      <c r="G122" s="46">
        <v>1323</v>
      </c>
      <c r="H122" s="46">
        <v>1196</v>
      </c>
      <c r="I122" s="46">
        <v>1171</v>
      </c>
      <c r="J122" s="46">
        <v>1047</v>
      </c>
    </row>
    <row r="123" spans="2:10">
      <c r="B123" t="s">
        <v>167</v>
      </c>
      <c r="C123" s="46">
        <v>10832</v>
      </c>
      <c r="D123" s="46">
        <v>11121</v>
      </c>
      <c r="E123" s="46">
        <v>11459</v>
      </c>
      <c r="F123" s="46">
        <v>11653</v>
      </c>
      <c r="G123" s="46">
        <v>11907</v>
      </c>
      <c r="H123" s="46">
        <v>12144</v>
      </c>
      <c r="I123" s="46">
        <v>12447</v>
      </c>
      <c r="J123" s="46">
        <v>12636</v>
      </c>
    </row>
    <row r="124" spans="2:10">
      <c r="B124" t="s">
        <v>168</v>
      </c>
      <c r="C124">
        <v>80</v>
      </c>
      <c r="D124">
        <v>82</v>
      </c>
      <c r="E124">
        <v>81</v>
      </c>
      <c r="F124">
        <v>66</v>
      </c>
      <c r="G124">
        <v>72</v>
      </c>
      <c r="H124">
        <v>63</v>
      </c>
      <c r="I124">
        <v>117</v>
      </c>
      <c r="J124">
        <v>132</v>
      </c>
    </row>
    <row r="125" spans="2:10">
      <c r="B125" t="s">
        <v>169</v>
      </c>
      <c r="C125">
        <v>63</v>
      </c>
      <c r="D125">
        <v>51</v>
      </c>
      <c r="E125">
        <v>52</v>
      </c>
      <c r="F125">
        <v>54</v>
      </c>
      <c r="G125">
        <v>59</v>
      </c>
      <c r="H125">
        <v>61</v>
      </c>
      <c r="I125">
        <v>58</v>
      </c>
      <c r="J125">
        <v>64</v>
      </c>
    </row>
    <row r="126" spans="2:10">
      <c r="B126" t="s">
        <v>170</v>
      </c>
      <c r="C126" s="46">
        <v>1589</v>
      </c>
      <c r="D126">
        <v>776</v>
      </c>
      <c r="E126">
        <v>440</v>
      </c>
      <c r="F126">
        <v>224</v>
      </c>
      <c r="G126">
        <v>225</v>
      </c>
      <c r="H126">
        <v>268</v>
      </c>
      <c r="I126">
        <v>329</v>
      </c>
      <c r="J126">
        <v>428</v>
      </c>
    </row>
    <row r="127" spans="2:10">
      <c r="B127" t="s">
        <v>171</v>
      </c>
      <c r="C127" s="46">
        <v>1732</v>
      </c>
      <c r="D127">
        <v>909</v>
      </c>
      <c r="E127">
        <v>573</v>
      </c>
      <c r="F127">
        <v>345</v>
      </c>
      <c r="G127">
        <v>356</v>
      </c>
      <c r="H127">
        <v>392</v>
      </c>
      <c r="I127">
        <v>504</v>
      </c>
      <c r="J127">
        <v>624</v>
      </c>
    </row>
    <row r="128" spans="2:10">
      <c r="B128" t="s">
        <v>18</v>
      </c>
      <c r="C128" s="46">
        <v>22269</v>
      </c>
      <c r="D128" s="46">
        <v>23424</v>
      </c>
      <c r="E128" s="46">
        <v>22689</v>
      </c>
      <c r="F128" s="46">
        <v>21816</v>
      </c>
      <c r="G128" s="46">
        <v>21650</v>
      </c>
      <c r="H128" s="46">
        <v>22287</v>
      </c>
      <c r="I128" s="46">
        <v>21281</v>
      </c>
      <c r="J128" s="46">
        <v>21112</v>
      </c>
    </row>
    <row r="129" spans="2:10">
      <c r="B129" t="s">
        <v>193</v>
      </c>
      <c r="C129">
        <v>0</v>
      </c>
      <c r="D129">
        <v>0</v>
      </c>
      <c r="E129">
        <v>0</v>
      </c>
      <c r="F129">
        <v>0</v>
      </c>
      <c r="G129">
        <v>0</v>
      </c>
      <c r="H129">
        <v>0</v>
      </c>
      <c r="I129">
        <v>0</v>
      </c>
      <c r="J129">
        <v>0</v>
      </c>
    </row>
    <row r="130" spans="2:10">
      <c r="B130" t="s">
        <v>194</v>
      </c>
      <c r="C130">
        <v>0</v>
      </c>
      <c r="D130">
        <v>0</v>
      </c>
      <c r="E130">
        <v>0</v>
      </c>
      <c r="F130">
        <v>0</v>
      </c>
      <c r="G130">
        <v>0</v>
      </c>
      <c r="H130">
        <v>0</v>
      </c>
      <c r="I130">
        <v>0</v>
      </c>
      <c r="J130">
        <v>0</v>
      </c>
    </row>
    <row r="131" spans="2:10">
      <c r="B131" t="s">
        <v>16</v>
      </c>
      <c r="C131">
        <v>975</v>
      </c>
      <c r="D131" s="46">
        <v>1117</v>
      </c>
      <c r="E131" s="46">
        <v>1238</v>
      </c>
      <c r="F131">
        <v>930</v>
      </c>
      <c r="G131" s="46">
        <v>1078</v>
      </c>
      <c r="H131" s="46">
        <v>1180</v>
      </c>
      <c r="I131">
        <v>637</v>
      </c>
      <c r="J131">
        <v>635</v>
      </c>
    </row>
    <row r="132" spans="2:10">
      <c r="B132" t="s">
        <v>172</v>
      </c>
      <c r="C132" t="s">
        <v>98</v>
      </c>
      <c r="D132">
        <v>0</v>
      </c>
      <c r="E132">
        <v>0</v>
      </c>
      <c r="F132">
        <v>0</v>
      </c>
      <c r="G132">
        <v>0</v>
      </c>
      <c r="H132">
        <v>0</v>
      </c>
      <c r="I132">
        <v>0</v>
      </c>
      <c r="J132">
        <v>0</v>
      </c>
    </row>
    <row r="133" spans="2:10">
      <c r="B133" t="s">
        <v>173</v>
      </c>
      <c r="C133">
        <v>0</v>
      </c>
      <c r="D133">
        <v>0</v>
      </c>
      <c r="E133">
        <v>0</v>
      </c>
      <c r="F133">
        <v>0</v>
      </c>
      <c r="G133">
        <v>0</v>
      </c>
      <c r="H133">
        <v>0</v>
      </c>
      <c r="I133">
        <v>0</v>
      </c>
      <c r="J133">
        <v>0</v>
      </c>
    </row>
    <row r="134" spans="2:10">
      <c r="B134" t="s">
        <v>174</v>
      </c>
      <c r="C134" s="46">
        <v>1415</v>
      </c>
      <c r="D134" s="46">
        <v>1641</v>
      </c>
      <c r="E134" s="46">
        <v>1270</v>
      </c>
      <c r="F134" s="46">
        <v>1174</v>
      </c>
      <c r="G134">
        <v>965</v>
      </c>
      <c r="H134" s="46">
        <v>1967</v>
      </c>
      <c r="I134">
        <v>871</v>
      </c>
      <c r="J134" s="46">
        <v>1028</v>
      </c>
    </row>
    <row r="135" spans="2:10">
      <c r="B135" t="s">
        <v>175</v>
      </c>
      <c r="C135">
        <v>0</v>
      </c>
      <c r="D135">
        <v>0</v>
      </c>
      <c r="E135">
        <v>0</v>
      </c>
      <c r="F135">
        <v>0</v>
      </c>
      <c r="G135">
        <v>0</v>
      </c>
      <c r="H135">
        <v>0</v>
      </c>
      <c r="I135">
        <v>0</v>
      </c>
      <c r="J135">
        <v>0</v>
      </c>
    </row>
    <row r="136" spans="2:10">
      <c r="B136" t="s">
        <v>176</v>
      </c>
      <c r="C136">
        <v>743</v>
      </c>
      <c r="D136">
        <v>644</v>
      </c>
      <c r="E136">
        <v>545</v>
      </c>
      <c r="F136">
        <v>545</v>
      </c>
      <c r="G136" s="46">
        <v>1059</v>
      </c>
      <c r="H136">
        <v>545</v>
      </c>
      <c r="I136">
        <v>545</v>
      </c>
      <c r="J136">
        <v>545</v>
      </c>
    </row>
    <row r="137" spans="2:10">
      <c r="B137" t="s">
        <v>177</v>
      </c>
      <c r="C137">
        <v>429</v>
      </c>
      <c r="D137">
        <v>296</v>
      </c>
      <c r="E137">
        <v>119</v>
      </c>
      <c r="F137">
        <v>100</v>
      </c>
      <c r="G137">
        <v>122</v>
      </c>
      <c r="H137">
        <v>103</v>
      </c>
      <c r="I137">
        <v>87</v>
      </c>
      <c r="J137">
        <v>119</v>
      </c>
    </row>
    <row r="138" spans="2:10">
      <c r="B138" t="s">
        <v>178</v>
      </c>
      <c r="C138" s="46">
        <v>3562</v>
      </c>
      <c r="D138" s="46">
        <v>3699</v>
      </c>
      <c r="E138" s="46">
        <v>3172</v>
      </c>
      <c r="F138" s="46">
        <v>2749</v>
      </c>
      <c r="G138" s="46">
        <v>3225</v>
      </c>
      <c r="H138" s="46">
        <v>3796</v>
      </c>
      <c r="I138" s="46">
        <v>2141</v>
      </c>
      <c r="J138" s="46">
        <v>2327</v>
      </c>
    </row>
    <row r="139" spans="2:10">
      <c r="B139" t="s">
        <v>179</v>
      </c>
      <c r="C139" s="46">
        <v>2197</v>
      </c>
      <c r="D139" s="46">
        <v>2568</v>
      </c>
      <c r="E139" s="46">
        <v>2666</v>
      </c>
      <c r="F139" s="46">
        <v>2938</v>
      </c>
      <c r="G139" s="46">
        <v>2938</v>
      </c>
      <c r="H139" s="46">
        <v>3724</v>
      </c>
      <c r="I139" s="46">
        <v>3724</v>
      </c>
      <c r="J139" s="46">
        <v>3721</v>
      </c>
    </row>
    <row r="140" spans="2:10">
      <c r="B140" t="s">
        <v>180</v>
      </c>
      <c r="C140">
        <v>0</v>
      </c>
      <c r="D140">
        <v>0</v>
      </c>
      <c r="E140">
        <v>0</v>
      </c>
      <c r="F140">
        <v>0</v>
      </c>
      <c r="G140">
        <v>0</v>
      </c>
      <c r="H140">
        <v>0</v>
      </c>
      <c r="I140">
        <v>0</v>
      </c>
      <c r="J140">
        <v>0</v>
      </c>
    </row>
    <row r="141" spans="2:10">
      <c r="B141" t="s">
        <v>181</v>
      </c>
      <c r="C141">
        <v>0</v>
      </c>
      <c r="D141">
        <v>0</v>
      </c>
      <c r="E141">
        <v>0</v>
      </c>
      <c r="F141">
        <v>39</v>
      </c>
      <c r="G141">
        <v>0</v>
      </c>
      <c r="H141">
        <v>0</v>
      </c>
      <c r="I141">
        <v>0</v>
      </c>
      <c r="J141">
        <v>40</v>
      </c>
    </row>
    <row r="142" spans="2:10">
      <c r="B142" t="s">
        <v>182</v>
      </c>
      <c r="C142">
        <v>29</v>
      </c>
      <c r="D142">
        <v>30</v>
      </c>
      <c r="E142">
        <v>28</v>
      </c>
      <c r="F142">
        <v>30</v>
      </c>
      <c r="G142">
        <v>28</v>
      </c>
      <c r="H142">
        <v>23</v>
      </c>
      <c r="I142">
        <v>21</v>
      </c>
      <c r="J142">
        <v>21</v>
      </c>
    </row>
    <row r="143" spans="2:10">
      <c r="B143" t="s">
        <v>183</v>
      </c>
      <c r="C143">
        <v>0</v>
      </c>
      <c r="D143">
        <v>0</v>
      </c>
      <c r="E143">
        <v>0</v>
      </c>
      <c r="F143">
        <v>0</v>
      </c>
      <c r="G143">
        <v>0</v>
      </c>
      <c r="H143">
        <v>0</v>
      </c>
      <c r="I143">
        <v>0</v>
      </c>
      <c r="J143">
        <v>0</v>
      </c>
    </row>
    <row r="144" spans="2:10">
      <c r="B144" t="s">
        <v>184</v>
      </c>
      <c r="C144">
        <v>0</v>
      </c>
      <c r="D144">
        <v>0</v>
      </c>
      <c r="E144">
        <v>0</v>
      </c>
      <c r="F144">
        <v>0</v>
      </c>
      <c r="G144">
        <v>0</v>
      </c>
      <c r="H144">
        <v>0</v>
      </c>
      <c r="I144">
        <v>0</v>
      </c>
      <c r="J144">
        <v>0</v>
      </c>
    </row>
    <row r="145" spans="2:10">
      <c r="B145" t="s">
        <v>185</v>
      </c>
      <c r="C145">
        <v>164</v>
      </c>
      <c r="D145">
        <v>163</v>
      </c>
      <c r="E145">
        <v>159</v>
      </c>
      <c r="F145">
        <v>120</v>
      </c>
      <c r="G145">
        <v>162</v>
      </c>
      <c r="H145">
        <v>161</v>
      </c>
      <c r="I145">
        <v>151</v>
      </c>
      <c r="J145">
        <v>110</v>
      </c>
    </row>
    <row r="146" spans="2:10">
      <c r="B146" t="s">
        <v>186</v>
      </c>
      <c r="C146">
        <v>192</v>
      </c>
      <c r="D146">
        <v>194</v>
      </c>
      <c r="E146">
        <v>187</v>
      </c>
      <c r="F146">
        <v>189</v>
      </c>
      <c r="G146">
        <v>190</v>
      </c>
      <c r="H146">
        <v>185</v>
      </c>
      <c r="I146">
        <v>172</v>
      </c>
      <c r="J146">
        <v>171</v>
      </c>
    </row>
    <row r="147" spans="2:10">
      <c r="B147" t="s">
        <v>17</v>
      </c>
      <c r="C147" s="46">
        <v>5951</v>
      </c>
      <c r="D147" s="46">
        <v>6461</v>
      </c>
      <c r="E147" s="46">
        <v>6026</v>
      </c>
      <c r="F147" s="46">
        <v>5876</v>
      </c>
      <c r="G147" s="46">
        <v>6353</v>
      </c>
      <c r="H147" s="46">
        <v>7705</v>
      </c>
      <c r="I147" s="46">
        <v>6036</v>
      </c>
      <c r="J147" s="46">
        <v>6220</v>
      </c>
    </row>
    <row r="148" spans="2:10">
      <c r="B148" t="s">
        <v>187</v>
      </c>
      <c r="C148" s="46">
        <v>16318</v>
      </c>
      <c r="D148" s="46">
        <v>16964</v>
      </c>
      <c r="E148" s="46">
        <v>16663</v>
      </c>
      <c r="F148" s="46">
        <v>15940</v>
      </c>
      <c r="G148" s="46">
        <v>15297</v>
      </c>
      <c r="H148" s="46">
        <v>14581</v>
      </c>
      <c r="I148" s="46">
        <v>15245</v>
      </c>
      <c r="J148" s="46">
        <v>14892</v>
      </c>
    </row>
    <row r="149" spans="2:10">
      <c r="B149" t="s">
        <v>195</v>
      </c>
      <c r="C149" s="46">
        <v>5955</v>
      </c>
      <c r="D149" s="46">
        <v>7441</v>
      </c>
      <c r="E149" s="46">
        <v>7434</v>
      </c>
      <c r="F149" s="46">
        <v>7422</v>
      </c>
      <c r="G149" s="46">
        <v>7421</v>
      </c>
      <c r="H149" s="46">
        <v>7406</v>
      </c>
      <c r="I149" s="46">
        <v>7402</v>
      </c>
      <c r="J149" s="46">
        <v>7393</v>
      </c>
    </row>
    <row r="150" spans="2:10">
      <c r="B150" t="s">
        <v>196</v>
      </c>
      <c r="C150">
        <v>0</v>
      </c>
      <c r="D150">
        <v>0</v>
      </c>
      <c r="E150">
        <v>0</v>
      </c>
      <c r="F150">
        <v>0</v>
      </c>
      <c r="G150">
        <v>0</v>
      </c>
      <c r="H150">
        <v>0</v>
      </c>
      <c r="I150">
        <v>0</v>
      </c>
      <c r="J150">
        <v>0</v>
      </c>
    </row>
    <row r="151" spans="2:10">
      <c r="B151" t="s">
        <v>197</v>
      </c>
      <c r="C151" s="46">
        <v>3801</v>
      </c>
      <c r="D151" s="46">
        <v>3801</v>
      </c>
      <c r="E151" s="46">
        <v>3783</v>
      </c>
      <c r="F151" s="46">
        <v>3769</v>
      </c>
      <c r="G151" s="46">
        <v>3766</v>
      </c>
      <c r="H151" s="46">
        <v>3745</v>
      </c>
      <c r="I151" s="46">
        <v>3739</v>
      </c>
      <c r="J151" s="46">
        <v>3728</v>
      </c>
    </row>
    <row r="152" spans="2:10">
      <c r="B152" t="s">
        <v>198</v>
      </c>
      <c r="C152">
        <v>801</v>
      </c>
      <c r="D152">
        <v>801</v>
      </c>
      <c r="E152">
        <v>605</v>
      </c>
      <c r="F152">
        <v>605</v>
      </c>
      <c r="G152">
        <v>605</v>
      </c>
      <c r="H152">
        <v>605</v>
      </c>
      <c r="I152">
        <v>423</v>
      </c>
      <c r="J152">
        <v>423</v>
      </c>
    </row>
    <row r="153" spans="2:10">
      <c r="B153" t="s">
        <v>199</v>
      </c>
      <c r="C153">
        <v>0</v>
      </c>
      <c r="D153">
        <v>0</v>
      </c>
      <c r="E153">
        <v>0</v>
      </c>
      <c r="F153">
        <v>0</v>
      </c>
      <c r="G153">
        <v>0</v>
      </c>
      <c r="H153">
        <v>0</v>
      </c>
      <c r="I153">
        <v>34</v>
      </c>
      <c r="J153">
        <v>34</v>
      </c>
    </row>
    <row r="154" spans="2:10">
      <c r="B154" t="s">
        <v>200</v>
      </c>
      <c r="C154" s="46">
        <v>5538</v>
      </c>
      <c r="D154" s="46">
        <v>4733</v>
      </c>
      <c r="E154" s="46">
        <v>4542</v>
      </c>
      <c r="F154" s="46">
        <v>3923</v>
      </c>
      <c r="G154" s="46">
        <v>3363</v>
      </c>
      <c r="H154" s="46">
        <v>2610</v>
      </c>
      <c r="I154" s="46">
        <v>3427</v>
      </c>
      <c r="J154" s="46">
        <v>3214</v>
      </c>
    </row>
    <row r="155" spans="2:10">
      <c r="B155" t="s">
        <v>201</v>
      </c>
      <c r="C155">
        <v>0</v>
      </c>
      <c r="D155">
        <v>0</v>
      </c>
      <c r="E155">
        <v>0</v>
      </c>
      <c r="F155">
        <v>0</v>
      </c>
      <c r="G155">
        <v>0</v>
      </c>
      <c r="H155">
        <v>0</v>
      </c>
      <c r="I155">
        <v>0</v>
      </c>
      <c r="J155">
        <v>0</v>
      </c>
    </row>
    <row r="156" spans="2:10">
      <c r="B156" t="s">
        <v>188</v>
      </c>
      <c r="C156">
        <v>0</v>
      </c>
      <c r="D156">
        <v>0</v>
      </c>
      <c r="E156">
        <v>0</v>
      </c>
      <c r="F156">
        <v>0</v>
      </c>
      <c r="G156">
        <v>0</v>
      </c>
      <c r="H156">
        <v>0</v>
      </c>
      <c r="I156">
        <v>0</v>
      </c>
      <c r="J156">
        <v>0</v>
      </c>
    </row>
    <row r="157" spans="2:10">
      <c r="B157" t="s">
        <v>189</v>
      </c>
      <c r="C157" s="46">
        <v>22269</v>
      </c>
      <c r="D157" s="46">
        <v>23424</v>
      </c>
      <c r="E157" s="46">
        <v>22689</v>
      </c>
      <c r="F157" s="46">
        <v>21816</v>
      </c>
      <c r="G157" s="46">
        <v>21650</v>
      </c>
      <c r="H157" s="46">
        <v>22287</v>
      </c>
      <c r="I157" s="46">
        <v>21281</v>
      </c>
      <c r="J157" s="46">
        <v>21112</v>
      </c>
    </row>
    <row r="158" spans="2:10">
      <c r="B158" t="s">
        <v>110</v>
      </c>
    </row>
    <row r="159" spans="2:10">
      <c r="B159" t="s">
        <v>111</v>
      </c>
    </row>
    <row r="201" spans="2:10">
      <c r="B201" t="s">
        <v>1950</v>
      </c>
    </row>
    <row r="202" spans="2:10">
      <c r="B202" t="s">
        <v>47</v>
      </c>
    </row>
    <row r="203" spans="2:10">
      <c r="B203" t="s">
        <v>48</v>
      </c>
      <c r="C203" t="s">
        <v>1933</v>
      </c>
      <c r="D203" t="s">
        <v>226</v>
      </c>
      <c r="E203" t="s">
        <v>49</v>
      </c>
      <c r="F203" t="s">
        <v>50</v>
      </c>
      <c r="G203" t="s">
        <v>51</v>
      </c>
      <c r="H203" t="s">
        <v>52</v>
      </c>
      <c r="I203" t="s">
        <v>53</v>
      </c>
      <c r="J203" t="s">
        <v>54</v>
      </c>
    </row>
    <row r="204" spans="2:10">
      <c r="B204" t="s">
        <v>112</v>
      </c>
      <c r="C204">
        <v>805</v>
      </c>
      <c r="D204">
        <v>537</v>
      </c>
      <c r="E204">
        <v>618</v>
      </c>
      <c r="F204">
        <v>557</v>
      </c>
      <c r="G204">
        <v>753</v>
      </c>
      <c r="H204">
        <v>440</v>
      </c>
      <c r="I204">
        <v>213</v>
      </c>
      <c r="J204">
        <v>126</v>
      </c>
    </row>
    <row r="205" spans="2:10">
      <c r="B205" t="s">
        <v>113</v>
      </c>
      <c r="C205">
        <v>0</v>
      </c>
      <c r="D205">
        <v>0</v>
      </c>
      <c r="E205">
        <v>0</v>
      </c>
      <c r="F205">
        <v>0</v>
      </c>
      <c r="G205">
        <v>0</v>
      </c>
      <c r="H205">
        <v>0</v>
      </c>
      <c r="I205">
        <v>0</v>
      </c>
      <c r="J205">
        <v>0</v>
      </c>
    </row>
    <row r="206" spans="2:10">
      <c r="B206" t="s">
        <v>114</v>
      </c>
      <c r="C206">
        <v>475</v>
      </c>
      <c r="D206">
        <v>470</v>
      </c>
      <c r="E206">
        <v>468</v>
      </c>
      <c r="F206">
        <v>466</v>
      </c>
      <c r="G206">
        <v>465</v>
      </c>
      <c r="H206">
        <v>462</v>
      </c>
      <c r="I206">
        <v>459</v>
      </c>
      <c r="J206">
        <v>446</v>
      </c>
    </row>
    <row r="207" spans="2:10">
      <c r="B207" t="s">
        <v>115</v>
      </c>
      <c r="C207">
        <v>8</v>
      </c>
      <c r="D207">
        <v>5</v>
      </c>
      <c r="E207">
        <v>5</v>
      </c>
      <c r="F207">
        <v>6</v>
      </c>
      <c r="G207">
        <v>7</v>
      </c>
      <c r="H207">
        <v>8</v>
      </c>
      <c r="I207">
        <v>8</v>
      </c>
      <c r="J207">
        <v>9</v>
      </c>
    </row>
    <row r="208" spans="2:10">
      <c r="B208" t="s">
        <v>116</v>
      </c>
      <c r="C208">
        <v>0</v>
      </c>
      <c r="D208">
        <v>0</v>
      </c>
      <c r="E208">
        <v>0</v>
      </c>
      <c r="F208">
        <v>0</v>
      </c>
      <c r="G208">
        <v>0</v>
      </c>
      <c r="H208">
        <v>0</v>
      </c>
      <c r="I208">
        <v>0</v>
      </c>
      <c r="J208">
        <v>0</v>
      </c>
    </row>
    <row r="209" spans="2:10">
      <c r="B209" t="s">
        <v>117</v>
      </c>
      <c r="C209">
        <v>11</v>
      </c>
      <c r="D209">
        <v>20</v>
      </c>
      <c r="E209">
        <v>14</v>
      </c>
      <c r="F209">
        <v>-11</v>
      </c>
      <c r="G209">
        <v>14</v>
      </c>
      <c r="H209">
        <v>-4</v>
      </c>
      <c r="I209">
        <v>6</v>
      </c>
      <c r="J209">
        <v>83</v>
      </c>
    </row>
    <row r="210" spans="2:10">
      <c r="B210" t="s">
        <v>118</v>
      </c>
      <c r="C210">
        <v>35</v>
      </c>
      <c r="D210">
        <v>1</v>
      </c>
      <c r="E210">
        <v>1</v>
      </c>
      <c r="F210">
        <v>1</v>
      </c>
      <c r="G210">
        <v>45</v>
      </c>
      <c r="H210">
        <v>1</v>
      </c>
      <c r="I210">
        <v>1</v>
      </c>
      <c r="J210">
        <v>1</v>
      </c>
    </row>
    <row r="211" spans="2:10">
      <c r="B211" t="s">
        <v>119</v>
      </c>
      <c r="C211" t="s">
        <v>98</v>
      </c>
      <c r="D211" t="s">
        <v>98</v>
      </c>
      <c r="E211" t="s">
        <v>98</v>
      </c>
      <c r="F211" t="s">
        <v>98</v>
      </c>
      <c r="G211" t="s">
        <v>98</v>
      </c>
      <c r="H211" t="s">
        <v>98</v>
      </c>
      <c r="I211" t="s">
        <v>98</v>
      </c>
      <c r="J211" t="s">
        <v>98</v>
      </c>
    </row>
    <row r="212" spans="2:10">
      <c r="B212" t="s">
        <v>120</v>
      </c>
      <c r="C212">
        <v>-1</v>
      </c>
      <c r="D212">
        <v>0</v>
      </c>
      <c r="E212">
        <v>0</v>
      </c>
      <c r="F212">
        <v>0</v>
      </c>
      <c r="G212">
        <v>0</v>
      </c>
      <c r="H212">
        <v>0</v>
      </c>
      <c r="I212">
        <v>0</v>
      </c>
      <c r="J212">
        <v>0</v>
      </c>
    </row>
    <row r="213" spans="2:10">
      <c r="B213" t="s">
        <v>121</v>
      </c>
      <c r="C213">
        <v>32</v>
      </c>
      <c r="D213">
        <v>0</v>
      </c>
      <c r="E213">
        <v>-1</v>
      </c>
      <c r="F213">
        <v>20</v>
      </c>
      <c r="G213">
        <v>-9</v>
      </c>
      <c r="H213">
        <v>-1</v>
      </c>
      <c r="I213">
        <v>55</v>
      </c>
      <c r="J213">
        <v>21</v>
      </c>
    </row>
    <row r="214" spans="2:10">
      <c r="B214" t="s">
        <v>122</v>
      </c>
      <c r="C214">
        <v>0</v>
      </c>
      <c r="D214">
        <v>0</v>
      </c>
      <c r="E214">
        <v>0</v>
      </c>
      <c r="F214">
        <v>0</v>
      </c>
      <c r="G214">
        <v>1</v>
      </c>
      <c r="H214">
        <v>1</v>
      </c>
      <c r="I214">
        <v>1</v>
      </c>
      <c r="J214">
        <v>1</v>
      </c>
    </row>
    <row r="215" spans="2:10">
      <c r="B215" t="s">
        <v>123</v>
      </c>
      <c r="C215">
        <v>48</v>
      </c>
      <c r="D215">
        <v>-58</v>
      </c>
      <c r="E215">
        <v>-246</v>
      </c>
      <c r="F215">
        <v>327</v>
      </c>
      <c r="G215">
        <v>-161</v>
      </c>
      <c r="H215">
        <v>-239</v>
      </c>
      <c r="I215">
        <v>34</v>
      </c>
      <c r="J215">
        <v>42</v>
      </c>
    </row>
    <row r="216" spans="2:10">
      <c r="B216" t="s">
        <v>124</v>
      </c>
      <c r="C216">
        <v>-81</v>
      </c>
      <c r="D216">
        <v>-170</v>
      </c>
      <c r="E216">
        <v>-415</v>
      </c>
      <c r="F216">
        <v>142</v>
      </c>
      <c r="G216">
        <v>-80</v>
      </c>
      <c r="H216">
        <v>-515</v>
      </c>
      <c r="I216">
        <v>79</v>
      </c>
      <c r="J216">
        <v>515</v>
      </c>
    </row>
    <row r="217" spans="2:10">
      <c r="B217" t="s">
        <v>125</v>
      </c>
      <c r="C217">
        <v>-142</v>
      </c>
      <c r="D217">
        <v>-120</v>
      </c>
      <c r="E217">
        <v>308</v>
      </c>
      <c r="F217">
        <v>-148</v>
      </c>
      <c r="G217">
        <v>-102</v>
      </c>
      <c r="H217">
        <v>543</v>
      </c>
      <c r="I217">
        <v>2</v>
      </c>
      <c r="J217">
        <v>-18</v>
      </c>
    </row>
    <row r="218" spans="2:10">
      <c r="B218" t="s">
        <v>126</v>
      </c>
      <c r="C218">
        <v>-155</v>
      </c>
      <c r="D218">
        <v>399</v>
      </c>
      <c r="E218">
        <v>-21</v>
      </c>
      <c r="F218">
        <v>339</v>
      </c>
      <c r="G218">
        <v>69</v>
      </c>
      <c r="H218">
        <v>34</v>
      </c>
      <c r="I218">
        <v>-208</v>
      </c>
      <c r="J218">
        <v>-102</v>
      </c>
    </row>
    <row r="219" spans="2:10">
      <c r="B219" t="s">
        <v>19</v>
      </c>
      <c r="C219" s="46">
        <v>1025</v>
      </c>
      <c r="D219" s="46">
        <v>1107</v>
      </c>
      <c r="E219">
        <v>751</v>
      </c>
      <c r="F219" s="46">
        <v>1704</v>
      </c>
      <c r="G219" s="46">
        <v>1041</v>
      </c>
      <c r="H219">
        <v>557</v>
      </c>
      <c r="I219">
        <v>528</v>
      </c>
      <c r="J219" s="46">
        <v>1110</v>
      </c>
    </row>
    <row r="220" spans="2:10">
      <c r="B220" t="s">
        <v>127</v>
      </c>
      <c r="C220">
        <v>256</v>
      </c>
      <c r="D220">
        <v>-479</v>
      </c>
      <c r="E220">
        <v>446</v>
      </c>
      <c r="F220">
        <v>-202</v>
      </c>
      <c r="G220">
        <v>447</v>
      </c>
      <c r="H220">
        <v>-268</v>
      </c>
      <c r="I220">
        <v>-586</v>
      </c>
      <c r="J220">
        <v>-260</v>
      </c>
    </row>
    <row r="221" spans="2:10">
      <c r="B221" t="s">
        <v>128</v>
      </c>
      <c r="C221">
        <v>0</v>
      </c>
      <c r="D221">
        <v>0</v>
      </c>
      <c r="E221">
        <v>0</v>
      </c>
      <c r="F221">
        <v>0</v>
      </c>
      <c r="G221">
        <v>0</v>
      </c>
      <c r="H221">
        <v>0</v>
      </c>
      <c r="I221">
        <v>0</v>
      </c>
      <c r="J221">
        <v>0</v>
      </c>
    </row>
    <row r="222" spans="2:10">
      <c r="B222" t="s">
        <v>21</v>
      </c>
      <c r="C222">
        <v>0</v>
      </c>
      <c r="D222">
        <v>0</v>
      </c>
      <c r="E222">
        <v>-220</v>
      </c>
      <c r="F222">
        <v>0</v>
      </c>
      <c r="G222">
        <v>12</v>
      </c>
      <c r="H222">
        <v>-12</v>
      </c>
      <c r="I222">
        <v>0</v>
      </c>
      <c r="J222">
        <v>-208</v>
      </c>
    </row>
    <row r="223" spans="2:10">
      <c r="B223" t="s">
        <v>129</v>
      </c>
      <c r="C223">
        <v>3</v>
      </c>
      <c r="D223">
        <v>0</v>
      </c>
      <c r="E223">
        <v>0</v>
      </c>
      <c r="F223">
        <v>0</v>
      </c>
      <c r="G223">
        <v>0</v>
      </c>
      <c r="H223">
        <v>0</v>
      </c>
      <c r="I223">
        <v>0</v>
      </c>
      <c r="J223">
        <v>0</v>
      </c>
    </row>
    <row r="224" spans="2:10">
      <c r="B224" t="s">
        <v>20</v>
      </c>
      <c r="C224">
        <v>-907</v>
      </c>
      <c r="D224">
        <v>-380</v>
      </c>
      <c r="E224">
        <v>-499</v>
      </c>
      <c r="F224">
        <v>-282</v>
      </c>
      <c r="G224">
        <v>-92</v>
      </c>
      <c r="H224">
        <v>-131</v>
      </c>
      <c r="I224">
        <v>-232</v>
      </c>
      <c r="J224">
        <v>-463</v>
      </c>
    </row>
    <row r="225" spans="2:10">
      <c r="B225" t="s">
        <v>130</v>
      </c>
      <c r="C225">
        <v>27</v>
      </c>
      <c r="D225">
        <v>2</v>
      </c>
      <c r="E225">
        <v>-1</v>
      </c>
      <c r="F225">
        <v>-1</v>
      </c>
      <c r="G225">
        <v>42</v>
      </c>
      <c r="H225">
        <v>0</v>
      </c>
      <c r="I225">
        <v>3</v>
      </c>
      <c r="J225">
        <v>-2</v>
      </c>
    </row>
    <row r="226" spans="2:10">
      <c r="B226" t="s">
        <v>131</v>
      </c>
      <c r="C226">
        <v>-621</v>
      </c>
      <c r="D226">
        <v>-857</v>
      </c>
      <c r="E226">
        <v>-274</v>
      </c>
      <c r="F226">
        <v>-486</v>
      </c>
      <c r="G226">
        <v>439</v>
      </c>
      <c r="H226">
        <v>-411</v>
      </c>
      <c r="I226">
        <v>-815</v>
      </c>
      <c r="J226">
        <v>-933</v>
      </c>
    </row>
    <row r="227" spans="2:10">
      <c r="B227" t="s">
        <v>132</v>
      </c>
      <c r="C227" s="46">
        <v>-1487</v>
      </c>
      <c r="D227">
        <v>0</v>
      </c>
      <c r="E227">
        <v>0</v>
      </c>
      <c r="F227">
        <v>0</v>
      </c>
      <c r="G227">
        <v>0</v>
      </c>
      <c r="H227">
        <v>0</v>
      </c>
      <c r="I227">
        <v>0</v>
      </c>
      <c r="J227">
        <v>11</v>
      </c>
    </row>
    <row r="228" spans="2:10">
      <c r="B228" t="s">
        <v>133</v>
      </c>
      <c r="C228">
        <v>-149</v>
      </c>
      <c r="D228">
        <v>0</v>
      </c>
      <c r="E228">
        <v>0</v>
      </c>
      <c r="F228">
        <v>0</v>
      </c>
      <c r="G228" s="46">
        <v>-1110</v>
      </c>
      <c r="H228">
        <v>0</v>
      </c>
      <c r="I228">
        <v>0</v>
      </c>
      <c r="J228">
        <v>0</v>
      </c>
    </row>
    <row r="229" spans="2:10">
      <c r="B229" t="s">
        <v>134</v>
      </c>
      <c r="C229">
        <v>0</v>
      </c>
      <c r="D229">
        <v>0</v>
      </c>
      <c r="E229">
        <v>0</v>
      </c>
      <c r="F229">
        <v>0</v>
      </c>
      <c r="G229">
        <v>0</v>
      </c>
      <c r="H229">
        <v>0</v>
      </c>
      <c r="I229">
        <v>0</v>
      </c>
      <c r="J229">
        <v>0</v>
      </c>
    </row>
    <row r="230" spans="2:10">
      <c r="B230" t="s">
        <v>135</v>
      </c>
      <c r="C230">
        <v>0</v>
      </c>
      <c r="D230">
        <v>0</v>
      </c>
      <c r="E230">
        <v>0</v>
      </c>
      <c r="F230">
        <v>0</v>
      </c>
      <c r="G230">
        <v>0</v>
      </c>
      <c r="H230">
        <v>0</v>
      </c>
      <c r="I230">
        <v>0</v>
      </c>
      <c r="J230">
        <v>0</v>
      </c>
    </row>
    <row r="231" spans="2:10">
      <c r="B231" t="s">
        <v>136</v>
      </c>
      <c r="C231">
        <v>-272</v>
      </c>
      <c r="D231">
        <v>0</v>
      </c>
      <c r="E231">
        <v>-272</v>
      </c>
      <c r="F231">
        <v>-514</v>
      </c>
      <c r="G231">
        <v>-272</v>
      </c>
      <c r="H231">
        <v>0</v>
      </c>
      <c r="I231">
        <v>2</v>
      </c>
      <c r="J231">
        <v>-513</v>
      </c>
    </row>
    <row r="232" spans="2:10">
      <c r="B232" t="s">
        <v>137</v>
      </c>
      <c r="C232">
        <v>0</v>
      </c>
      <c r="D232">
        <v>0</v>
      </c>
      <c r="E232">
        <v>0</v>
      </c>
      <c r="F232">
        <v>0</v>
      </c>
      <c r="G232">
        <v>0</v>
      </c>
      <c r="H232">
        <v>0</v>
      </c>
      <c r="I232">
        <v>0</v>
      </c>
      <c r="J232">
        <v>0</v>
      </c>
    </row>
    <row r="233" spans="2:10">
      <c r="B233" t="s">
        <v>138</v>
      </c>
      <c r="C233">
        <v>0</v>
      </c>
      <c r="D233">
        <v>0</v>
      </c>
      <c r="E233">
        <v>0</v>
      </c>
      <c r="F233">
        <v>0</v>
      </c>
      <c r="G233">
        <v>0</v>
      </c>
      <c r="H233">
        <v>0</v>
      </c>
      <c r="I233">
        <v>0</v>
      </c>
      <c r="J233">
        <v>0</v>
      </c>
    </row>
    <row r="234" spans="2:10">
      <c r="B234" t="s">
        <v>139</v>
      </c>
      <c r="C234">
        <v>0</v>
      </c>
      <c r="D234">
        <v>0</v>
      </c>
      <c r="E234">
        <v>0</v>
      </c>
      <c r="F234">
        <v>0</v>
      </c>
      <c r="G234">
        <v>0</v>
      </c>
      <c r="H234">
        <v>0</v>
      </c>
      <c r="I234">
        <v>0</v>
      </c>
      <c r="J234">
        <v>-515</v>
      </c>
    </row>
    <row r="235" spans="2:10">
      <c r="B235" t="s">
        <v>140</v>
      </c>
      <c r="C235">
        <v>-2</v>
      </c>
      <c r="D235">
        <v>-2</v>
      </c>
      <c r="E235">
        <v>-7</v>
      </c>
      <c r="F235">
        <v>-10</v>
      </c>
      <c r="G235">
        <v>-12</v>
      </c>
      <c r="H235">
        <v>-3</v>
      </c>
      <c r="I235">
        <v>-14</v>
      </c>
      <c r="J235">
        <v>-24</v>
      </c>
    </row>
    <row r="236" spans="2:10">
      <c r="B236" t="s">
        <v>141</v>
      </c>
      <c r="C236" s="46">
        <v>-1908</v>
      </c>
      <c r="D236">
        <v>15</v>
      </c>
      <c r="E236">
        <v>-253</v>
      </c>
      <c r="F236">
        <v>-520</v>
      </c>
      <c r="G236" s="46">
        <v>-1363</v>
      </c>
      <c r="H236">
        <v>8</v>
      </c>
      <c r="I236">
        <v>7</v>
      </c>
      <c r="J236" s="46">
        <v>-1036</v>
      </c>
    </row>
    <row r="237" spans="2:10">
      <c r="B237" t="s">
        <v>142</v>
      </c>
      <c r="C237">
        <v>21</v>
      </c>
      <c r="D237">
        <v>-5</v>
      </c>
      <c r="E237">
        <v>-4</v>
      </c>
      <c r="F237">
        <v>14</v>
      </c>
      <c r="G237">
        <v>6</v>
      </c>
      <c r="H237">
        <v>-6</v>
      </c>
      <c r="I237">
        <v>7</v>
      </c>
      <c r="J237">
        <v>2</v>
      </c>
    </row>
    <row r="238" spans="2:10">
      <c r="B238" t="s">
        <v>143</v>
      </c>
      <c r="C238" s="46">
        <v>-1483</v>
      </c>
      <c r="D238">
        <v>260</v>
      </c>
      <c r="E238">
        <v>220</v>
      </c>
      <c r="F238">
        <v>712</v>
      </c>
      <c r="G238">
        <v>123</v>
      </c>
      <c r="H238">
        <v>148</v>
      </c>
      <c r="I238">
        <v>-273</v>
      </c>
      <c r="J238">
        <v>-856</v>
      </c>
    </row>
    <row r="239" spans="2:10">
      <c r="B239" t="s">
        <v>144</v>
      </c>
      <c r="C239" s="46">
        <v>3157</v>
      </c>
      <c r="D239" s="46">
        <v>2897</v>
      </c>
      <c r="E239" s="46">
        <v>2677</v>
      </c>
      <c r="F239" s="46">
        <v>1965</v>
      </c>
      <c r="G239" s="46">
        <v>1842</v>
      </c>
      <c r="H239" s="46">
        <v>1694</v>
      </c>
      <c r="I239" s="46">
        <v>1967</v>
      </c>
      <c r="J239" s="46">
        <v>2823</v>
      </c>
    </row>
    <row r="240" spans="2:10">
      <c r="B240" t="s">
        <v>145</v>
      </c>
      <c r="C240" s="46">
        <v>1675</v>
      </c>
      <c r="D240" s="46">
        <v>3157</v>
      </c>
      <c r="E240" s="46">
        <v>2897</v>
      </c>
      <c r="F240" s="46">
        <v>2677</v>
      </c>
      <c r="G240" s="46">
        <v>1965</v>
      </c>
      <c r="H240" s="46">
        <v>1842</v>
      </c>
      <c r="I240" s="46">
        <v>1694</v>
      </c>
      <c r="J240" s="46">
        <v>1967</v>
      </c>
    </row>
    <row r="241" spans="2:10">
      <c r="B241" t="s">
        <v>146</v>
      </c>
      <c r="C241">
        <v>1</v>
      </c>
      <c r="D241">
        <v>5</v>
      </c>
      <c r="E241">
        <v>7</v>
      </c>
      <c r="F241">
        <v>10</v>
      </c>
      <c r="G241">
        <v>12</v>
      </c>
      <c r="H241">
        <v>12</v>
      </c>
      <c r="I241">
        <v>11</v>
      </c>
      <c r="J241">
        <v>12</v>
      </c>
    </row>
    <row r="242" spans="2:10">
      <c r="B242" t="s">
        <v>147</v>
      </c>
      <c r="C242" t="s">
        <v>98</v>
      </c>
      <c r="D242" t="s">
        <v>98</v>
      </c>
      <c r="E242" t="s">
        <v>98</v>
      </c>
      <c r="F242" t="s">
        <v>98</v>
      </c>
      <c r="G242" t="s">
        <v>98</v>
      </c>
      <c r="H242" t="s">
        <v>98</v>
      </c>
      <c r="I242" t="s">
        <v>98</v>
      </c>
      <c r="J242" t="s">
        <v>98</v>
      </c>
    </row>
    <row r="243" spans="2:10">
      <c r="B243" t="s">
        <v>148</v>
      </c>
    </row>
    <row r="244" spans="2:10">
      <c r="B244" t="s">
        <v>149</v>
      </c>
    </row>
    <row r="245" spans="2:10">
      <c r="B245" t="s">
        <v>110</v>
      </c>
    </row>
    <row r="246" spans="2:10">
      <c r="B246" t="s">
        <v>111</v>
      </c>
    </row>
  </sheetData>
  <sheetProtection sheet="1" objects="1" scenarios="1"/>
  <phoneticPr fontId="2" type="noConversion"/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>
  <sheetPr codeName="工作表2"/>
  <dimension ref="A1:T38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A28" sqref="A28"/>
    </sheetView>
  </sheetViews>
  <sheetFormatPr defaultRowHeight="16.5"/>
  <sheetData>
    <row r="1" spans="1:20">
      <c r="A1" t="s">
        <v>235</v>
      </c>
      <c r="B1" s="32"/>
      <c r="C1" s="32"/>
      <c r="D1" s="32"/>
      <c r="E1" s="32"/>
      <c r="F1" s="32"/>
      <c r="G1" s="32"/>
      <c r="H1" s="32"/>
      <c r="I1" s="32"/>
      <c r="J1" s="32"/>
      <c r="K1" s="32"/>
      <c r="L1" s="32"/>
      <c r="M1" s="32"/>
      <c r="N1" s="32"/>
      <c r="O1" s="32"/>
      <c r="P1" s="32"/>
      <c r="Q1" s="32"/>
      <c r="R1" s="32"/>
      <c r="S1" s="32"/>
      <c r="T1" s="32"/>
    </row>
    <row r="2" spans="1:20">
      <c r="A2" s="32">
        <v>1570</v>
      </c>
      <c r="B2" s="32"/>
      <c r="C2" s="32" t="s">
        <v>242</v>
      </c>
      <c r="D2" s="32"/>
      <c r="E2" s="32"/>
      <c r="F2" s="32"/>
      <c r="G2" s="32"/>
      <c r="H2" s="32"/>
      <c r="I2" s="32"/>
      <c r="J2" s="32"/>
      <c r="K2" s="32"/>
      <c r="L2" s="32"/>
      <c r="M2" s="32"/>
      <c r="N2" s="32"/>
      <c r="O2" s="32"/>
      <c r="P2" s="32"/>
      <c r="Q2" s="32"/>
      <c r="R2" s="32"/>
      <c r="S2" s="32"/>
      <c r="T2" s="32"/>
    </row>
    <row r="3" spans="1:20">
      <c r="A3" s="32">
        <v>5315</v>
      </c>
      <c r="B3" s="32"/>
      <c r="C3" s="32"/>
      <c r="D3" s="32"/>
      <c r="E3" s="32"/>
      <c r="F3" s="32"/>
      <c r="G3" s="32"/>
      <c r="H3" s="32"/>
      <c r="I3" s="32"/>
      <c r="J3" s="32"/>
      <c r="K3" s="32"/>
      <c r="L3" s="32"/>
      <c r="M3" s="32"/>
      <c r="N3" s="32"/>
      <c r="O3" s="32"/>
      <c r="P3" s="32"/>
      <c r="Q3" s="32"/>
      <c r="R3" s="32"/>
      <c r="S3" s="32"/>
      <c r="T3" s="32"/>
    </row>
    <row r="4" spans="1:20">
      <c r="A4" s="32">
        <v>3511</v>
      </c>
      <c r="B4" s="32"/>
      <c r="C4" s="32" t="s">
        <v>243</v>
      </c>
      <c r="D4" s="32"/>
      <c r="E4" s="32"/>
      <c r="F4" s="32"/>
      <c r="G4" s="32"/>
      <c r="H4" s="32"/>
      <c r="I4" s="32"/>
      <c r="J4" s="32"/>
      <c r="K4" s="32"/>
      <c r="L4" s="32"/>
      <c r="M4" s="32"/>
      <c r="N4" s="32"/>
      <c r="O4" s="32"/>
      <c r="P4" s="32"/>
      <c r="Q4" s="32" t="s">
        <v>240</v>
      </c>
      <c r="R4" s="32"/>
      <c r="S4" s="32"/>
      <c r="T4" s="32"/>
    </row>
    <row r="5" spans="1:20">
      <c r="A5" s="32">
        <v>1442</v>
      </c>
      <c r="B5" s="32"/>
      <c r="C5" s="32" t="s">
        <v>236</v>
      </c>
      <c r="D5" s="32" t="s">
        <v>237</v>
      </c>
      <c r="E5" s="32" t="s">
        <v>238</v>
      </c>
      <c r="F5" s="32" t="s">
        <v>239</v>
      </c>
      <c r="G5" s="32" t="s">
        <v>236</v>
      </c>
      <c r="H5" s="32" t="s">
        <v>237</v>
      </c>
      <c r="I5" s="32" t="s">
        <v>238</v>
      </c>
      <c r="J5" s="32" t="s">
        <v>239</v>
      </c>
      <c r="K5" s="32"/>
      <c r="L5" s="32"/>
      <c r="M5" s="32"/>
      <c r="N5" s="32"/>
      <c r="O5" s="32"/>
      <c r="P5" s="32"/>
      <c r="Q5" s="32"/>
      <c r="R5" s="32"/>
      <c r="S5" s="32"/>
      <c r="T5" s="32"/>
    </row>
    <row r="6" spans="1:20">
      <c r="A6" s="32">
        <v>1471</v>
      </c>
      <c r="B6" s="32"/>
      <c r="C6" s="51">
        <v>42331</v>
      </c>
      <c r="D6" s="32">
        <v>0</v>
      </c>
      <c r="E6" s="32">
        <v>0</v>
      </c>
      <c r="F6" s="32">
        <v>0</v>
      </c>
      <c r="G6" s="51">
        <v>42310</v>
      </c>
      <c r="H6" s="32">
        <v>0</v>
      </c>
      <c r="I6" s="32">
        <v>0</v>
      </c>
      <c r="J6" s="32">
        <v>0</v>
      </c>
      <c r="K6" s="32"/>
      <c r="L6" s="32"/>
      <c r="M6" s="32"/>
      <c r="N6" s="32"/>
      <c r="O6" s="32"/>
      <c r="P6" s="32"/>
      <c r="Q6" s="32" t="s">
        <v>241</v>
      </c>
      <c r="R6" s="32"/>
      <c r="S6" s="32"/>
      <c r="T6" s="32"/>
    </row>
    <row r="7" spans="1:20">
      <c r="A7" s="32">
        <v>4722</v>
      </c>
      <c r="B7" s="32"/>
      <c r="C7" s="51">
        <v>42328</v>
      </c>
      <c r="D7" s="32">
        <v>0</v>
      </c>
      <c r="E7" s="32">
        <v>0</v>
      </c>
      <c r="F7" s="32">
        <v>0</v>
      </c>
      <c r="G7" s="51">
        <v>42307</v>
      </c>
      <c r="H7" s="32">
        <v>0</v>
      </c>
      <c r="I7" s="32">
        <v>0</v>
      </c>
      <c r="J7" s="32">
        <v>0</v>
      </c>
      <c r="K7" s="32"/>
      <c r="L7" s="32"/>
      <c r="M7" s="32"/>
      <c r="N7" s="32"/>
      <c r="O7" s="32"/>
      <c r="P7" s="32"/>
      <c r="Q7" s="32"/>
      <c r="R7" s="32"/>
      <c r="S7" s="32"/>
      <c r="T7" s="32"/>
    </row>
    <row r="8" spans="1:20">
      <c r="A8" s="32">
        <v>8433</v>
      </c>
      <c r="B8" s="32"/>
      <c r="C8" s="51">
        <v>42327</v>
      </c>
      <c r="D8" s="32">
        <v>1</v>
      </c>
      <c r="E8" s="32">
        <v>1</v>
      </c>
      <c r="F8" s="32">
        <v>0</v>
      </c>
      <c r="G8" s="51">
        <v>42306</v>
      </c>
      <c r="H8" s="32">
        <v>0</v>
      </c>
      <c r="I8" s="32">
        <v>0</v>
      </c>
      <c r="J8" s="32">
        <v>0</v>
      </c>
      <c r="K8" s="32"/>
      <c r="L8" s="32"/>
      <c r="M8" s="32"/>
      <c r="N8" s="32"/>
      <c r="O8" s="32"/>
      <c r="P8" s="32"/>
      <c r="Q8" s="32"/>
      <c r="R8" s="32"/>
      <c r="S8" s="32"/>
      <c r="T8" s="32"/>
    </row>
    <row r="9" spans="1:20">
      <c r="A9" s="32">
        <v>6220</v>
      </c>
      <c r="B9" s="32"/>
      <c r="C9" s="51">
        <v>42326</v>
      </c>
      <c r="D9" s="32">
        <v>0</v>
      </c>
      <c r="E9" s="32">
        <v>0</v>
      </c>
      <c r="F9" s="32">
        <v>0</v>
      </c>
      <c r="G9" s="51">
        <v>42305</v>
      </c>
      <c r="H9" s="32">
        <v>1</v>
      </c>
      <c r="I9" s="32">
        <v>0</v>
      </c>
      <c r="J9" s="32">
        <v>1</v>
      </c>
      <c r="K9" s="32"/>
      <c r="L9" s="32"/>
      <c r="M9" s="32"/>
      <c r="N9" s="32"/>
      <c r="O9" s="32"/>
      <c r="P9" s="32"/>
      <c r="Q9" s="32"/>
      <c r="R9" s="32"/>
      <c r="S9" s="32"/>
      <c r="T9" s="32"/>
    </row>
    <row r="10" spans="1:20">
      <c r="A10" s="32">
        <v>3038</v>
      </c>
      <c r="B10" s="32"/>
      <c r="C10" s="51">
        <v>42325</v>
      </c>
      <c r="D10" s="32">
        <v>0</v>
      </c>
      <c r="E10" s="32">
        <v>0</v>
      </c>
      <c r="F10" s="32">
        <v>0</v>
      </c>
      <c r="G10" s="51">
        <v>42304</v>
      </c>
      <c r="H10" s="32">
        <v>0</v>
      </c>
      <c r="I10" s="32">
        <v>0</v>
      </c>
      <c r="J10" s="32">
        <v>0</v>
      </c>
      <c r="K10" s="32"/>
      <c r="L10" s="32"/>
      <c r="M10" s="32"/>
      <c r="N10" s="32"/>
      <c r="O10" s="32"/>
      <c r="P10" s="32"/>
      <c r="Q10" s="32"/>
      <c r="R10" s="32"/>
      <c r="S10" s="32"/>
      <c r="T10" s="32"/>
    </row>
    <row r="11" spans="1:20">
      <c r="A11" s="32">
        <v>1541</v>
      </c>
      <c r="B11" s="32"/>
      <c r="C11" s="51">
        <v>42324</v>
      </c>
      <c r="D11" s="32">
        <v>0</v>
      </c>
      <c r="E11" s="32">
        <v>0</v>
      </c>
      <c r="F11" s="32">
        <v>0</v>
      </c>
      <c r="G11" s="51">
        <v>42303</v>
      </c>
      <c r="H11" s="32">
        <v>0</v>
      </c>
      <c r="I11" s="32">
        <v>0</v>
      </c>
      <c r="J11" s="32">
        <v>0</v>
      </c>
      <c r="K11" s="32"/>
      <c r="L11" s="32"/>
      <c r="M11" s="32"/>
      <c r="N11" s="32"/>
      <c r="O11" s="32"/>
      <c r="P11" s="32"/>
      <c r="Q11" s="32"/>
      <c r="R11" s="32"/>
      <c r="S11" s="32"/>
      <c r="T11" s="32"/>
    </row>
    <row r="12" spans="1:20">
      <c r="A12" s="32">
        <v>9924</v>
      </c>
      <c r="B12" s="32"/>
      <c r="C12" s="51">
        <v>42321</v>
      </c>
      <c r="D12" s="32">
        <v>0</v>
      </c>
      <c r="E12" s="32">
        <v>0</v>
      </c>
      <c r="F12" s="32">
        <v>0</v>
      </c>
      <c r="G12" s="51">
        <v>42300</v>
      </c>
      <c r="H12" s="32">
        <v>0</v>
      </c>
      <c r="I12" s="32">
        <v>0</v>
      </c>
      <c r="J12" s="32">
        <v>0</v>
      </c>
      <c r="K12" s="32"/>
      <c r="L12" s="32"/>
      <c r="M12" s="32"/>
      <c r="N12" s="32"/>
      <c r="O12" s="32"/>
      <c r="P12" s="32"/>
      <c r="Q12" s="32"/>
      <c r="R12" s="32"/>
      <c r="S12" s="32"/>
      <c r="T12" s="32"/>
    </row>
    <row r="13" spans="1:20">
      <c r="A13" s="32">
        <v>9934</v>
      </c>
      <c r="B13" s="32"/>
      <c r="C13" s="51">
        <v>42320</v>
      </c>
      <c r="D13" s="32">
        <v>1</v>
      </c>
      <c r="E13" s="32">
        <v>0</v>
      </c>
      <c r="F13" s="32">
        <v>1</v>
      </c>
      <c r="G13" s="51">
        <v>42299</v>
      </c>
      <c r="H13" s="32">
        <v>0</v>
      </c>
      <c r="I13" s="32">
        <v>0</v>
      </c>
      <c r="J13" s="32">
        <v>0</v>
      </c>
      <c r="K13" s="32"/>
      <c r="L13" s="32"/>
      <c r="M13" s="32"/>
      <c r="N13" s="32"/>
      <c r="O13" s="32"/>
      <c r="P13" s="32"/>
      <c r="Q13" s="32"/>
      <c r="R13" s="32"/>
      <c r="S13" s="32"/>
      <c r="T13" s="32"/>
    </row>
    <row r="14" spans="1:20">
      <c r="A14" s="32">
        <v>2634</v>
      </c>
      <c r="B14" s="32"/>
      <c r="C14" s="51">
        <v>42319</v>
      </c>
      <c r="D14" s="32">
        <v>0</v>
      </c>
      <c r="E14" s="32">
        <v>0</v>
      </c>
      <c r="F14" s="32">
        <v>0</v>
      </c>
      <c r="G14" s="51">
        <v>42298</v>
      </c>
      <c r="H14" s="32">
        <v>0</v>
      </c>
      <c r="I14" s="32">
        <v>0</v>
      </c>
      <c r="J14" s="32">
        <v>0</v>
      </c>
      <c r="K14" s="32"/>
      <c r="L14" s="32"/>
      <c r="M14" s="32"/>
      <c r="N14" s="32"/>
      <c r="O14" s="32"/>
      <c r="P14" s="32"/>
      <c r="Q14" s="32"/>
      <c r="R14" s="32"/>
      <c r="S14" s="32"/>
      <c r="T14" s="32"/>
    </row>
    <row r="15" spans="1:20">
      <c r="A15" s="32">
        <v>8222</v>
      </c>
      <c r="B15" s="32"/>
      <c r="C15" s="51">
        <v>42318</v>
      </c>
      <c r="D15" s="32">
        <v>1</v>
      </c>
      <c r="E15" s="32">
        <v>0</v>
      </c>
      <c r="F15" s="32">
        <v>1</v>
      </c>
      <c r="G15" s="51">
        <v>42297</v>
      </c>
      <c r="H15" s="32">
        <v>0</v>
      </c>
      <c r="I15" s="32">
        <v>0</v>
      </c>
      <c r="J15" s="32">
        <v>0</v>
      </c>
      <c r="K15" s="32"/>
      <c r="L15" s="32"/>
      <c r="M15" s="32"/>
      <c r="N15" s="32"/>
      <c r="O15" s="32"/>
      <c r="P15" s="32"/>
      <c r="Q15" s="32"/>
      <c r="R15" s="32"/>
      <c r="S15" s="32"/>
      <c r="T15" s="32"/>
    </row>
    <row r="16" spans="1:20">
      <c r="A16" s="32">
        <v>4541</v>
      </c>
      <c r="B16" s="32"/>
      <c r="C16" s="51">
        <v>42317</v>
      </c>
      <c r="D16" s="32">
        <v>0</v>
      </c>
      <c r="E16" s="32">
        <v>1</v>
      </c>
      <c r="F16" s="32">
        <v>-1</v>
      </c>
      <c r="G16" s="51">
        <v>42296</v>
      </c>
      <c r="H16" s="32">
        <v>0</v>
      </c>
      <c r="I16" s="32">
        <v>0</v>
      </c>
      <c r="J16" s="32">
        <v>0</v>
      </c>
      <c r="K16" s="32"/>
      <c r="L16" s="32"/>
      <c r="M16" s="32"/>
      <c r="N16" s="32"/>
      <c r="O16" s="32"/>
      <c r="P16" s="32"/>
      <c r="Q16" s="32"/>
      <c r="R16" s="32"/>
      <c r="S16" s="32"/>
      <c r="T16" s="32"/>
    </row>
    <row r="17" spans="1:20">
      <c r="A17" s="32">
        <v>3004</v>
      </c>
      <c r="B17" s="32"/>
      <c r="C17" s="51">
        <v>42314</v>
      </c>
      <c r="D17" s="32">
        <v>0</v>
      </c>
      <c r="E17" s="32">
        <v>0</v>
      </c>
      <c r="F17" s="32">
        <v>0</v>
      </c>
      <c r="G17" s="51">
        <v>42293</v>
      </c>
      <c r="H17" s="32">
        <v>0</v>
      </c>
      <c r="I17" s="32">
        <v>0</v>
      </c>
      <c r="J17" s="32">
        <v>0</v>
      </c>
      <c r="K17" s="32"/>
      <c r="L17" s="32"/>
      <c r="M17" s="32"/>
      <c r="N17" s="32"/>
      <c r="O17" s="32"/>
      <c r="P17" s="32"/>
      <c r="Q17" s="32"/>
      <c r="R17" s="32"/>
      <c r="S17" s="32"/>
      <c r="T17" s="32"/>
    </row>
    <row r="18" spans="1:20">
      <c r="A18" s="32">
        <v>2455</v>
      </c>
      <c r="B18" s="32"/>
      <c r="C18" s="51">
        <v>42313</v>
      </c>
      <c r="D18" s="32">
        <v>0</v>
      </c>
      <c r="E18" s="32">
        <v>0</v>
      </c>
      <c r="F18" s="32">
        <v>0</v>
      </c>
      <c r="G18" s="51">
        <v>42292</v>
      </c>
      <c r="H18" s="32">
        <v>0</v>
      </c>
      <c r="I18" s="32">
        <v>0</v>
      </c>
      <c r="J18" s="32">
        <v>0</v>
      </c>
      <c r="K18" s="32"/>
      <c r="L18" s="32"/>
      <c r="M18" s="32"/>
      <c r="N18" s="32"/>
      <c r="O18" s="32"/>
      <c r="P18" s="32"/>
      <c r="Q18" s="32"/>
      <c r="R18" s="32"/>
      <c r="S18" s="32"/>
      <c r="T18" s="32"/>
    </row>
    <row r="19" spans="1:20">
      <c r="A19" s="32">
        <v>3105</v>
      </c>
      <c r="B19" s="32"/>
      <c r="C19" s="51">
        <v>42312</v>
      </c>
      <c r="D19" s="32">
        <v>0</v>
      </c>
      <c r="E19" s="32">
        <v>0</v>
      </c>
      <c r="F19" s="32">
        <v>0</v>
      </c>
      <c r="G19" s="51">
        <v>42291</v>
      </c>
      <c r="H19" s="32">
        <v>0</v>
      </c>
      <c r="I19" s="32">
        <v>0</v>
      </c>
      <c r="J19" s="32">
        <v>0</v>
      </c>
      <c r="K19" s="32"/>
      <c r="L19" s="32"/>
      <c r="M19" s="32"/>
      <c r="N19" s="32"/>
      <c r="O19" s="32"/>
      <c r="P19" s="32"/>
      <c r="Q19" s="32"/>
      <c r="R19" s="32"/>
      <c r="S19" s="32"/>
      <c r="T19" s="32"/>
    </row>
    <row r="20" spans="1:20">
      <c r="A20" s="32">
        <v>6205</v>
      </c>
      <c r="B20" s="32"/>
      <c r="C20" s="51">
        <v>42311</v>
      </c>
      <c r="D20" s="32">
        <v>0</v>
      </c>
      <c r="E20" s="32">
        <v>0</v>
      </c>
      <c r="F20" s="32">
        <v>0</v>
      </c>
      <c r="G20" s="51">
        <v>42290</v>
      </c>
      <c r="H20" s="32">
        <v>0</v>
      </c>
      <c r="I20" s="32">
        <v>0</v>
      </c>
      <c r="J20" s="32">
        <v>0</v>
      </c>
      <c r="K20" s="32"/>
      <c r="L20" s="32"/>
      <c r="M20" s="32"/>
      <c r="N20" s="32"/>
      <c r="O20" s="32"/>
      <c r="P20" s="32"/>
      <c r="Q20" s="32"/>
      <c r="R20" s="32"/>
      <c r="S20" s="32"/>
      <c r="T20" s="32"/>
    </row>
    <row r="21" spans="1:20">
      <c r="A21" s="32">
        <v>4401</v>
      </c>
      <c r="B21" s="32"/>
      <c r="C21" s="32"/>
      <c r="D21" s="32"/>
      <c r="E21" s="32"/>
      <c r="F21" s="32"/>
      <c r="G21" s="32"/>
      <c r="H21" s="32"/>
      <c r="I21" s="32"/>
      <c r="J21" s="32"/>
      <c r="K21" s="32"/>
      <c r="L21" s="32"/>
      <c r="M21" s="32"/>
      <c r="N21" s="32"/>
      <c r="O21" s="32"/>
      <c r="P21" s="32"/>
      <c r="Q21" s="32"/>
      <c r="R21" s="32"/>
      <c r="S21" s="32"/>
      <c r="T21" s="32"/>
    </row>
    <row r="22" spans="1:20">
      <c r="A22" s="32">
        <v>1471</v>
      </c>
    </row>
    <row r="23" spans="1:20">
      <c r="A23" s="32">
        <v>1442</v>
      </c>
    </row>
    <row r="24" spans="1:20">
      <c r="A24" s="32">
        <v>5245</v>
      </c>
    </row>
    <row r="25" spans="1:20">
      <c r="A25" s="32">
        <v>8042</v>
      </c>
    </row>
    <row r="26" spans="1:20">
      <c r="A26" s="32">
        <v>2437</v>
      </c>
    </row>
    <row r="27" spans="1:20">
      <c r="A27" s="32">
        <v>8255</v>
      </c>
    </row>
    <row r="28" spans="1:20">
      <c r="A28" s="32">
        <v>6277</v>
      </c>
    </row>
    <row r="29" spans="1:20">
      <c r="A29" s="32">
        <v>8050</v>
      </c>
    </row>
    <row r="30" spans="1:20">
      <c r="A30" s="32"/>
    </row>
    <row r="31" spans="1:20">
      <c r="A31" s="32"/>
    </row>
    <row r="32" spans="1:20">
      <c r="A32" s="32"/>
    </row>
    <row r="33" spans="1:1">
      <c r="A33" s="32"/>
    </row>
    <row r="34" spans="1:1">
      <c r="A34" s="32"/>
    </row>
    <row r="35" spans="1:1">
      <c r="A35" s="32"/>
    </row>
    <row r="36" spans="1:1">
      <c r="A36" s="32"/>
    </row>
    <row r="37" spans="1:1">
      <c r="A37" s="32"/>
    </row>
    <row r="38" spans="1:1">
      <c r="A38" s="32"/>
    </row>
  </sheetData>
  <phoneticPr fontId="2" type="noConversion"/>
  <pageMargins left="0.7" right="0.7" top="0.75" bottom="0.75" header="0.3" footer="0.3"/>
  <pageSetup paperSize="9" orientation="portrait" r:id="rId1"/>
  <legacyDrawing r:id="rId2"/>
  <controls>
    <control shapeId="19457" r:id="rId3" name="CommandButton1"/>
    <control shapeId="19460" r:id="rId4" name="CommandButton2"/>
  </controls>
</worksheet>
</file>

<file path=xl/worksheets/sheet20.xml><?xml version="1.0" encoding="utf-8"?>
<worksheet xmlns="http://schemas.openxmlformats.org/spreadsheetml/2006/main" xmlns:r="http://schemas.openxmlformats.org/officeDocument/2006/relationships">
  <sheetPr codeName="工作表6"/>
  <dimension ref="A1"/>
  <sheetViews>
    <sheetView workbookViewId="0"/>
  </sheetViews>
  <sheetFormatPr defaultRowHeight="16.5"/>
  <sheetData/>
  <phoneticPr fontId="2" type="noConversion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>
  <sheetPr codeName="工作表7"/>
  <dimension ref="A1"/>
  <sheetViews>
    <sheetView workbookViewId="0">
      <selection activeCell="G9" sqref="G9"/>
    </sheetView>
  </sheetViews>
  <sheetFormatPr defaultRowHeight="16.5"/>
  <sheetData/>
  <phoneticPr fontId="2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21</vt:i4>
      </vt:variant>
      <vt:variant>
        <vt:lpstr>已命名的範圍</vt:lpstr>
      </vt:variant>
      <vt:variant>
        <vt:i4>1208</vt:i4>
      </vt:variant>
    </vt:vector>
  </HeadingPairs>
  <TitlesOfParts>
    <vt:vector size="1229" baseType="lpstr">
      <vt:lpstr>基本設定</vt:lpstr>
      <vt:lpstr>收盤價</vt:lpstr>
      <vt:lpstr>紅綠燈</vt:lpstr>
      <vt:lpstr>個股檢查表</vt:lpstr>
      <vt:lpstr>評比系統</vt:lpstr>
      <vt:lpstr>篩股系統</vt:lpstr>
      <vt:lpstr>財報PK</vt:lpstr>
      <vt:lpstr>營收搶先報</vt:lpstr>
      <vt:lpstr>PSR</vt:lpstr>
      <vt:lpstr>RPS</vt:lpstr>
      <vt:lpstr>葛林公式</vt:lpstr>
      <vt:lpstr>重訊追蹤</vt:lpstr>
      <vt:lpstr>篩穀結果</vt:lpstr>
      <vt:lpstr>季財報</vt:lpstr>
      <vt:lpstr>PK</vt:lpstr>
      <vt:lpstr>PKA</vt:lpstr>
      <vt:lpstr>PKB</vt:lpstr>
      <vt:lpstr>PKC</vt:lpstr>
      <vt:lpstr>福邦</vt:lpstr>
      <vt:lpstr>IS</vt:lpstr>
      <vt:lpstr>BS</vt:lpstr>
      <vt:lpstr>評比系統!外部資料_101</vt:lpstr>
      <vt:lpstr>評比系統!外部資料_102</vt:lpstr>
      <vt:lpstr>評比系統!外部資料_103</vt:lpstr>
      <vt:lpstr>評比系統!外部資料_104</vt:lpstr>
      <vt:lpstr>評比系統!外部資料_105</vt:lpstr>
      <vt:lpstr>評比系統!外部資料_106</vt:lpstr>
      <vt:lpstr>評比系統!外部資料_107</vt:lpstr>
      <vt:lpstr>評比系統!外部資料_108</vt:lpstr>
      <vt:lpstr>評比系統!外部資料_109</vt:lpstr>
      <vt:lpstr>評比系統!外部資料_110</vt:lpstr>
      <vt:lpstr>評比系統!外部資料_111</vt:lpstr>
      <vt:lpstr>評比系統!外部資料_112</vt:lpstr>
      <vt:lpstr>評比系統!外部資料_113</vt:lpstr>
      <vt:lpstr>評比系統!外部資料_114</vt:lpstr>
      <vt:lpstr>評比系統!外部資料_115</vt:lpstr>
      <vt:lpstr>評比系統!外部資料_116</vt:lpstr>
      <vt:lpstr>評比系統!外部資料_117</vt:lpstr>
      <vt:lpstr>評比系統!外部資料_118</vt:lpstr>
      <vt:lpstr>評比系統!外部資料_119</vt:lpstr>
      <vt:lpstr>評比系統!外部資料_120</vt:lpstr>
      <vt:lpstr>評比系統!外部資料_121</vt:lpstr>
      <vt:lpstr>評比系統!外部資料_122</vt:lpstr>
      <vt:lpstr>評比系統!外部資料_123</vt:lpstr>
      <vt:lpstr>評比系統!外部資料_124</vt:lpstr>
      <vt:lpstr>評比系統!外部資料_125</vt:lpstr>
      <vt:lpstr>評比系統!外部資料_126</vt:lpstr>
      <vt:lpstr>評比系統!外部資料_127</vt:lpstr>
      <vt:lpstr>評比系統!外部資料_128</vt:lpstr>
      <vt:lpstr>評比系統!外部資料_129</vt:lpstr>
      <vt:lpstr>評比系統!外部資料_130</vt:lpstr>
      <vt:lpstr>評比系統!外部資料_131</vt:lpstr>
      <vt:lpstr>評比系統!外部資料_132</vt:lpstr>
      <vt:lpstr>評比系統!外部資料_133</vt:lpstr>
      <vt:lpstr>評比系統!外部資料_134</vt:lpstr>
      <vt:lpstr>評比系統!外部資料_135</vt:lpstr>
      <vt:lpstr>評比系統!外部資料_136</vt:lpstr>
      <vt:lpstr>篩股系統!外部資料_1360</vt:lpstr>
      <vt:lpstr>評比系統!外部資料_137</vt:lpstr>
      <vt:lpstr>營收搶先報!外部資料_137</vt:lpstr>
      <vt:lpstr>評比系統!外部資料_138</vt:lpstr>
      <vt:lpstr>營收搶先報!外部資料_138</vt:lpstr>
      <vt:lpstr>評比系統!外部資料_139</vt:lpstr>
      <vt:lpstr>評比系統!外部資料_140</vt:lpstr>
      <vt:lpstr>評比系統!外部資料_141</vt:lpstr>
      <vt:lpstr>評比系統!外部資料_142</vt:lpstr>
      <vt:lpstr>評比系統!外部資料_143</vt:lpstr>
      <vt:lpstr>評比系統!外部資料_144</vt:lpstr>
      <vt:lpstr>評比系統!外部資料_145</vt:lpstr>
      <vt:lpstr>評比系統!外部資料_146</vt:lpstr>
      <vt:lpstr>評比系統!外部資料_147</vt:lpstr>
      <vt:lpstr>評比系統!外部資料_148</vt:lpstr>
      <vt:lpstr>評比系統!外部資料_149</vt:lpstr>
      <vt:lpstr>評比系統!外部資料_150</vt:lpstr>
      <vt:lpstr>評比系統!外部資料_151</vt:lpstr>
      <vt:lpstr>評比系統!外部資料_152</vt:lpstr>
      <vt:lpstr>評比系統!外部資料_153</vt:lpstr>
      <vt:lpstr>評比系統!外部資料_154</vt:lpstr>
      <vt:lpstr>評比系統!外部資料_156</vt:lpstr>
      <vt:lpstr>評比系統!外部資料_157</vt:lpstr>
      <vt:lpstr>評比系統!外部資料_158</vt:lpstr>
      <vt:lpstr>評比系統!外部資料_159</vt:lpstr>
      <vt:lpstr>評比系統!外部資料_160</vt:lpstr>
      <vt:lpstr>評比系統!外部資料_161</vt:lpstr>
      <vt:lpstr>評比系統!外部資料_162</vt:lpstr>
      <vt:lpstr>評比系統!外部資料_163</vt:lpstr>
      <vt:lpstr>篩股系統!外部資料_1636</vt:lpstr>
      <vt:lpstr>評比系統!外部資料_164</vt:lpstr>
      <vt:lpstr>評比系統!外部資料_165</vt:lpstr>
      <vt:lpstr>評比系統!外部資料_166</vt:lpstr>
      <vt:lpstr>篩股系統!外部資料_1661</vt:lpstr>
      <vt:lpstr>評比系統!外部資料_167</vt:lpstr>
      <vt:lpstr>評比系統!外部資料_168</vt:lpstr>
      <vt:lpstr>評比系統!外部資料_169</vt:lpstr>
      <vt:lpstr>評比系統!外部資料_170</vt:lpstr>
      <vt:lpstr>評比系統!外部資料_171</vt:lpstr>
      <vt:lpstr>評比系統!外部資料_172</vt:lpstr>
      <vt:lpstr>評比系統!外部資料_173</vt:lpstr>
      <vt:lpstr>評比系統!外部資料_174</vt:lpstr>
      <vt:lpstr>評比系統!外部資料_175</vt:lpstr>
      <vt:lpstr>評比系統!外部資料_176</vt:lpstr>
      <vt:lpstr>評比系統!外部資料_177</vt:lpstr>
      <vt:lpstr>評比系統!外部資料_178</vt:lpstr>
      <vt:lpstr>評比系統!外部資料_179</vt:lpstr>
      <vt:lpstr>評比系統!外部資料_180</vt:lpstr>
      <vt:lpstr>評比系統!外部資料_181</vt:lpstr>
      <vt:lpstr>評比系統!外部資料_182</vt:lpstr>
      <vt:lpstr>評比系統!外部資料_183</vt:lpstr>
      <vt:lpstr>評比系統!外部資料_184</vt:lpstr>
      <vt:lpstr>評比系統!外部資料_185</vt:lpstr>
      <vt:lpstr>評比系統!外部資料_186</vt:lpstr>
      <vt:lpstr>評比系統!外部資料_187</vt:lpstr>
      <vt:lpstr>評比系統!外部資料_188</vt:lpstr>
      <vt:lpstr>評比系統!外部資料_189</vt:lpstr>
      <vt:lpstr>評比系統!外部資料_190</vt:lpstr>
      <vt:lpstr>評比系統!外部資料_191</vt:lpstr>
      <vt:lpstr>評比系統!外部資料_192</vt:lpstr>
      <vt:lpstr>評比系統!外部資料_193</vt:lpstr>
      <vt:lpstr>評比系統!外部資料_194</vt:lpstr>
      <vt:lpstr>評比系統!外部資料_195</vt:lpstr>
      <vt:lpstr>評比系統!外部資料_196</vt:lpstr>
      <vt:lpstr>評比系統!外部資料_197</vt:lpstr>
      <vt:lpstr>評比系統!外部資料_198</vt:lpstr>
      <vt:lpstr>評比系統!外部資料_199</vt:lpstr>
      <vt:lpstr>評比系統!外部資料_200</vt:lpstr>
      <vt:lpstr>評比系統!外部資料_201</vt:lpstr>
      <vt:lpstr>評比系統!外部資料_202</vt:lpstr>
      <vt:lpstr>評比系統!外部資料_203</vt:lpstr>
      <vt:lpstr>評比系統!外部資料_204</vt:lpstr>
      <vt:lpstr>評比系統!外部資料_205</vt:lpstr>
      <vt:lpstr>評比系統!外部資料_206</vt:lpstr>
      <vt:lpstr>評比系統!外部資料_207</vt:lpstr>
      <vt:lpstr>評比系統!外部資料_208</vt:lpstr>
      <vt:lpstr>評比系統!外部資料_209</vt:lpstr>
      <vt:lpstr>評比系統!外部資料_210</vt:lpstr>
      <vt:lpstr>評比系統!外部資料_211</vt:lpstr>
      <vt:lpstr>評比系統!外部資料_212</vt:lpstr>
      <vt:lpstr>評比系統!外部資料_213</vt:lpstr>
      <vt:lpstr>評比系統!外部資料_214</vt:lpstr>
      <vt:lpstr>評比系統!外部資料_215</vt:lpstr>
      <vt:lpstr>評比系統!外部資料_216</vt:lpstr>
      <vt:lpstr>評比系統!外部資料_217</vt:lpstr>
      <vt:lpstr>評比系統!外部資料_218</vt:lpstr>
      <vt:lpstr>篩股系統!外部資料_2183</vt:lpstr>
      <vt:lpstr>評比系統!外部資料_219</vt:lpstr>
      <vt:lpstr>評比系統!外部資料_220</vt:lpstr>
      <vt:lpstr>評比系統!外部資料_221</vt:lpstr>
      <vt:lpstr>評比系統!外部資料_222</vt:lpstr>
      <vt:lpstr>評比系統!外部資料_223</vt:lpstr>
      <vt:lpstr>評比系統!外部資料_224</vt:lpstr>
      <vt:lpstr>評比系統!外部資料_225</vt:lpstr>
      <vt:lpstr>評比系統!外部資料_226</vt:lpstr>
      <vt:lpstr>評比系統!外部資料_227</vt:lpstr>
      <vt:lpstr>評比系統!外部資料_228</vt:lpstr>
      <vt:lpstr>評比系統!外部資料_229</vt:lpstr>
      <vt:lpstr>評比系統!外部資料_230</vt:lpstr>
      <vt:lpstr>評比系統!外部資料_231</vt:lpstr>
      <vt:lpstr>評比系統!外部資料_232</vt:lpstr>
      <vt:lpstr>評比系統!外部資料_233</vt:lpstr>
      <vt:lpstr>評比系統!外部資料_234</vt:lpstr>
      <vt:lpstr>評比系統!外部資料_235</vt:lpstr>
      <vt:lpstr>評比系統!外部資料_236</vt:lpstr>
      <vt:lpstr>評比系統!外部資料_237</vt:lpstr>
      <vt:lpstr>評比系統!外部資料_238</vt:lpstr>
      <vt:lpstr>評比系統!外部資料_239</vt:lpstr>
      <vt:lpstr>評比系統!外部資料_240</vt:lpstr>
      <vt:lpstr>評比系統!外部資料_241</vt:lpstr>
      <vt:lpstr>評比系統!外部資料_242</vt:lpstr>
      <vt:lpstr>評比系統!外部資料_243</vt:lpstr>
      <vt:lpstr>評比系統!外部資料_244</vt:lpstr>
      <vt:lpstr>評比系統!外部資料_245</vt:lpstr>
      <vt:lpstr>評比系統!外部資料_246</vt:lpstr>
      <vt:lpstr>評比系統!外部資料_247</vt:lpstr>
      <vt:lpstr>評比系統!外部資料_248</vt:lpstr>
      <vt:lpstr>評比系統!外部資料_249</vt:lpstr>
      <vt:lpstr>評比系統!外部資料_250</vt:lpstr>
      <vt:lpstr>評比系統!外部資料_251</vt:lpstr>
      <vt:lpstr>評比系統!外部資料_252</vt:lpstr>
      <vt:lpstr>評比系統!外部資料_253</vt:lpstr>
      <vt:lpstr>評比系統!外部資料_254</vt:lpstr>
      <vt:lpstr>評比系統!外部資料_255</vt:lpstr>
      <vt:lpstr>評比系統!外部資料_256</vt:lpstr>
      <vt:lpstr>評比系統!外部資料_257</vt:lpstr>
      <vt:lpstr>評比系統!外部資料_258</vt:lpstr>
      <vt:lpstr>評比系統!外部資料_259</vt:lpstr>
      <vt:lpstr>評比系統!外部資料_260</vt:lpstr>
      <vt:lpstr>評比系統!外部資料_261</vt:lpstr>
      <vt:lpstr>評比系統!外部資料_262</vt:lpstr>
      <vt:lpstr>評比系統!外部資料_263</vt:lpstr>
      <vt:lpstr>評比系統!外部資料_264</vt:lpstr>
      <vt:lpstr>評比系統!外部資料_265</vt:lpstr>
      <vt:lpstr>評比系統!外部資料_266</vt:lpstr>
      <vt:lpstr>評比系統!外部資料_267</vt:lpstr>
      <vt:lpstr>評比系統!外部資料_268</vt:lpstr>
      <vt:lpstr>評比系統!外部資料_269</vt:lpstr>
      <vt:lpstr>評比系統!外部資料_270</vt:lpstr>
      <vt:lpstr>評比系統!外部資料_271</vt:lpstr>
      <vt:lpstr>評比系統!外部資料_272</vt:lpstr>
      <vt:lpstr>評比系統!外部資料_273</vt:lpstr>
      <vt:lpstr>評比系統!外部資料_274</vt:lpstr>
      <vt:lpstr>評比系統!外部資料_275</vt:lpstr>
      <vt:lpstr>評比系統!外部資料_276</vt:lpstr>
      <vt:lpstr>評比系統!外部資料_277</vt:lpstr>
      <vt:lpstr>評比系統!外部資料_278</vt:lpstr>
      <vt:lpstr>篩股系統!外部資料_2788</vt:lpstr>
      <vt:lpstr>評比系統!外部資料_279</vt:lpstr>
      <vt:lpstr>評比系統!外部資料_280</vt:lpstr>
      <vt:lpstr>評比系統!外部資料_281</vt:lpstr>
      <vt:lpstr>篩股系統!外部資料_2815</vt:lpstr>
      <vt:lpstr>評比系統!外部資料_282</vt:lpstr>
      <vt:lpstr>評比系統!外部資料_283</vt:lpstr>
      <vt:lpstr>篩股系統!外部資料_2834</vt:lpstr>
      <vt:lpstr>篩股系統!外部資料_2838</vt:lpstr>
      <vt:lpstr>評比系統!外部資料_284</vt:lpstr>
      <vt:lpstr>評比系統!外部資料_285</vt:lpstr>
      <vt:lpstr>篩股系統!外部資料_2850</vt:lpstr>
      <vt:lpstr>篩股系統!外部資料_2853</vt:lpstr>
      <vt:lpstr>評比系統!外部資料_286</vt:lpstr>
      <vt:lpstr>評比系統!外部資料_287</vt:lpstr>
      <vt:lpstr>評比系統!外部資料_288</vt:lpstr>
      <vt:lpstr>評比系統!外部資料_289</vt:lpstr>
      <vt:lpstr>評比系統!外部資料_290</vt:lpstr>
      <vt:lpstr>評比系統!外部資料_291</vt:lpstr>
      <vt:lpstr>評比系統!外部資料_292</vt:lpstr>
      <vt:lpstr>評比系統!外部資料_293</vt:lpstr>
      <vt:lpstr>評比系統!外部資料_294</vt:lpstr>
      <vt:lpstr>評比系統!外部資料_295</vt:lpstr>
      <vt:lpstr>評比系統!外部資料_296</vt:lpstr>
      <vt:lpstr>評比系統!外部資料_297</vt:lpstr>
      <vt:lpstr>評比系統!外部資料_298</vt:lpstr>
      <vt:lpstr>評比系統!外部資料_299</vt:lpstr>
      <vt:lpstr>評比系統!外部資料_300</vt:lpstr>
      <vt:lpstr>福邦!外部資料_300</vt:lpstr>
      <vt:lpstr>評比系統!外部資料_301</vt:lpstr>
      <vt:lpstr>福邦!外部資料_301</vt:lpstr>
      <vt:lpstr>評比系統!外部資料_302</vt:lpstr>
      <vt:lpstr>福邦!外部資料_302</vt:lpstr>
      <vt:lpstr>評比系統!外部資料_303</vt:lpstr>
      <vt:lpstr>福邦!外部資料_303</vt:lpstr>
      <vt:lpstr>評比系統!外部資料_304</vt:lpstr>
      <vt:lpstr>福邦!外部資料_304</vt:lpstr>
      <vt:lpstr>評比系統!外部資料_305</vt:lpstr>
      <vt:lpstr>福邦!外部資料_305</vt:lpstr>
      <vt:lpstr>評比系統!外部資料_306</vt:lpstr>
      <vt:lpstr>福邦!外部資料_306</vt:lpstr>
      <vt:lpstr>評比系統!外部資料_307</vt:lpstr>
      <vt:lpstr>福邦!外部資料_307</vt:lpstr>
      <vt:lpstr>評比系統!外部資料_308</vt:lpstr>
      <vt:lpstr>福邦!外部資料_308</vt:lpstr>
      <vt:lpstr>評比系統!外部資料_309</vt:lpstr>
      <vt:lpstr>福邦!外部資料_309</vt:lpstr>
      <vt:lpstr>評比系統!外部資料_310</vt:lpstr>
      <vt:lpstr>福邦!外部資料_310</vt:lpstr>
      <vt:lpstr>評比系統!外部資料_311</vt:lpstr>
      <vt:lpstr>福邦!外部資料_311</vt:lpstr>
      <vt:lpstr>評比系統!外部資料_312</vt:lpstr>
      <vt:lpstr>福邦!外部資料_312</vt:lpstr>
      <vt:lpstr>評比系統!外部資料_313</vt:lpstr>
      <vt:lpstr>福邦!外部資料_313</vt:lpstr>
      <vt:lpstr>評比系統!外部資料_314</vt:lpstr>
      <vt:lpstr>福邦!外部資料_314</vt:lpstr>
      <vt:lpstr>評比系統!外部資料_315</vt:lpstr>
      <vt:lpstr>福邦!外部資料_315</vt:lpstr>
      <vt:lpstr>評比系統!外部資料_316</vt:lpstr>
      <vt:lpstr>福邦!外部資料_316</vt:lpstr>
      <vt:lpstr>評比系統!外部資料_317</vt:lpstr>
      <vt:lpstr>福邦!外部資料_317</vt:lpstr>
      <vt:lpstr>評比系統!外部資料_318</vt:lpstr>
      <vt:lpstr>福邦!外部資料_318</vt:lpstr>
      <vt:lpstr>評比系統!外部資料_319</vt:lpstr>
      <vt:lpstr>福邦!外部資料_319</vt:lpstr>
      <vt:lpstr>評比系統!外部資料_320</vt:lpstr>
      <vt:lpstr>福邦!外部資料_320</vt:lpstr>
      <vt:lpstr>評比系統!外部資料_321</vt:lpstr>
      <vt:lpstr>福邦!外部資料_321</vt:lpstr>
      <vt:lpstr>評比系統!外部資料_322</vt:lpstr>
      <vt:lpstr>福邦!外部資料_322</vt:lpstr>
      <vt:lpstr>評比系統!外部資料_323</vt:lpstr>
      <vt:lpstr>福邦!外部資料_323</vt:lpstr>
      <vt:lpstr>評比系統!外部資料_324</vt:lpstr>
      <vt:lpstr>福邦!外部資料_324</vt:lpstr>
      <vt:lpstr>評比系統!外部資料_325</vt:lpstr>
      <vt:lpstr>福邦!外部資料_325</vt:lpstr>
      <vt:lpstr>評比系統!外部資料_326</vt:lpstr>
      <vt:lpstr>福邦!外部資料_326</vt:lpstr>
      <vt:lpstr>評比系統!外部資料_327</vt:lpstr>
      <vt:lpstr>福邦!外部資料_327</vt:lpstr>
      <vt:lpstr>評比系統!外部資料_328</vt:lpstr>
      <vt:lpstr>福邦!外部資料_328</vt:lpstr>
      <vt:lpstr>評比系統!外部資料_329</vt:lpstr>
      <vt:lpstr>福邦!外部資料_329</vt:lpstr>
      <vt:lpstr>評比系統!外部資料_330</vt:lpstr>
      <vt:lpstr>福邦!外部資料_330</vt:lpstr>
      <vt:lpstr>評比系統!外部資料_331</vt:lpstr>
      <vt:lpstr>福邦!外部資料_331</vt:lpstr>
      <vt:lpstr>評比系統!外部資料_332</vt:lpstr>
      <vt:lpstr>福邦!外部資料_332</vt:lpstr>
      <vt:lpstr>評比系統!外部資料_333</vt:lpstr>
      <vt:lpstr>福邦!外部資料_333</vt:lpstr>
      <vt:lpstr>評比系統!外部資料_334</vt:lpstr>
      <vt:lpstr>福邦!外部資料_334</vt:lpstr>
      <vt:lpstr>評比系統!外部資料_335</vt:lpstr>
      <vt:lpstr>福邦!外部資料_335</vt:lpstr>
      <vt:lpstr>評比系統!外部資料_336</vt:lpstr>
      <vt:lpstr>福邦!外部資料_336</vt:lpstr>
      <vt:lpstr>評比系統!外部資料_337</vt:lpstr>
      <vt:lpstr>福邦!外部資料_337</vt:lpstr>
      <vt:lpstr>評比系統!外部資料_338</vt:lpstr>
      <vt:lpstr>福邦!外部資料_338</vt:lpstr>
      <vt:lpstr>評比系統!外部資料_339</vt:lpstr>
      <vt:lpstr>福邦!外部資料_339</vt:lpstr>
      <vt:lpstr>評比系統!外部資料_340</vt:lpstr>
      <vt:lpstr>福邦!外部資料_340</vt:lpstr>
      <vt:lpstr>評比系統!外部資料_341</vt:lpstr>
      <vt:lpstr>福邦!外部資料_341</vt:lpstr>
      <vt:lpstr>評比系統!外部資料_342</vt:lpstr>
      <vt:lpstr>福邦!外部資料_342</vt:lpstr>
      <vt:lpstr>評比系統!外部資料_343</vt:lpstr>
      <vt:lpstr>福邦!外部資料_343</vt:lpstr>
      <vt:lpstr>評比系統!外部資料_344</vt:lpstr>
      <vt:lpstr>福邦!外部資料_344</vt:lpstr>
      <vt:lpstr>評比系統!外部資料_345</vt:lpstr>
      <vt:lpstr>福邦!外部資料_345</vt:lpstr>
      <vt:lpstr>評比系統!外部資料_346</vt:lpstr>
      <vt:lpstr>福邦!外部資料_346</vt:lpstr>
      <vt:lpstr>篩股系統!外部資料_346</vt:lpstr>
      <vt:lpstr>評比系統!外部資料_347</vt:lpstr>
      <vt:lpstr>福邦!外部資料_347</vt:lpstr>
      <vt:lpstr>評比系統!外部資料_348</vt:lpstr>
      <vt:lpstr>福邦!外部資料_348</vt:lpstr>
      <vt:lpstr>評比系統!外部資料_349</vt:lpstr>
      <vt:lpstr>福邦!外部資料_349</vt:lpstr>
      <vt:lpstr>評比系統!外部資料_350</vt:lpstr>
      <vt:lpstr>福邦!外部資料_350</vt:lpstr>
      <vt:lpstr>評比系統!外部資料_351</vt:lpstr>
      <vt:lpstr>福邦!外部資料_351</vt:lpstr>
      <vt:lpstr>評比系統!外部資料_352</vt:lpstr>
      <vt:lpstr>福邦!外部資料_352</vt:lpstr>
      <vt:lpstr>評比系統!外部資料_353</vt:lpstr>
      <vt:lpstr>福邦!外部資料_353</vt:lpstr>
      <vt:lpstr>評比系統!外部資料_354</vt:lpstr>
      <vt:lpstr>福邦!外部資料_354</vt:lpstr>
      <vt:lpstr>評比系統!外部資料_355</vt:lpstr>
      <vt:lpstr>福邦!外部資料_355</vt:lpstr>
      <vt:lpstr>評比系統!外部資料_356</vt:lpstr>
      <vt:lpstr>福邦!外部資料_356</vt:lpstr>
      <vt:lpstr>評比系統!外部資料_357</vt:lpstr>
      <vt:lpstr>評比系統!外部資料_358</vt:lpstr>
      <vt:lpstr>評比系統!外部資料_359</vt:lpstr>
      <vt:lpstr>評比系統!外部資料_360</vt:lpstr>
      <vt:lpstr>評比系統!外部資料_361</vt:lpstr>
      <vt:lpstr>評比系統!外部資料_362</vt:lpstr>
      <vt:lpstr>評比系統!外部資料_363</vt:lpstr>
      <vt:lpstr>評比系統!外部資料_364</vt:lpstr>
      <vt:lpstr>評比系統!外部資料_365</vt:lpstr>
      <vt:lpstr>評比系統!外部資料_366</vt:lpstr>
      <vt:lpstr>評比系統!外部資料_367</vt:lpstr>
      <vt:lpstr>評比系統!外部資料_368</vt:lpstr>
      <vt:lpstr>評比系統!外部資料_369</vt:lpstr>
      <vt:lpstr>評比系統!外部資料_370</vt:lpstr>
      <vt:lpstr>評比系統!外部資料_371</vt:lpstr>
      <vt:lpstr>評比系統!外部資料_372</vt:lpstr>
      <vt:lpstr>評比系統!外部資料_373</vt:lpstr>
      <vt:lpstr>評比系統!外部資料_374</vt:lpstr>
      <vt:lpstr>評比系統!外部資料_375</vt:lpstr>
      <vt:lpstr>評比系統!外部資料_376</vt:lpstr>
      <vt:lpstr>評比系統!外部資料_377</vt:lpstr>
      <vt:lpstr>評比系統!外部資料_378</vt:lpstr>
      <vt:lpstr>評比系統!外部資料_379</vt:lpstr>
      <vt:lpstr>評比系統!外部資料_380</vt:lpstr>
      <vt:lpstr>評比系統!外部資料_381</vt:lpstr>
      <vt:lpstr>評比系統!外部資料_382</vt:lpstr>
      <vt:lpstr>評比系統!外部資料_383</vt:lpstr>
      <vt:lpstr>評比系統!外部資料_384</vt:lpstr>
      <vt:lpstr>評比系統!外部資料_385</vt:lpstr>
      <vt:lpstr>評比系統!外部資料_386</vt:lpstr>
      <vt:lpstr>評比系統!外部資料_387</vt:lpstr>
      <vt:lpstr>評比系統!外部資料_388</vt:lpstr>
      <vt:lpstr>評比系統!外部資料_389</vt:lpstr>
      <vt:lpstr>評比系統!外部資料_390</vt:lpstr>
      <vt:lpstr>評比系統!外部資料_391</vt:lpstr>
      <vt:lpstr>評比系統!外部資料_392</vt:lpstr>
      <vt:lpstr>評比系統!外部資料_393</vt:lpstr>
      <vt:lpstr>評比系統!外部資料_394</vt:lpstr>
      <vt:lpstr>評比系統!外部資料_395</vt:lpstr>
      <vt:lpstr>評比系統!外部資料_396</vt:lpstr>
      <vt:lpstr>評比系統!外部資料_397</vt:lpstr>
      <vt:lpstr>評比系統!外部資料_398</vt:lpstr>
      <vt:lpstr>評比系統!外部資料_399</vt:lpstr>
      <vt:lpstr>評比系統!外部資料_400</vt:lpstr>
      <vt:lpstr>評比系統!外部資料_401</vt:lpstr>
      <vt:lpstr>評比系統!外部資料_402</vt:lpstr>
      <vt:lpstr>評比系統!外部資料_403</vt:lpstr>
      <vt:lpstr>評比系統!外部資料_404</vt:lpstr>
      <vt:lpstr>評比系統!外部資料_405</vt:lpstr>
      <vt:lpstr>評比系統!外部資料_406</vt:lpstr>
      <vt:lpstr>評比系統!外部資料_407</vt:lpstr>
      <vt:lpstr>評比系統!外部資料_408</vt:lpstr>
      <vt:lpstr>評比系統!外部資料_409</vt:lpstr>
      <vt:lpstr>評比系統!外部資料_410</vt:lpstr>
      <vt:lpstr>評比系統!外部資料_411</vt:lpstr>
      <vt:lpstr>評比系統!外部資料_412</vt:lpstr>
      <vt:lpstr>評比系統!外部資料_413</vt:lpstr>
      <vt:lpstr>評比系統!外部資料_414</vt:lpstr>
      <vt:lpstr>評比系統!外部資料_415</vt:lpstr>
      <vt:lpstr>評比系統!外部資料_416</vt:lpstr>
      <vt:lpstr>評比系統!外部資料_417</vt:lpstr>
      <vt:lpstr>評比系統!外部資料_418</vt:lpstr>
      <vt:lpstr>評比系統!外部資料_419</vt:lpstr>
      <vt:lpstr>評比系統!外部資料_420</vt:lpstr>
      <vt:lpstr>評比系統!外部資料_421</vt:lpstr>
      <vt:lpstr>評比系統!外部資料_422</vt:lpstr>
      <vt:lpstr>評比系統!外部資料_423</vt:lpstr>
      <vt:lpstr>評比系統!外部資料_424</vt:lpstr>
      <vt:lpstr>評比系統!外部資料_425</vt:lpstr>
      <vt:lpstr>評比系統!外部資料_426</vt:lpstr>
      <vt:lpstr>評比系統!外部資料_427</vt:lpstr>
      <vt:lpstr>評比系統!外部資料_428</vt:lpstr>
      <vt:lpstr>評比系統!外部資料_429</vt:lpstr>
      <vt:lpstr>評比系統!外部資料_430</vt:lpstr>
      <vt:lpstr>評比系統!外部資料_431</vt:lpstr>
      <vt:lpstr>評比系統!外部資料_432</vt:lpstr>
      <vt:lpstr>評比系統!外部資料_433</vt:lpstr>
      <vt:lpstr>評比系統!外部資料_434</vt:lpstr>
      <vt:lpstr>評比系統!外部資料_435</vt:lpstr>
      <vt:lpstr>評比系統!外部資料_436</vt:lpstr>
      <vt:lpstr>評比系統!外部資料_437</vt:lpstr>
      <vt:lpstr>評比系統!外部資料_438</vt:lpstr>
      <vt:lpstr>評比系統!外部資料_439</vt:lpstr>
      <vt:lpstr>評比系統!外部資料_440</vt:lpstr>
      <vt:lpstr>評比系統!外部資料_441</vt:lpstr>
      <vt:lpstr>評比系統!外部資料_442</vt:lpstr>
      <vt:lpstr>評比系統!外部資料_443</vt:lpstr>
      <vt:lpstr>評比系統!外部資料_444</vt:lpstr>
      <vt:lpstr>評比系統!外部資料_445</vt:lpstr>
      <vt:lpstr>評比系統!外部資料_446</vt:lpstr>
      <vt:lpstr>評比系統!外部資料_447</vt:lpstr>
      <vt:lpstr>評比系統!外部資料_448</vt:lpstr>
      <vt:lpstr>評比系統!外部資料_449</vt:lpstr>
      <vt:lpstr>評比系統!外部資料_450</vt:lpstr>
      <vt:lpstr>評比系統!外部資料_451</vt:lpstr>
      <vt:lpstr>評比系統!外部資料_452</vt:lpstr>
      <vt:lpstr>評比系統!外部資料_453</vt:lpstr>
      <vt:lpstr>評比系統!外部資料_454</vt:lpstr>
      <vt:lpstr>評比系統!外部資料_455</vt:lpstr>
      <vt:lpstr>評比系統!外部資料_456</vt:lpstr>
      <vt:lpstr>評比系統!外部資料_457</vt:lpstr>
      <vt:lpstr>評比系統!外部資料_458</vt:lpstr>
      <vt:lpstr>評比系統!外部資料_459</vt:lpstr>
      <vt:lpstr>評比系統!外部資料_460</vt:lpstr>
      <vt:lpstr>評比系統!外部資料_461</vt:lpstr>
      <vt:lpstr>評比系統!外部資料_462</vt:lpstr>
      <vt:lpstr>評比系統!外部資料_463</vt:lpstr>
      <vt:lpstr>評比系統!外部資料_464</vt:lpstr>
      <vt:lpstr>評比系統!外部資料_465</vt:lpstr>
      <vt:lpstr>評比系統!外部資料_466</vt:lpstr>
      <vt:lpstr>評比系統!外部資料_467</vt:lpstr>
      <vt:lpstr>評比系統!外部資料_468</vt:lpstr>
      <vt:lpstr>評比系統!外部資料_469</vt:lpstr>
      <vt:lpstr>評比系統!外部資料_470</vt:lpstr>
      <vt:lpstr>評比系統!外部資料_471</vt:lpstr>
      <vt:lpstr>評比系統!外部資料_472</vt:lpstr>
      <vt:lpstr>評比系統!外部資料_473</vt:lpstr>
      <vt:lpstr>評比系統!外部資料_474</vt:lpstr>
      <vt:lpstr>評比系統!外部資料_475</vt:lpstr>
      <vt:lpstr>評比系統!外部資料_476</vt:lpstr>
      <vt:lpstr>評比系統!外部資料_477</vt:lpstr>
      <vt:lpstr>評比系統!外部資料_478</vt:lpstr>
      <vt:lpstr>評比系統!外部資料_479</vt:lpstr>
      <vt:lpstr>評比系統!外部資料_480</vt:lpstr>
      <vt:lpstr>評比系統!外部資料_481</vt:lpstr>
      <vt:lpstr>評比系統!外部資料_482</vt:lpstr>
      <vt:lpstr>評比系統!外部資料_483</vt:lpstr>
      <vt:lpstr>評比系統!外部資料_484</vt:lpstr>
      <vt:lpstr>評比系統!外部資料_485</vt:lpstr>
      <vt:lpstr>評比系統!外部資料_486</vt:lpstr>
      <vt:lpstr>評比系統!外部資料_487</vt:lpstr>
      <vt:lpstr>評比系統!外部資料_488</vt:lpstr>
      <vt:lpstr>評比系統!外部資料_489</vt:lpstr>
      <vt:lpstr>評比系統!外部資料_490</vt:lpstr>
      <vt:lpstr>評比系統!外部資料_491</vt:lpstr>
      <vt:lpstr>評比系統!外部資料_492</vt:lpstr>
      <vt:lpstr>評比系統!外部資料_493</vt:lpstr>
      <vt:lpstr>評比系統!外部資料_494</vt:lpstr>
      <vt:lpstr>評比系統!外部資料_495</vt:lpstr>
      <vt:lpstr>評比系統!外部資料_496</vt:lpstr>
      <vt:lpstr>評比系統!外部資料_497</vt:lpstr>
      <vt:lpstr>評比系統!外部資料_498</vt:lpstr>
      <vt:lpstr>評比系統!外部資料_499</vt:lpstr>
      <vt:lpstr>篩股系統!外部資料_50</vt:lpstr>
      <vt:lpstr>評比系統!外部資料_500</vt:lpstr>
      <vt:lpstr>評比系統!外部資料_501</vt:lpstr>
      <vt:lpstr>評比系統!外部資料_502</vt:lpstr>
      <vt:lpstr>評比系統!外部資料_503</vt:lpstr>
      <vt:lpstr>評比系統!外部資料_504</vt:lpstr>
      <vt:lpstr>評比系統!外部資料_505</vt:lpstr>
      <vt:lpstr>評比系統!外部資料_506</vt:lpstr>
      <vt:lpstr>評比系統!外部資料_507</vt:lpstr>
      <vt:lpstr>評比系統!外部資料_508</vt:lpstr>
      <vt:lpstr>評比系統!外部資料_509</vt:lpstr>
      <vt:lpstr>評比系統!外部資料_51</vt:lpstr>
      <vt:lpstr>評比系統!外部資料_510</vt:lpstr>
      <vt:lpstr>評比系統!外部資料_511</vt:lpstr>
      <vt:lpstr>評比系統!外部資料_512</vt:lpstr>
      <vt:lpstr>評比系統!外部資料_513</vt:lpstr>
      <vt:lpstr>評比系統!外部資料_514</vt:lpstr>
      <vt:lpstr>評比系統!外部資料_515</vt:lpstr>
      <vt:lpstr>評比系統!外部資料_516</vt:lpstr>
      <vt:lpstr>評比系統!外部資料_517</vt:lpstr>
      <vt:lpstr>評比系統!外部資料_518</vt:lpstr>
      <vt:lpstr>評比系統!外部資料_519</vt:lpstr>
      <vt:lpstr>評比系統!外部資料_52</vt:lpstr>
      <vt:lpstr>評比系統!外部資料_520</vt:lpstr>
      <vt:lpstr>評比系統!外部資料_521</vt:lpstr>
      <vt:lpstr>評比系統!外部資料_522</vt:lpstr>
      <vt:lpstr>評比系統!外部資料_523</vt:lpstr>
      <vt:lpstr>評比系統!外部資料_524</vt:lpstr>
      <vt:lpstr>評比系統!外部資料_525</vt:lpstr>
      <vt:lpstr>評比系統!外部資料_526</vt:lpstr>
      <vt:lpstr>評比系統!外部資料_527</vt:lpstr>
      <vt:lpstr>評比系統!外部資料_528</vt:lpstr>
      <vt:lpstr>評比系統!外部資料_529</vt:lpstr>
      <vt:lpstr>評比系統!外部資料_53</vt:lpstr>
      <vt:lpstr>評比系統!外部資料_530</vt:lpstr>
      <vt:lpstr>評比系統!外部資料_531</vt:lpstr>
      <vt:lpstr>評比系統!外部資料_532</vt:lpstr>
      <vt:lpstr>評比系統!外部資料_533</vt:lpstr>
      <vt:lpstr>評比系統!外部資料_534</vt:lpstr>
      <vt:lpstr>評比系統!外部資料_535</vt:lpstr>
      <vt:lpstr>評比系統!外部資料_536</vt:lpstr>
      <vt:lpstr>評比系統!外部資料_537</vt:lpstr>
      <vt:lpstr>評比系統!外部資料_538</vt:lpstr>
      <vt:lpstr>評比系統!外部資料_539</vt:lpstr>
      <vt:lpstr>評比系統!外部資料_54</vt:lpstr>
      <vt:lpstr>評比系統!外部資料_540</vt:lpstr>
      <vt:lpstr>評比系統!外部資料_541</vt:lpstr>
      <vt:lpstr>評比系統!外部資料_542</vt:lpstr>
      <vt:lpstr>評比系統!外部資料_543</vt:lpstr>
      <vt:lpstr>評比系統!外部資料_544</vt:lpstr>
      <vt:lpstr>評比系統!外部資料_545</vt:lpstr>
      <vt:lpstr>評比系統!外部資料_546</vt:lpstr>
      <vt:lpstr>評比系統!外部資料_547</vt:lpstr>
      <vt:lpstr>評比系統!外部資料_548</vt:lpstr>
      <vt:lpstr>評比系統!外部資料_549</vt:lpstr>
      <vt:lpstr>評比系統!外部資料_55</vt:lpstr>
      <vt:lpstr>評比系統!外部資料_550</vt:lpstr>
      <vt:lpstr>評比系統!外部資料_551</vt:lpstr>
      <vt:lpstr>評比系統!外部資料_552</vt:lpstr>
      <vt:lpstr>評比系統!外部資料_553</vt:lpstr>
      <vt:lpstr>評比系統!外部資料_554</vt:lpstr>
      <vt:lpstr>評比系統!外部資料_555</vt:lpstr>
      <vt:lpstr>評比系統!外部資料_556</vt:lpstr>
      <vt:lpstr>評比系統!外部資料_557</vt:lpstr>
      <vt:lpstr>評比系統!外部資料_558</vt:lpstr>
      <vt:lpstr>評比系統!外部資料_559</vt:lpstr>
      <vt:lpstr>評比系統!外部資料_56</vt:lpstr>
      <vt:lpstr>評比系統!外部資料_560</vt:lpstr>
      <vt:lpstr>評比系統!外部資料_561</vt:lpstr>
      <vt:lpstr>評比系統!外部資料_562</vt:lpstr>
      <vt:lpstr>評比系統!外部資料_563</vt:lpstr>
      <vt:lpstr>評比系統!外部資料_564</vt:lpstr>
      <vt:lpstr>評比系統!外部資料_565</vt:lpstr>
      <vt:lpstr>評比系統!外部資料_566</vt:lpstr>
      <vt:lpstr>評比系統!外部資料_567</vt:lpstr>
      <vt:lpstr>評比系統!外部資料_568</vt:lpstr>
      <vt:lpstr>評比系統!外部資料_569</vt:lpstr>
      <vt:lpstr>評比系統!外部資料_57</vt:lpstr>
      <vt:lpstr>評比系統!外部資料_570</vt:lpstr>
      <vt:lpstr>評比系統!外部資料_571</vt:lpstr>
      <vt:lpstr>評比系統!外部資料_572</vt:lpstr>
      <vt:lpstr>評比系統!外部資料_573</vt:lpstr>
      <vt:lpstr>評比系統!外部資料_574</vt:lpstr>
      <vt:lpstr>評比系統!外部資料_575</vt:lpstr>
      <vt:lpstr>評比系統!外部資料_576</vt:lpstr>
      <vt:lpstr>評比系統!外部資料_577</vt:lpstr>
      <vt:lpstr>評比系統!外部資料_578</vt:lpstr>
      <vt:lpstr>評比系統!外部資料_579</vt:lpstr>
      <vt:lpstr>評比系統!外部資料_58</vt:lpstr>
      <vt:lpstr>評比系統!外部資料_580</vt:lpstr>
      <vt:lpstr>評比系統!外部資料_581</vt:lpstr>
      <vt:lpstr>評比系統!外部資料_582</vt:lpstr>
      <vt:lpstr>評比系統!外部資料_583</vt:lpstr>
      <vt:lpstr>評比系統!外部資料_584</vt:lpstr>
      <vt:lpstr>評比系統!外部資料_585</vt:lpstr>
      <vt:lpstr>評比系統!外部資料_586</vt:lpstr>
      <vt:lpstr>評比系統!外部資料_587</vt:lpstr>
      <vt:lpstr>評比系統!外部資料_588</vt:lpstr>
      <vt:lpstr>評比系統!外部資料_589</vt:lpstr>
      <vt:lpstr>評比系統!外部資料_59</vt:lpstr>
      <vt:lpstr>評比系統!外部資料_590</vt:lpstr>
      <vt:lpstr>評比系統!外部資料_591</vt:lpstr>
      <vt:lpstr>評比系統!外部資料_592</vt:lpstr>
      <vt:lpstr>評比系統!外部資料_593</vt:lpstr>
      <vt:lpstr>評比系統!外部資料_594</vt:lpstr>
      <vt:lpstr>評比系統!外部資料_595</vt:lpstr>
      <vt:lpstr>評比系統!外部資料_596</vt:lpstr>
      <vt:lpstr>評比系統!外部資料_597</vt:lpstr>
      <vt:lpstr>PKC!外部資料_598</vt:lpstr>
      <vt:lpstr>評比系統!外部資料_598</vt:lpstr>
      <vt:lpstr>PKC!外部資料_599</vt:lpstr>
      <vt:lpstr>評比系統!外部資料_599</vt:lpstr>
      <vt:lpstr>評比系統!外部資料_60</vt:lpstr>
      <vt:lpstr>PKC!外部資料_600</vt:lpstr>
      <vt:lpstr>評比系統!外部資料_600</vt:lpstr>
      <vt:lpstr>評比系統!外部資料_601</vt:lpstr>
      <vt:lpstr>評比系統!外部資料_602</vt:lpstr>
      <vt:lpstr>評比系統!外部資料_603</vt:lpstr>
      <vt:lpstr>評比系統!外部資料_604</vt:lpstr>
      <vt:lpstr>評比系統!外部資料_605</vt:lpstr>
      <vt:lpstr>評比系統!外部資料_606</vt:lpstr>
      <vt:lpstr>評比系統!外部資料_607</vt:lpstr>
      <vt:lpstr>評比系統!外部資料_608</vt:lpstr>
      <vt:lpstr>評比系統!外部資料_609</vt:lpstr>
      <vt:lpstr>評比系統!外部資料_61</vt:lpstr>
      <vt:lpstr>評比系統!外部資料_610</vt:lpstr>
      <vt:lpstr>評比系統!外部資料_611</vt:lpstr>
      <vt:lpstr>評比系統!外部資料_612</vt:lpstr>
      <vt:lpstr>評比系統!外部資料_613</vt:lpstr>
      <vt:lpstr>評比系統!外部資料_614</vt:lpstr>
      <vt:lpstr>評比系統!外部資料_615</vt:lpstr>
      <vt:lpstr>評比系統!外部資料_616</vt:lpstr>
      <vt:lpstr>評比系統!外部資料_617</vt:lpstr>
      <vt:lpstr>評比系統!外部資料_618</vt:lpstr>
      <vt:lpstr>評比系統!外部資料_619</vt:lpstr>
      <vt:lpstr>評比系統!外部資料_62</vt:lpstr>
      <vt:lpstr>評比系統!外部資料_620</vt:lpstr>
      <vt:lpstr>評比系統!外部資料_621</vt:lpstr>
      <vt:lpstr>評比系統!外部資料_622</vt:lpstr>
      <vt:lpstr>評比系統!外部資料_623</vt:lpstr>
      <vt:lpstr>評比系統!外部資料_624</vt:lpstr>
      <vt:lpstr>評比系統!外部資料_625</vt:lpstr>
      <vt:lpstr>評比系統!外部資料_626</vt:lpstr>
      <vt:lpstr>評比系統!外部資料_627</vt:lpstr>
      <vt:lpstr>評比系統!外部資料_628</vt:lpstr>
      <vt:lpstr>評比系統!外部資料_629</vt:lpstr>
      <vt:lpstr>評比系統!外部資料_63</vt:lpstr>
      <vt:lpstr>評比系統!外部資料_630</vt:lpstr>
      <vt:lpstr>評比系統!外部資料_631</vt:lpstr>
      <vt:lpstr>評比系統!外部資料_632</vt:lpstr>
      <vt:lpstr>評比系統!外部資料_633</vt:lpstr>
      <vt:lpstr>評比系統!外部資料_634</vt:lpstr>
      <vt:lpstr>評比系統!外部資料_635</vt:lpstr>
      <vt:lpstr>評比系統!外部資料_636</vt:lpstr>
      <vt:lpstr>評比系統!外部資料_637</vt:lpstr>
      <vt:lpstr>評比系統!外部資料_638</vt:lpstr>
      <vt:lpstr>評比系統!外部資料_639</vt:lpstr>
      <vt:lpstr>評比系統!外部資料_64</vt:lpstr>
      <vt:lpstr>評比系統!外部資料_640</vt:lpstr>
      <vt:lpstr>評比系統!外部資料_641</vt:lpstr>
      <vt:lpstr>評比系統!外部資料_642</vt:lpstr>
      <vt:lpstr>評比系統!外部資料_643</vt:lpstr>
      <vt:lpstr>評比系統!外部資料_644</vt:lpstr>
      <vt:lpstr>評比系統!外部資料_645</vt:lpstr>
      <vt:lpstr>評比系統!外部資料_646</vt:lpstr>
      <vt:lpstr>評比系統!外部資料_647</vt:lpstr>
      <vt:lpstr>評比系統!外部資料_648</vt:lpstr>
      <vt:lpstr>評比系統!外部資料_649</vt:lpstr>
      <vt:lpstr>評比系統!外部資料_65</vt:lpstr>
      <vt:lpstr>評比系統!外部資料_650</vt:lpstr>
      <vt:lpstr>評比系統!外部資料_651</vt:lpstr>
      <vt:lpstr>評比系統!外部資料_652</vt:lpstr>
      <vt:lpstr>評比系統!外部資料_653</vt:lpstr>
      <vt:lpstr>評比系統!外部資料_654</vt:lpstr>
      <vt:lpstr>評比系統!外部資料_655</vt:lpstr>
      <vt:lpstr>評比系統!外部資料_656</vt:lpstr>
      <vt:lpstr>評比系統!外部資料_657</vt:lpstr>
      <vt:lpstr>評比系統!外部資料_658</vt:lpstr>
      <vt:lpstr>評比系統!外部資料_659</vt:lpstr>
      <vt:lpstr>評比系統!外部資料_66</vt:lpstr>
      <vt:lpstr>評比系統!外部資料_660</vt:lpstr>
      <vt:lpstr>評比系統!外部資料_661</vt:lpstr>
      <vt:lpstr>評比系統!外部資料_662</vt:lpstr>
      <vt:lpstr>評比系統!外部資料_663</vt:lpstr>
      <vt:lpstr>評比系統!外部資料_664</vt:lpstr>
      <vt:lpstr>評比系統!外部資料_665</vt:lpstr>
      <vt:lpstr>評比系統!外部資料_666</vt:lpstr>
      <vt:lpstr>評比系統!外部資料_667</vt:lpstr>
      <vt:lpstr>評比系統!外部資料_668</vt:lpstr>
      <vt:lpstr>評比系統!外部資料_669</vt:lpstr>
      <vt:lpstr>評比系統!外部資料_67</vt:lpstr>
      <vt:lpstr>評比系統!外部資料_670</vt:lpstr>
      <vt:lpstr>評比系統!外部資料_671</vt:lpstr>
      <vt:lpstr>篩股系統!外部資料_671</vt:lpstr>
      <vt:lpstr>評比系統!外部資料_672</vt:lpstr>
      <vt:lpstr>評比系統!外部資料_673</vt:lpstr>
      <vt:lpstr>評比系統!外部資料_674</vt:lpstr>
      <vt:lpstr>評比系統!外部資料_675</vt:lpstr>
      <vt:lpstr>評比系統!外部資料_676</vt:lpstr>
      <vt:lpstr>評比系統!外部資料_677</vt:lpstr>
      <vt:lpstr>評比系統!外部資料_678</vt:lpstr>
      <vt:lpstr>評比系統!外部資料_679</vt:lpstr>
      <vt:lpstr>評比系統!外部資料_68</vt:lpstr>
      <vt:lpstr>評比系統!外部資料_680</vt:lpstr>
      <vt:lpstr>評比系統!外部資料_681</vt:lpstr>
      <vt:lpstr>評比系統!外部資料_682</vt:lpstr>
      <vt:lpstr>評比系統!外部資料_683</vt:lpstr>
      <vt:lpstr>評比系統!外部資料_684</vt:lpstr>
      <vt:lpstr>評比系統!外部資料_685</vt:lpstr>
      <vt:lpstr>評比系統!外部資料_686</vt:lpstr>
      <vt:lpstr>評比系統!外部資料_687</vt:lpstr>
      <vt:lpstr>評比系統!外部資料_688</vt:lpstr>
      <vt:lpstr>評比系統!外部資料_689</vt:lpstr>
      <vt:lpstr>評比系統!外部資料_69</vt:lpstr>
      <vt:lpstr>評比系統!外部資料_690</vt:lpstr>
      <vt:lpstr>評比系統!外部資料_691</vt:lpstr>
      <vt:lpstr>評比系統!外部資料_692</vt:lpstr>
      <vt:lpstr>評比系統!外部資料_693</vt:lpstr>
      <vt:lpstr>評比系統!外部資料_694</vt:lpstr>
      <vt:lpstr>評比系統!外部資料_695</vt:lpstr>
      <vt:lpstr>評比系統!外部資料_696</vt:lpstr>
      <vt:lpstr>評比系統!外部資料_697</vt:lpstr>
      <vt:lpstr>評比系統!外部資料_698</vt:lpstr>
      <vt:lpstr>評比系統!外部資料_699</vt:lpstr>
      <vt:lpstr>評比系統!外部資料_70</vt:lpstr>
      <vt:lpstr>評比系統!外部資料_700</vt:lpstr>
      <vt:lpstr>評比系統!外部資料_701</vt:lpstr>
      <vt:lpstr>評比系統!外部資料_702</vt:lpstr>
      <vt:lpstr>評比系統!外部資料_703</vt:lpstr>
      <vt:lpstr>評比系統!外部資料_704</vt:lpstr>
      <vt:lpstr>評比系統!外部資料_705</vt:lpstr>
      <vt:lpstr>評比系統!外部資料_706</vt:lpstr>
      <vt:lpstr>評比系統!外部資料_707</vt:lpstr>
      <vt:lpstr>評比系統!外部資料_708</vt:lpstr>
      <vt:lpstr>評比系統!外部資料_709</vt:lpstr>
      <vt:lpstr>評比系統!外部資料_71</vt:lpstr>
      <vt:lpstr>評比系統!外部資料_710</vt:lpstr>
      <vt:lpstr>評比系統!外部資料_711</vt:lpstr>
      <vt:lpstr>評比系統!外部資料_712</vt:lpstr>
      <vt:lpstr>評比系統!外部資料_713</vt:lpstr>
      <vt:lpstr>評比系統!外部資料_714</vt:lpstr>
      <vt:lpstr>評比系統!外部資料_715</vt:lpstr>
      <vt:lpstr>評比系統!外部資料_716</vt:lpstr>
      <vt:lpstr>評比系統!外部資料_717</vt:lpstr>
      <vt:lpstr>評比系統!外部資料_718</vt:lpstr>
      <vt:lpstr>評比系統!外部資料_719</vt:lpstr>
      <vt:lpstr>評比系統!外部資料_72</vt:lpstr>
      <vt:lpstr>評比系統!外部資料_720</vt:lpstr>
      <vt:lpstr>評比系統!外部資料_721</vt:lpstr>
      <vt:lpstr>評比系統!外部資料_722</vt:lpstr>
      <vt:lpstr>評比系統!外部資料_723</vt:lpstr>
      <vt:lpstr>評比系統!外部資料_724</vt:lpstr>
      <vt:lpstr>評比系統!外部資料_725</vt:lpstr>
      <vt:lpstr>評比系統!外部資料_726</vt:lpstr>
      <vt:lpstr>評比系統!外部資料_727</vt:lpstr>
      <vt:lpstr>評比系統!外部資料_728</vt:lpstr>
      <vt:lpstr>評比系統!外部資料_729</vt:lpstr>
      <vt:lpstr>評比系統!外部資料_73</vt:lpstr>
      <vt:lpstr>評比系統!外部資料_730</vt:lpstr>
      <vt:lpstr>評比系統!外部資料_731</vt:lpstr>
      <vt:lpstr>評比系統!外部資料_732</vt:lpstr>
      <vt:lpstr>評比系統!外部資料_733</vt:lpstr>
      <vt:lpstr>評比系統!外部資料_734</vt:lpstr>
      <vt:lpstr>評比系統!外部資料_735</vt:lpstr>
      <vt:lpstr>評比系統!外部資料_736</vt:lpstr>
      <vt:lpstr>評比系統!外部資料_737</vt:lpstr>
      <vt:lpstr>評比系統!外部資料_738</vt:lpstr>
      <vt:lpstr>評比系統!外部資料_739</vt:lpstr>
      <vt:lpstr>評比系統!外部資料_74</vt:lpstr>
      <vt:lpstr>評比系統!外部資料_740</vt:lpstr>
      <vt:lpstr>評比系統!外部資料_741</vt:lpstr>
      <vt:lpstr>評比系統!外部資料_742</vt:lpstr>
      <vt:lpstr>評比系統!外部資料_743</vt:lpstr>
      <vt:lpstr>評比系統!外部資料_744</vt:lpstr>
      <vt:lpstr>評比系統!外部資料_745</vt:lpstr>
      <vt:lpstr>評比系統!外部資料_746</vt:lpstr>
      <vt:lpstr>評比系統!外部資料_747</vt:lpstr>
      <vt:lpstr>PKA!外部資料_748</vt:lpstr>
      <vt:lpstr>評比系統!外部資料_748</vt:lpstr>
      <vt:lpstr>PKA!外部資料_749</vt:lpstr>
      <vt:lpstr>評比系統!外部資料_749</vt:lpstr>
      <vt:lpstr>評比系統!外部資料_75</vt:lpstr>
      <vt:lpstr>PKA!外部資料_750</vt:lpstr>
      <vt:lpstr>評比系統!外部資料_750</vt:lpstr>
      <vt:lpstr>評比系統!外部資料_751</vt:lpstr>
      <vt:lpstr>PKB!外部資料_752</vt:lpstr>
      <vt:lpstr>評比系統!外部資料_752</vt:lpstr>
      <vt:lpstr>PKB!外部資料_753</vt:lpstr>
      <vt:lpstr>評比系統!外部資料_753</vt:lpstr>
      <vt:lpstr>PKB!外部資料_754</vt:lpstr>
      <vt:lpstr>評比系統!外部資料_754</vt:lpstr>
      <vt:lpstr>評比系統!外部資料_755</vt:lpstr>
      <vt:lpstr>評比系統!外部資料_756</vt:lpstr>
      <vt:lpstr>評比系統!外部資料_757</vt:lpstr>
      <vt:lpstr>評比系統!外部資料_758</vt:lpstr>
      <vt:lpstr>評比系統!外部資料_759</vt:lpstr>
      <vt:lpstr>評比系統!外部資料_76</vt:lpstr>
      <vt:lpstr>評比系統!外部資料_760</vt:lpstr>
      <vt:lpstr>評比系統!外部資料_761</vt:lpstr>
      <vt:lpstr>評比系統!外部資料_762</vt:lpstr>
      <vt:lpstr>評比系統!外部資料_763</vt:lpstr>
      <vt:lpstr>評比系統!外部資料_764</vt:lpstr>
      <vt:lpstr>評比系統!外部資料_765</vt:lpstr>
      <vt:lpstr>評比系統!外部資料_766</vt:lpstr>
      <vt:lpstr>評比系統!外部資料_767</vt:lpstr>
      <vt:lpstr>評比系統!外部資料_768</vt:lpstr>
      <vt:lpstr>評比系統!外部資料_769</vt:lpstr>
      <vt:lpstr>評比系統!外部資料_77</vt:lpstr>
      <vt:lpstr>評比系統!外部資料_770</vt:lpstr>
      <vt:lpstr>評比系統!外部資料_771</vt:lpstr>
      <vt:lpstr>評比系統!外部資料_772</vt:lpstr>
      <vt:lpstr>評比系統!外部資料_773</vt:lpstr>
      <vt:lpstr>評比系統!外部資料_774</vt:lpstr>
      <vt:lpstr>評比系統!外部資料_775</vt:lpstr>
      <vt:lpstr>評比系統!外部資料_776</vt:lpstr>
      <vt:lpstr>評比系統!外部資料_777</vt:lpstr>
      <vt:lpstr>評比系統!外部資料_778</vt:lpstr>
      <vt:lpstr>評比系統!外部資料_779</vt:lpstr>
      <vt:lpstr>評比系統!外部資料_78</vt:lpstr>
      <vt:lpstr>評比系統!外部資料_780</vt:lpstr>
      <vt:lpstr>評比系統!外部資料_781</vt:lpstr>
      <vt:lpstr>評比系統!外部資料_782</vt:lpstr>
      <vt:lpstr>評比系統!外部資料_783</vt:lpstr>
      <vt:lpstr>評比系統!外部資料_784</vt:lpstr>
      <vt:lpstr>評比系統!外部資料_785</vt:lpstr>
      <vt:lpstr>評比系統!外部資料_786</vt:lpstr>
      <vt:lpstr>評比系統!外部資料_787</vt:lpstr>
      <vt:lpstr>評比系統!外部資料_788</vt:lpstr>
      <vt:lpstr>評比系統!外部資料_789</vt:lpstr>
      <vt:lpstr>評比系統!外部資料_79</vt:lpstr>
      <vt:lpstr>評比系統!外部資料_790</vt:lpstr>
      <vt:lpstr>評比系統!外部資料_791</vt:lpstr>
      <vt:lpstr>評比系統!外部資料_792</vt:lpstr>
      <vt:lpstr>評比系統!外部資料_793</vt:lpstr>
      <vt:lpstr>評比系統!外部資料_794</vt:lpstr>
      <vt:lpstr>評比系統!外部資料_795</vt:lpstr>
      <vt:lpstr>評比系統!外部資料_796</vt:lpstr>
      <vt:lpstr>評比系統!外部資料_797</vt:lpstr>
      <vt:lpstr>評比系統!外部資料_798</vt:lpstr>
      <vt:lpstr>評比系統!外部資料_799</vt:lpstr>
      <vt:lpstr>評比系統!外部資料_80</vt:lpstr>
      <vt:lpstr>評比系統!外部資料_800</vt:lpstr>
      <vt:lpstr>評比系統!外部資料_801</vt:lpstr>
      <vt:lpstr>評比系統!外部資料_802</vt:lpstr>
      <vt:lpstr>評比系統!外部資料_803</vt:lpstr>
      <vt:lpstr>評比系統!外部資料_804</vt:lpstr>
      <vt:lpstr>評比系統!外部資料_805</vt:lpstr>
      <vt:lpstr>評比系統!外部資料_806</vt:lpstr>
      <vt:lpstr>評比系統!外部資料_807</vt:lpstr>
      <vt:lpstr>評比系統!外部資料_808</vt:lpstr>
      <vt:lpstr>評比系統!外部資料_809</vt:lpstr>
      <vt:lpstr>評比系統!外部資料_81</vt:lpstr>
      <vt:lpstr>評比系統!外部資料_810</vt:lpstr>
      <vt:lpstr>評比系統!外部資料_811</vt:lpstr>
      <vt:lpstr>評比系統!外部資料_812</vt:lpstr>
      <vt:lpstr>評比系統!外部資料_813</vt:lpstr>
      <vt:lpstr>評比系統!外部資料_814</vt:lpstr>
      <vt:lpstr>評比系統!外部資料_815</vt:lpstr>
      <vt:lpstr>評比系統!外部資料_816</vt:lpstr>
      <vt:lpstr>評比系統!外部資料_817</vt:lpstr>
      <vt:lpstr>評比系統!外部資料_818</vt:lpstr>
      <vt:lpstr>評比系統!外部資料_819</vt:lpstr>
      <vt:lpstr>評比系統!外部資料_82</vt:lpstr>
      <vt:lpstr>評比系統!外部資料_820</vt:lpstr>
      <vt:lpstr>評比系統!外部資料_821</vt:lpstr>
      <vt:lpstr>評比系統!外部資料_822</vt:lpstr>
      <vt:lpstr>評比系統!外部資料_823</vt:lpstr>
      <vt:lpstr>評比系統!外部資料_824</vt:lpstr>
      <vt:lpstr>評比系統!外部資料_825</vt:lpstr>
      <vt:lpstr>評比系統!外部資料_826</vt:lpstr>
      <vt:lpstr>評比系統!外部資料_827</vt:lpstr>
      <vt:lpstr>評比系統!外部資料_828</vt:lpstr>
      <vt:lpstr>評比系統!外部資料_829</vt:lpstr>
      <vt:lpstr>評比系統!外部資料_83</vt:lpstr>
      <vt:lpstr>評比系統!外部資料_830</vt:lpstr>
      <vt:lpstr>評比系統!外部資料_831</vt:lpstr>
      <vt:lpstr>評比系統!外部資料_832</vt:lpstr>
      <vt:lpstr>評比系統!外部資料_833</vt:lpstr>
      <vt:lpstr>評比系統!外部資料_834</vt:lpstr>
      <vt:lpstr>評比系統!外部資料_835</vt:lpstr>
      <vt:lpstr>評比系統!外部資料_836</vt:lpstr>
      <vt:lpstr>評比系統!外部資料_837</vt:lpstr>
      <vt:lpstr>評比系統!外部資料_838</vt:lpstr>
      <vt:lpstr>評比系統!外部資料_839</vt:lpstr>
      <vt:lpstr>評比系統!外部資料_84</vt:lpstr>
      <vt:lpstr>評比系統!外部資料_840</vt:lpstr>
      <vt:lpstr>評比系統!外部資料_841</vt:lpstr>
      <vt:lpstr>評比系統!外部資料_842</vt:lpstr>
      <vt:lpstr>評比系統!外部資料_843</vt:lpstr>
      <vt:lpstr>評比系統!外部資料_844</vt:lpstr>
      <vt:lpstr>評比系統!外部資料_845</vt:lpstr>
      <vt:lpstr>評比系統!外部資料_846</vt:lpstr>
      <vt:lpstr>評比系統!外部資料_847</vt:lpstr>
      <vt:lpstr>評比系統!外部資料_848</vt:lpstr>
      <vt:lpstr>評比系統!外部資料_849</vt:lpstr>
      <vt:lpstr>評比系統!外部資料_85</vt:lpstr>
      <vt:lpstr>評比系統!外部資料_850</vt:lpstr>
      <vt:lpstr>評比系統!外部資料_851</vt:lpstr>
      <vt:lpstr>評比系統!外部資料_852</vt:lpstr>
      <vt:lpstr>評比系統!外部資料_853</vt:lpstr>
      <vt:lpstr>評比系統!外部資料_854</vt:lpstr>
      <vt:lpstr>評比系統!外部資料_855</vt:lpstr>
      <vt:lpstr>評比系統!外部資料_856</vt:lpstr>
      <vt:lpstr>評比系統!外部資料_857</vt:lpstr>
      <vt:lpstr>評比系統!外部資料_858</vt:lpstr>
      <vt:lpstr>評比系統!外部資料_859</vt:lpstr>
      <vt:lpstr>評比系統!外部資料_86</vt:lpstr>
      <vt:lpstr>評比系統!外部資料_860</vt:lpstr>
      <vt:lpstr>評比系統!外部資料_861</vt:lpstr>
      <vt:lpstr>評比系統!外部資料_862</vt:lpstr>
      <vt:lpstr>評比系統!外部資料_863</vt:lpstr>
      <vt:lpstr>評比系統!外部資料_864</vt:lpstr>
      <vt:lpstr>評比系統!外部資料_865</vt:lpstr>
      <vt:lpstr>評比系統!外部資料_866</vt:lpstr>
      <vt:lpstr>評比系統!外部資料_867</vt:lpstr>
      <vt:lpstr>評比系統!外部資料_868</vt:lpstr>
      <vt:lpstr>評比系統!外部資料_869</vt:lpstr>
      <vt:lpstr>評比系統!外部資料_87</vt:lpstr>
      <vt:lpstr>評比系統!外部資料_870</vt:lpstr>
      <vt:lpstr>評比系統!外部資料_871</vt:lpstr>
      <vt:lpstr>評比系統!外部資料_872</vt:lpstr>
      <vt:lpstr>評比系統!外部資料_873</vt:lpstr>
      <vt:lpstr>評比系統!外部資料_874</vt:lpstr>
      <vt:lpstr>評比系統!外部資料_875</vt:lpstr>
      <vt:lpstr>評比系統!外部資料_876</vt:lpstr>
      <vt:lpstr>評比系統!外部資料_877</vt:lpstr>
      <vt:lpstr>評比系統!外部資料_878</vt:lpstr>
      <vt:lpstr>評比系統!外部資料_879</vt:lpstr>
      <vt:lpstr>評比系統!外部資料_88</vt:lpstr>
      <vt:lpstr>評比系統!外部資料_880</vt:lpstr>
      <vt:lpstr>評比系統!外部資料_881</vt:lpstr>
      <vt:lpstr>評比系統!外部資料_882</vt:lpstr>
      <vt:lpstr>評比系統!外部資料_883</vt:lpstr>
      <vt:lpstr>評比系統!外部資料_884</vt:lpstr>
      <vt:lpstr>評比系統!外部資料_885</vt:lpstr>
      <vt:lpstr>評比系統!外部資料_886</vt:lpstr>
      <vt:lpstr>評比系統!外部資料_887</vt:lpstr>
      <vt:lpstr>評比系統!外部資料_888</vt:lpstr>
      <vt:lpstr>評比系統!外部資料_889</vt:lpstr>
      <vt:lpstr>評比系統!外部資料_89</vt:lpstr>
      <vt:lpstr>評比系統!外部資料_890</vt:lpstr>
      <vt:lpstr>評比系統!外部資料_891</vt:lpstr>
      <vt:lpstr>評比系統!外部資料_892</vt:lpstr>
      <vt:lpstr>評比系統!外部資料_893</vt:lpstr>
      <vt:lpstr>評比系統!外部資料_894</vt:lpstr>
      <vt:lpstr>評比系統!外部資料_895</vt:lpstr>
      <vt:lpstr>評比系統!外部資料_896</vt:lpstr>
      <vt:lpstr>評比系統!外部資料_897</vt:lpstr>
      <vt:lpstr>評比系統!外部資料_898</vt:lpstr>
      <vt:lpstr>評比系統!外部資料_899</vt:lpstr>
      <vt:lpstr>評比系統!外部資料_90</vt:lpstr>
      <vt:lpstr>評比系統!外部資料_900</vt:lpstr>
      <vt:lpstr>評比系統!外部資料_901</vt:lpstr>
      <vt:lpstr>評比系統!外部資料_902</vt:lpstr>
      <vt:lpstr>評比系統!外部資料_903</vt:lpstr>
      <vt:lpstr>評比系統!外部資料_904</vt:lpstr>
      <vt:lpstr>評比系統!外部資料_905</vt:lpstr>
      <vt:lpstr>評比系統!外部資料_906</vt:lpstr>
      <vt:lpstr>評比系統!外部資料_907</vt:lpstr>
      <vt:lpstr>評比系統!外部資料_908</vt:lpstr>
      <vt:lpstr>評比系統!外部資料_909</vt:lpstr>
      <vt:lpstr>評比系統!外部資料_91</vt:lpstr>
      <vt:lpstr>評比系統!外部資料_910</vt:lpstr>
      <vt:lpstr>評比系統!外部資料_911</vt:lpstr>
      <vt:lpstr>評比系統!外部資料_912</vt:lpstr>
      <vt:lpstr>評比系統!外部資料_913</vt:lpstr>
      <vt:lpstr>評比系統!外部資料_914</vt:lpstr>
      <vt:lpstr>評比系統!外部資料_915</vt:lpstr>
      <vt:lpstr>評比系統!外部資料_916</vt:lpstr>
      <vt:lpstr>評比系統!外部資料_917</vt:lpstr>
      <vt:lpstr>評比系統!外部資料_918</vt:lpstr>
      <vt:lpstr>評比系統!外部資料_919</vt:lpstr>
      <vt:lpstr>評比系統!外部資料_92</vt:lpstr>
      <vt:lpstr>評比系統!外部資料_920</vt:lpstr>
      <vt:lpstr>評比系統!外部資料_921</vt:lpstr>
      <vt:lpstr>評比系統!外部資料_922</vt:lpstr>
      <vt:lpstr>評比系統!外部資料_923</vt:lpstr>
      <vt:lpstr>評比系統!外部資料_924</vt:lpstr>
      <vt:lpstr>評比系統!外部資料_925</vt:lpstr>
      <vt:lpstr>評比系統!外部資料_926</vt:lpstr>
      <vt:lpstr>評比系統!外部資料_927</vt:lpstr>
      <vt:lpstr>評比系統!外部資料_928</vt:lpstr>
      <vt:lpstr>評比系統!外部資料_929</vt:lpstr>
      <vt:lpstr>評比系統!外部資料_93</vt:lpstr>
      <vt:lpstr>評比系統!外部資料_930</vt:lpstr>
      <vt:lpstr>評比系統!外部資料_931</vt:lpstr>
      <vt:lpstr>評比系統!外部資料_932</vt:lpstr>
      <vt:lpstr>評比系統!外部資料_933</vt:lpstr>
      <vt:lpstr>評比系統!外部資料_934</vt:lpstr>
      <vt:lpstr>評比系統!外部資料_935</vt:lpstr>
      <vt:lpstr>評比系統!外部資料_936</vt:lpstr>
      <vt:lpstr>評比系統!外部資料_937</vt:lpstr>
      <vt:lpstr>評比系統!外部資料_939</vt:lpstr>
      <vt:lpstr>評比系統!外部資料_94</vt:lpstr>
      <vt:lpstr>評比系統!外部資料_940</vt:lpstr>
      <vt:lpstr>評比系統!外部資料_941</vt:lpstr>
      <vt:lpstr>評比系統!外部資料_942</vt:lpstr>
      <vt:lpstr>評比系統!外部資料_943</vt:lpstr>
      <vt:lpstr>評比系統!外部資料_944</vt:lpstr>
      <vt:lpstr>評比系統!外部資料_945</vt:lpstr>
      <vt:lpstr>評比系統!外部資料_946</vt:lpstr>
      <vt:lpstr>評比系統!外部資料_947</vt:lpstr>
      <vt:lpstr>評比系統!外部資料_948</vt:lpstr>
      <vt:lpstr>評比系統!外部資料_949</vt:lpstr>
      <vt:lpstr>評比系統!外部資料_95</vt:lpstr>
      <vt:lpstr>評比系統!外部資料_950</vt:lpstr>
      <vt:lpstr>評比系統!外部資料_951</vt:lpstr>
      <vt:lpstr>評比系統!外部資料_952</vt:lpstr>
      <vt:lpstr>評比系統!外部資料_953</vt:lpstr>
      <vt:lpstr>評比系統!外部資料_954</vt:lpstr>
      <vt:lpstr>評比系統!外部資料_955</vt:lpstr>
      <vt:lpstr>評比系統!外部資料_956</vt:lpstr>
      <vt:lpstr>評比系統!外部資料_957</vt:lpstr>
      <vt:lpstr>評比系統!外部資料_958</vt:lpstr>
      <vt:lpstr>評比系統!外部資料_959</vt:lpstr>
      <vt:lpstr>評比系統!外部資料_96</vt:lpstr>
      <vt:lpstr>評比系統!外部資料_960</vt:lpstr>
      <vt:lpstr>評比系統!外部資料_961</vt:lpstr>
      <vt:lpstr>評比系統!外部資料_962</vt:lpstr>
      <vt:lpstr>評比系統!外部資料_963</vt:lpstr>
      <vt:lpstr>評比系統!外部資料_964</vt:lpstr>
      <vt:lpstr>評比系統!外部資料_965</vt:lpstr>
      <vt:lpstr>評比系統!外部資料_966</vt:lpstr>
      <vt:lpstr>評比系統!外部資料_967</vt:lpstr>
      <vt:lpstr>評比系統!外部資料_969</vt:lpstr>
      <vt:lpstr>評比系統!外部資料_97</vt:lpstr>
      <vt:lpstr>評比系統!外部資料_970</vt:lpstr>
      <vt:lpstr>評比系統!外部資料_971</vt:lpstr>
      <vt:lpstr>評比系統!外部資料_972</vt:lpstr>
      <vt:lpstr>評比系統!外部資料_973</vt:lpstr>
      <vt:lpstr>評比系統!外部資料_974</vt:lpstr>
      <vt:lpstr>評比系統!外部資料_975</vt:lpstr>
      <vt:lpstr>評比系統!外部資料_976</vt:lpstr>
      <vt:lpstr>評比系統!外部資料_977</vt:lpstr>
      <vt:lpstr>評比系統!外部資料_978</vt:lpstr>
      <vt:lpstr>評比系統!外部資料_979</vt:lpstr>
      <vt:lpstr>評比系統!外部資料_98</vt:lpstr>
      <vt:lpstr>評比系統!外部資料_980</vt:lpstr>
      <vt:lpstr>評比系統!外部資料_981</vt:lpstr>
      <vt:lpstr>評比系統!外部資料_982</vt:lpstr>
      <vt:lpstr>評比系統!外部資料_983</vt:lpstr>
      <vt:lpstr>評比系統!外部資料_984</vt:lpstr>
      <vt:lpstr>評比系統!外部資料_985</vt:lpstr>
      <vt:lpstr>評比系統!外部資料_986</vt:lpstr>
      <vt:lpstr>評比系統!外部資料_987</vt:lpstr>
      <vt:lpstr>評比系統!外部資料_988</vt:lpstr>
      <vt:lpstr>評比系統!外部資料_989</vt:lpstr>
      <vt:lpstr>評比系統!外部資料_99</vt:lpstr>
      <vt:lpstr>評比系統!外部資料_990</vt:lpstr>
      <vt:lpstr>評比系統!外部資料_991</vt:lpstr>
      <vt:lpstr>評比系統!外部資料_992</vt:lpstr>
      <vt:lpstr>評比系統!外部資料_993</vt:lpstr>
      <vt:lpstr>評比系統!外部資料_994</vt:lpstr>
      <vt:lpstr>評比系統!持股分佈</vt:lpstr>
      <vt:lpstr>篩股系統!持股分佈_1</vt:lpstr>
      <vt:lpstr>篩股系統!持股分佈_10</vt:lpstr>
      <vt:lpstr>篩股系統!持股分佈_100</vt:lpstr>
      <vt:lpstr>篩股系統!持股分佈_101</vt:lpstr>
      <vt:lpstr>篩股系統!持股分佈_102</vt:lpstr>
      <vt:lpstr>篩股系統!持股分佈_103</vt:lpstr>
      <vt:lpstr>篩股系統!持股分佈_104</vt:lpstr>
      <vt:lpstr>篩股系統!持股分佈_105</vt:lpstr>
      <vt:lpstr>篩股系統!持股分佈_106</vt:lpstr>
      <vt:lpstr>篩股系統!持股分佈_107</vt:lpstr>
      <vt:lpstr>篩股系統!持股分佈_108</vt:lpstr>
      <vt:lpstr>篩股系統!持股分佈_109</vt:lpstr>
      <vt:lpstr>評比系統!持股分佈_11</vt:lpstr>
      <vt:lpstr>篩股系統!持股分佈_11</vt:lpstr>
      <vt:lpstr>篩股系統!持股分佈_110</vt:lpstr>
      <vt:lpstr>篩股系統!持股分佈_111</vt:lpstr>
      <vt:lpstr>篩股系統!持股分佈_112</vt:lpstr>
      <vt:lpstr>篩股系統!持股分佈_113</vt:lpstr>
      <vt:lpstr>篩股系統!持股分佈_114</vt:lpstr>
      <vt:lpstr>篩股系統!持股分佈_115</vt:lpstr>
      <vt:lpstr>篩股系統!持股分佈_116</vt:lpstr>
      <vt:lpstr>篩股系統!持股分佈_117</vt:lpstr>
      <vt:lpstr>篩股系統!持股分佈_118</vt:lpstr>
      <vt:lpstr>篩股系統!持股分佈_119</vt:lpstr>
      <vt:lpstr>篩股系統!持股分佈_12</vt:lpstr>
      <vt:lpstr>篩股系統!持股分佈_120</vt:lpstr>
      <vt:lpstr>篩股系統!持股分佈_121</vt:lpstr>
      <vt:lpstr>篩股系統!持股分佈_122</vt:lpstr>
      <vt:lpstr>篩股系統!持股分佈_123</vt:lpstr>
      <vt:lpstr>篩股系統!持股分佈_124</vt:lpstr>
      <vt:lpstr>篩股系統!持股分佈_125</vt:lpstr>
      <vt:lpstr>篩股系統!持股分佈_126</vt:lpstr>
      <vt:lpstr>篩股系統!持股分佈_127</vt:lpstr>
      <vt:lpstr>篩股系統!持股分佈_128</vt:lpstr>
      <vt:lpstr>篩股系統!持股分佈_129</vt:lpstr>
      <vt:lpstr>篩股系統!持股分佈_13</vt:lpstr>
      <vt:lpstr>篩股系統!持股分佈_130</vt:lpstr>
      <vt:lpstr>評比系統!持股分佈_14</vt:lpstr>
      <vt:lpstr>篩股系統!持股分佈_14</vt:lpstr>
      <vt:lpstr>篩股系統!持股分佈_15</vt:lpstr>
      <vt:lpstr>篩股系統!持股分佈_16</vt:lpstr>
      <vt:lpstr>評比系統!持股分佈_17</vt:lpstr>
      <vt:lpstr>篩股系統!持股分佈_17</vt:lpstr>
      <vt:lpstr>篩股系統!持股分佈_18</vt:lpstr>
      <vt:lpstr>篩股系統!持股分佈_19</vt:lpstr>
      <vt:lpstr>篩股系統!持股分佈_2</vt:lpstr>
      <vt:lpstr>評比系統!持股分佈_20</vt:lpstr>
      <vt:lpstr>篩股系統!持股分佈_20</vt:lpstr>
      <vt:lpstr>篩股系統!持股分佈_21</vt:lpstr>
      <vt:lpstr>篩股系統!持股分佈_22</vt:lpstr>
      <vt:lpstr>評比系統!持股分佈_23</vt:lpstr>
      <vt:lpstr>篩股系統!持股分佈_23</vt:lpstr>
      <vt:lpstr>篩股系統!持股分佈_24</vt:lpstr>
      <vt:lpstr>篩股系統!持股分佈_25</vt:lpstr>
      <vt:lpstr>評比系統!持股分佈_26</vt:lpstr>
      <vt:lpstr>篩股系統!持股分佈_26</vt:lpstr>
      <vt:lpstr>篩股系統!持股分佈_27</vt:lpstr>
      <vt:lpstr>篩股系統!持股分佈_28</vt:lpstr>
      <vt:lpstr>評比系統!持股分佈_29</vt:lpstr>
      <vt:lpstr>篩股系統!持股分佈_29</vt:lpstr>
      <vt:lpstr>篩股系統!持股分佈_3</vt:lpstr>
      <vt:lpstr>篩股系統!持股分佈_30</vt:lpstr>
      <vt:lpstr>篩股系統!持股分佈_31</vt:lpstr>
      <vt:lpstr>評比系統!持股分佈_32</vt:lpstr>
      <vt:lpstr>篩股系統!持股分佈_32</vt:lpstr>
      <vt:lpstr>篩股系統!持股分佈_33</vt:lpstr>
      <vt:lpstr>篩股系統!持股分佈_34</vt:lpstr>
      <vt:lpstr>評比系統!持股分佈_35</vt:lpstr>
      <vt:lpstr>篩股系統!持股分佈_35</vt:lpstr>
      <vt:lpstr>篩股系統!持股分佈_36</vt:lpstr>
      <vt:lpstr>篩股系統!持股分佈_37</vt:lpstr>
      <vt:lpstr>評比系統!持股分佈_38</vt:lpstr>
      <vt:lpstr>篩股系統!持股分佈_38</vt:lpstr>
      <vt:lpstr>篩股系統!持股分佈_39</vt:lpstr>
      <vt:lpstr>篩股系統!持股分佈_4</vt:lpstr>
      <vt:lpstr>篩股系統!持股分佈_40</vt:lpstr>
      <vt:lpstr>評比系統!持股分佈_41</vt:lpstr>
      <vt:lpstr>篩股系統!持股分佈_41</vt:lpstr>
      <vt:lpstr>篩股系統!持股分佈_42</vt:lpstr>
      <vt:lpstr>篩股系統!持股分佈_43</vt:lpstr>
      <vt:lpstr>評比系統!持股分佈_44</vt:lpstr>
      <vt:lpstr>篩股系統!持股分佈_44</vt:lpstr>
      <vt:lpstr>篩股系統!持股分佈_45</vt:lpstr>
      <vt:lpstr>篩股系統!持股分佈_46</vt:lpstr>
      <vt:lpstr>評比系統!持股分佈_47</vt:lpstr>
      <vt:lpstr>篩股系統!持股分佈_47</vt:lpstr>
      <vt:lpstr>篩股系統!持股分佈_48</vt:lpstr>
      <vt:lpstr>篩股系統!持股分佈_49</vt:lpstr>
      <vt:lpstr>評比系統!持股分佈_5</vt:lpstr>
      <vt:lpstr>篩股系統!持股分佈_5</vt:lpstr>
      <vt:lpstr>評比系統!持股分佈_50</vt:lpstr>
      <vt:lpstr>篩股系統!持股分佈_50</vt:lpstr>
      <vt:lpstr>篩股系統!持股分佈_51</vt:lpstr>
      <vt:lpstr>篩股系統!持股分佈_52</vt:lpstr>
      <vt:lpstr>評比系統!持股分佈_53</vt:lpstr>
      <vt:lpstr>篩股系統!持股分佈_53</vt:lpstr>
      <vt:lpstr>篩股系統!持股分佈_54</vt:lpstr>
      <vt:lpstr>篩股系統!持股分佈_55</vt:lpstr>
      <vt:lpstr>評比系統!持股分佈_56</vt:lpstr>
      <vt:lpstr>篩股系統!持股分佈_56</vt:lpstr>
      <vt:lpstr>篩股系統!持股分佈_57</vt:lpstr>
      <vt:lpstr>篩股系統!持股分佈_58</vt:lpstr>
      <vt:lpstr>評比系統!持股分佈_59</vt:lpstr>
      <vt:lpstr>篩股系統!持股分佈_59</vt:lpstr>
      <vt:lpstr>篩股系統!持股分佈_6</vt:lpstr>
      <vt:lpstr>篩股系統!持股分佈_60</vt:lpstr>
      <vt:lpstr>篩股系統!持股分佈_61</vt:lpstr>
      <vt:lpstr>評比系統!持股分佈_62</vt:lpstr>
      <vt:lpstr>篩股系統!持股分佈_62</vt:lpstr>
      <vt:lpstr>篩股系統!持股分佈_63</vt:lpstr>
      <vt:lpstr>篩股系統!持股分佈_64</vt:lpstr>
      <vt:lpstr>評比系統!持股分佈_65</vt:lpstr>
      <vt:lpstr>篩股系統!持股分佈_65</vt:lpstr>
      <vt:lpstr>篩股系統!持股分佈_66</vt:lpstr>
      <vt:lpstr>篩股系統!持股分佈_67</vt:lpstr>
      <vt:lpstr>評比系統!持股分佈_68</vt:lpstr>
      <vt:lpstr>篩股系統!持股分佈_68</vt:lpstr>
      <vt:lpstr>篩股系統!持股分佈_69</vt:lpstr>
      <vt:lpstr>篩股系統!持股分佈_7</vt:lpstr>
      <vt:lpstr>篩股系統!持股分佈_70</vt:lpstr>
      <vt:lpstr>評比系統!持股分佈_71</vt:lpstr>
      <vt:lpstr>篩股系統!持股分佈_71</vt:lpstr>
      <vt:lpstr>篩股系統!持股分佈_72</vt:lpstr>
      <vt:lpstr>篩股系統!持股分佈_73</vt:lpstr>
      <vt:lpstr>評比系統!持股分佈_74</vt:lpstr>
      <vt:lpstr>篩股系統!持股分佈_74</vt:lpstr>
      <vt:lpstr>篩股系統!持股分佈_75</vt:lpstr>
      <vt:lpstr>篩股系統!持股分佈_76</vt:lpstr>
      <vt:lpstr>評比系統!持股分佈_77</vt:lpstr>
      <vt:lpstr>篩股系統!持股分佈_77</vt:lpstr>
      <vt:lpstr>篩股系統!持股分佈_78</vt:lpstr>
      <vt:lpstr>篩股系統!持股分佈_79</vt:lpstr>
      <vt:lpstr>評比系統!持股分佈_8</vt:lpstr>
      <vt:lpstr>篩股系統!持股分佈_8</vt:lpstr>
      <vt:lpstr>評比系統!持股分佈_80</vt:lpstr>
      <vt:lpstr>篩股系統!持股分佈_80</vt:lpstr>
      <vt:lpstr>篩股系統!持股分佈_81</vt:lpstr>
      <vt:lpstr>篩股系統!持股分佈_82</vt:lpstr>
      <vt:lpstr>評比系統!持股分佈_83</vt:lpstr>
      <vt:lpstr>篩股系統!持股分佈_83</vt:lpstr>
      <vt:lpstr>篩股系統!持股分佈_84</vt:lpstr>
      <vt:lpstr>篩股系統!持股分佈_85</vt:lpstr>
      <vt:lpstr>評比系統!持股分佈_86</vt:lpstr>
      <vt:lpstr>篩股系統!持股分佈_86</vt:lpstr>
      <vt:lpstr>篩股系統!持股分佈_87</vt:lpstr>
      <vt:lpstr>篩股系統!持股分佈_88</vt:lpstr>
      <vt:lpstr>評比系統!持股分佈_89</vt:lpstr>
      <vt:lpstr>篩股系統!持股分佈_89</vt:lpstr>
      <vt:lpstr>篩股系統!持股分佈_9</vt:lpstr>
      <vt:lpstr>篩股系統!持股分佈_90</vt:lpstr>
      <vt:lpstr>篩股系統!持股分佈_91</vt:lpstr>
      <vt:lpstr>篩股系統!持股分佈_92</vt:lpstr>
      <vt:lpstr>篩股系統!持股分佈_93</vt:lpstr>
      <vt:lpstr>篩股系統!持股分佈_94</vt:lpstr>
      <vt:lpstr>篩股系統!持股分佈_95</vt:lpstr>
      <vt:lpstr>篩股系統!持股分佈_96</vt:lpstr>
      <vt:lpstr>篩股系統!持股分佈_97</vt:lpstr>
      <vt:lpstr>篩股系統!持股分佈_98</vt:lpstr>
      <vt:lpstr>篩股系統!持股分佈_99</vt:lpstr>
      <vt:lpstr>收盤價!國內上市</vt:lpstr>
      <vt:lpstr>收盤價!國內上市_11</vt:lpstr>
      <vt:lpstr>收盤價!國內上市_12</vt:lpstr>
      <vt:lpstr>收盤價!國內上市_13</vt:lpstr>
      <vt:lpstr>收盤價!國內上市_14</vt:lpstr>
      <vt:lpstr>收盤價!國內上市_15</vt:lpstr>
      <vt:lpstr>收盤價!國內上市_16</vt:lpstr>
      <vt:lpstr>收盤價!國內上市_17</vt:lpstr>
      <vt:lpstr>收盤價!國內上市_18</vt:lpstr>
      <vt:lpstr>收盤價!國內上市_19</vt:lpstr>
      <vt:lpstr>收盤價!國內上市_20</vt:lpstr>
      <vt:lpstr>收盤價!國內上市_21</vt:lpstr>
      <vt:lpstr>收盤價!國內上市_22</vt:lpstr>
      <vt:lpstr>收盤價!國內上市_23</vt:lpstr>
      <vt:lpstr>收盤價!國內上市_24</vt:lpstr>
      <vt:lpstr>收盤價!國內上市_25</vt:lpstr>
      <vt:lpstr>收盤價!國內上市_26</vt:lpstr>
      <vt:lpstr>收盤價!國內上市_27</vt:lpstr>
      <vt:lpstr>收盤價!國內上市_28</vt:lpstr>
      <vt:lpstr>收盤價!國內上市_29</vt:lpstr>
      <vt:lpstr>收盤價!國內上市_30</vt:lpstr>
      <vt:lpstr>收盤價!國內上市_31</vt:lpstr>
      <vt:lpstr>收盤價!國內上市_32</vt:lpstr>
      <vt:lpstr>收盤價!國內上市_33</vt:lpstr>
      <vt:lpstr>收盤價!國內上市_34</vt:lpstr>
      <vt:lpstr>收盤價!國內上市_35</vt:lpstr>
      <vt:lpstr>收盤價!國內上市_36</vt:lpstr>
    </vt:vector>
  </TitlesOfParts>
  <Company>Home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Win7User</dc:creator>
  <cp:lastModifiedBy>Dada</cp:lastModifiedBy>
  <dcterms:created xsi:type="dcterms:W3CDTF">2015-03-09T15:48:32Z</dcterms:created>
  <dcterms:modified xsi:type="dcterms:W3CDTF">2016-02-23T17:01:55Z</dcterms:modified>
</cp:coreProperties>
</file>